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464" activeTab="6"/>
  </bookViews>
  <sheets>
    <sheet name="Sheet4" sheetId="1" state="hidden" r:id="rId1"/>
    <sheet name="Exhaustive" sheetId="2" state="hidden" r:id="rId2"/>
    <sheet name="Copy of Exhaustive" sheetId="3" state="hidden" r:id="rId3"/>
    <sheet name="Sheet6" sheetId="4" state="hidden" r:id="rId4"/>
    <sheet name="Sheet7" sheetId="5" state="hidden" r:id="rId5"/>
    <sheet name="Main" sheetId="6" r:id="rId6"/>
    <sheet name="Stories" sheetId="7" r:id="rId7"/>
    <sheet name="Overall Progress" sheetId="8" r:id="rId8"/>
    <sheet name="Sets Progress" sheetId="9" r:id="rId9"/>
    <sheet name="Sheet10" sheetId="10" r:id="rId10"/>
    <sheet name="Copy of Sheet8" sheetId="11" state="hidden" r:id="rId11"/>
  </sheets>
  <definedNames>
    <definedName name="_xlnm._FilterDatabase" localSheetId="0" hidden="1">Sheet4!$A$1:$X$52</definedName>
    <definedName name="_xlnm._FilterDatabase" localSheetId="1" hidden="1">Exhaustive!$B$1:$B$1545</definedName>
    <definedName name="_xlnm._FilterDatabase" localSheetId="2" hidden="1">'Copy of Exhaustive'!$B$1:$C$1545</definedName>
    <definedName name="_xlnm._FilterDatabase" localSheetId="4" hidden="1">Sheet7!$A$1:$Z$548</definedName>
    <definedName name="_xlnm._FilterDatabase" localSheetId="5" hidden="1">Main!$A$1:$Z$1545</definedName>
    <definedName name="_xlnm._FilterDatabase" localSheetId="8" hidden="1">'Sets Progress'!$A$1:$E$1000</definedName>
    <definedName name="_xlnm._FilterDatabase" localSheetId="10" hidden="1">'Copy of Sheet8'!$A$1:$D$2051</definedName>
  </definedNames>
  <calcPr calcId="144525"/>
  <pivotCaches>
    <pivotCache cacheId="0" r:id="rId12"/>
    <pivotCache cacheId="1" r:id="rId13"/>
  </pivotCaches>
</workbook>
</file>

<file path=xl/sharedStrings.xml><?xml version="1.0" encoding="utf-8"?>
<sst xmlns="http://schemas.openxmlformats.org/spreadsheetml/2006/main" count="16512" uniqueCount="4530">
  <si>
    <t>Word</t>
  </si>
  <si>
    <t>Parts of Speech</t>
  </si>
  <si>
    <t>Meaning</t>
  </si>
  <si>
    <t>Sentence 1</t>
  </si>
  <si>
    <t>Sentence 2</t>
  </si>
  <si>
    <t>Common Synonyms</t>
  </si>
  <si>
    <t>Common Antonyms</t>
  </si>
  <si>
    <t>Kannada Translation</t>
  </si>
  <si>
    <t>Abandon</t>
  </si>
  <si>
    <t>Verb</t>
  </si>
  <si>
    <t>To leave or give up completely; to desert or forsake</t>
  </si>
  <si>
    <t>1. The sailors had to abandon the sinking ship.</t>
  </si>
  <si>
    <t>2. The decision to abandon the project was difficult.</t>
  </si>
  <si>
    <t>Forsake, Desert, Leave</t>
  </si>
  <si>
    <t>Support, Maintain, Uphold</t>
  </si>
  <si>
    <t>ತ್ಯಾಗಮಾಡು, ಬಿಡುಗಡೆಗೊಳಿಸು, ತ್ಯಜಿಸು</t>
  </si>
  <si>
    <t>Abrasive</t>
  </si>
  <si>
    <t>Adjective</t>
  </si>
  <si>
    <t>Harsh, rough, or coarse in manner; showing little concern for the feelings of others</t>
  </si>
  <si>
    <t>1. His abrasive comments offended many.</t>
  </si>
  <si>
    <t>2. The abrasive texture of the sandpaper.</t>
  </si>
  <si>
    <t>Harsh, Rough, Unpleasant</t>
  </si>
  <si>
    <t>Polite, Smooth, Gentle</t>
  </si>
  <si>
    <t>ಕಟ್ಟುವಾರ, ಕೆಣಗುವಾರ, ಕಟಿವಾರಿಯ</t>
  </si>
  <si>
    <t>Abreast</t>
  </si>
  <si>
    <t>Adverb/Adjective</t>
  </si>
  <si>
    <t>Side by side and facing the same direction; Up to date with the latest news, information, or developments</t>
  </si>
  <si>
    <t>1. The two friends walked abreast down the street.</t>
  </si>
  <si>
    <t>2. It's important to stay abreast of industry trends.</t>
  </si>
  <si>
    <t>Alongside, Side by Side</t>
  </si>
  <si>
    <t>Behind, Apart, Separate</t>
  </si>
  <si>
    <t>ಒಂದೇ ಕಡೆ, ಇಪ್ಪತ್ತೊಂದು ಸಾರಿ, ಹೊಂದಿಕೊಳ್ಳು</t>
  </si>
  <si>
    <t>Abridge</t>
  </si>
  <si>
    <t>To shorten or condense (a text) while retaining its basic content</t>
  </si>
  <si>
    <t>1. The editor had to abridge the article for the magazine.</t>
  </si>
  <si>
    <t>2. Some details were abridged for the sake of clarity.</t>
  </si>
  <si>
    <t>Condense, Shorten, Reduce</t>
  </si>
  <si>
    <t>Expand, Elaborate, Lengthen</t>
  </si>
  <si>
    <t>ಸಂಕ್ಷೇಪಿಸು, ಸಂಕ್ಷೇಪಿತಗೊಳಿಸು, ಸಂಕ್ಷೇಪಿಸಿ</t>
  </si>
  <si>
    <t>Abstruse</t>
  </si>
  <si>
    <t>Difficult to understand; obscure or complex</t>
  </si>
  <si>
    <t>1. The professor's lecture was abstruse and hard to follow.</t>
  </si>
  <si>
    <t>2. The abstruse language of the legal document.</t>
  </si>
  <si>
    <t>Complex, Obscure, Complicated</t>
  </si>
  <si>
    <t>Clear, Simple, Understandable</t>
  </si>
  <si>
    <t>ಗೂಢ, ಅರ್ಥಗೋಚರ, ಸುಲಭವಿಲ್ಲ</t>
  </si>
  <si>
    <t>Accentuate</t>
  </si>
  <si>
    <t>To emphasize or highlight; to make more noticeable or prominent</t>
  </si>
  <si>
    <t>1. The artist used lighting to accentuate the features of the sculpture.</t>
  </si>
  <si>
    <t>2. She chose a dress that would accentuate her figure.</t>
  </si>
  <si>
    <t>Emphasize, Highlight, Accent</t>
  </si>
  <si>
    <t>Understate, Downplay, Minimize</t>
  </si>
  <si>
    <t>ಮುಖ್ಯಪಡಿಸು, ಪ್ರಧಾನವನ್ನು ಮೊದಲಾಗಿಟ್ಟಿರು, ಉತ್ಕಟಗೊಳಿಸು</t>
  </si>
  <si>
    <t>Alacrity</t>
  </si>
  <si>
    <t>Noun</t>
  </si>
  <si>
    <t>Cheerful readiness or willingness to do something promptly</t>
  </si>
  <si>
    <t>1. She accepted the challenge with alacrity and enthusiasm.</t>
  </si>
  <si>
    <t>2. His alacrity in responding to emergencies made him a valued team member.</t>
  </si>
  <si>
    <t>Eagerness, Enthusiasm, Readiness</t>
  </si>
  <si>
    <t>Reluctance, Apathy, Indifference</t>
  </si>
  <si>
    <t>ಉತ್ಸಾಹ, ಸಿದ್ಧತೆ, ತತ್ಪರತೆ</t>
  </si>
  <si>
    <t>Anachronism</t>
  </si>
  <si>
    <t>Something or someone that is not in its correct historical or chronological time period</t>
  </si>
  <si>
    <t>1. The use of outdated technology in the movie was an anachronism.</t>
  </si>
  <si>
    <t>2. The inclusion of modern slang in the historical novel was considered an anachronism.</t>
  </si>
  <si>
    <t>Misplacement, Inconsistency, Misfit, Relic</t>
  </si>
  <si>
    <t>Contemporary, Modern, Timely</t>
  </si>
  <si>
    <t>ಸಮಯ ವಿಪರೀತ, ಕಾಲದೇಶವಿಪರೀತ, ತಪ್ಪು ಪರಿಸ್ಥಿತಿ</t>
  </si>
  <si>
    <t>Anomaly</t>
  </si>
  <si>
    <t>Something that deviates from what is standard or expected</t>
  </si>
  <si>
    <t>1. The sudden snowfall in May was an anomaly in the region.</t>
  </si>
  <si>
    <t>2. The statistical analysis revealed an anomaly in the data set.</t>
  </si>
  <si>
    <t>Abnormality, Deviation, Irregularity</t>
  </si>
  <si>
    <t>Norm, Standard, Conformity</t>
  </si>
  <si>
    <t>ವಿಸ್ಮಯಕರವಾದ, ಅಂತರಂಗ, ಅಸಂಗತ</t>
  </si>
  <si>
    <t>Arduous</t>
  </si>
  <si>
    <t>Involving or requiring strenuous effort; difficult and tiring</t>
  </si>
  <si>
    <t>1. Climbing the steep mountain was an arduous task.</t>
  </si>
  <si>
    <t>2. The team faced an arduous journey to reach the remote village.</t>
  </si>
  <si>
    <t>Difficult, Laborious, Challenging, Demanding</t>
  </si>
  <si>
    <t>Easy, Effortless, Simple</t>
  </si>
  <si>
    <t>ಬಹಳ ಕಷ್ಟದ, ಕಷ್ಟಕರ, ಶ್ರಮದಾಯಕ</t>
  </si>
  <si>
    <t>Assuage</t>
  </si>
  <si>
    <t>To make an unpleasant feeling less intense or severe</t>
  </si>
  <si>
    <t>1. The painkiller helped assuage her headache.</t>
  </si>
  <si>
    <t>2. A sincere apology can assuage hurt feelings.</t>
  </si>
  <si>
    <t>Alleviate, Mitigate, Relieve, Soothe</t>
  </si>
  <si>
    <t>Intensify, Aggravate, Worsen</t>
  </si>
  <si>
    <t>ಮರುಕರಿಸು, ಶಾಂತಗೊಳಿಸು, ಕಡಿಮೆಗೆಡೆಗೆ</t>
  </si>
  <si>
    <t>Bolster</t>
  </si>
  <si>
    <t>To support or strengthen, especially with additional evidence or argument</t>
  </si>
  <si>
    <t>1. The new data will bolster their case and strengthen their argument.</t>
  </si>
  <si>
    <t>2. She sought advice from her friends to bolster her confidence before the interview.</t>
  </si>
  <si>
    <t>Support, Reinforce, Enhance, Sustain</t>
  </si>
  <si>
    <t>Undermine, Weaken, Diminish</t>
  </si>
  <si>
    <t>ನೆರವಿಗೆ, ಬಲಪ್ರದೀಪ್ತಿ, ಸಹಾಯಮಾಡು</t>
  </si>
  <si>
    <t>Capricious</t>
  </si>
  <si>
    <t>Given to sudden and unaccountable changes of mood or behavior</t>
  </si>
  <si>
    <t>1. Her capricious nature made it difficult to predict her reactions.</t>
  </si>
  <si>
    <t>2. The weather in the mountainous region can be capricious, changing rapidly.</t>
  </si>
  <si>
    <t>Unpredictable, Fickle, Erratic, Whimsical</t>
  </si>
  <si>
    <t>Consistent, Predictable, Stable</t>
  </si>
  <si>
    <t>ಅನಿಶ್ಚಿತ, ಅದಕ್ಕೊಬ್ಬರದ, ಮೂಡಲು</t>
  </si>
  <si>
    <t>Conundrum</t>
  </si>
  <si>
    <t>A difficult problem or question that is perplexing or confusing</t>
  </si>
  <si>
    <t>1. The conundrum of how to allocate limited resources puzzled the team.</t>
  </si>
  <si>
    <t>2. Solving this mathematical conundrum requires logical reasoning.</t>
  </si>
  <si>
    <t>Puzzle, Riddle, Dilemma, Enigma</t>
  </si>
  <si>
    <t>Solution, Clarity, Resolution</t>
  </si>
  <si>
    <t>ಸಮಸ್ಯೆ, ಕುತೂಹಲ, ಎಣಿಕೆ</t>
  </si>
  <si>
    <t>Corroborate</t>
  </si>
  <si>
    <t>To confirm or give support to a statement, theory, or finding</t>
  </si>
  <si>
    <t>1. The witness's testimony will corroborate the defendant's alibi.</t>
  </si>
  <si>
    <t>2. The data from the experiment corroborates the researcher's hypothesis.</t>
  </si>
  <si>
    <t>Confirm, Validate, Substantiate, Verify</t>
  </si>
  <si>
    <t>Refute, Contradict, Disprove</t>
  </si>
  <si>
    <t>ಸಮರ್ಥಿಸು, ದೃಢೀಕರಿಸು, ನೆರವೇರಿಸು</t>
  </si>
  <si>
    <t>Didactic</t>
  </si>
  <si>
    <t>Intended to teach or instruct, often excessively</t>
  </si>
  <si>
    <t>1. The professor's didactic lecture aimed to impart fundamental knowledge.</t>
  </si>
  <si>
    <t>2. The didactic tone of the book made it a valuable resource for students.</t>
  </si>
  <si>
    <t>Instructive, Educational, Informative</t>
  </si>
  <si>
    <t>Uninstructive, Uninformative</t>
  </si>
  <si>
    <t>ಶಿಕ್ಷಣಕಾರಕ, ಬೋಧಕ, ಶಿಕ್ಷಣೆಯ</t>
  </si>
  <si>
    <t>Enigma</t>
  </si>
  <si>
    <t>Something that is mysterious, puzzling, or difficult to understand</t>
  </si>
  <si>
    <t>1. Her behavior remains an enigma to those who know her well.</t>
  </si>
  <si>
    <t>2. The identity of the anonymous author is an enigma in the literary world.</t>
  </si>
  <si>
    <t>Puzzle, Mystery, Conundrum, Riddle</t>
  </si>
  <si>
    <t>Solution, Clarity, Explanation</t>
  </si>
  <si>
    <t>ರಹಸ್ಯ, ಗೂಢ, ಹೇಗೆಂದು</t>
  </si>
  <si>
    <t>Ephemeral</t>
  </si>
  <si>
    <t>Lasting for a very short time; transient</t>
  </si>
  <si>
    <t>1. The beauty of the ephemeral cherry blossoms is a sight to behold.</t>
  </si>
  <si>
    <t>2. Fame in the entertainment industry can be ephemeral, with stars rising and falling quickly.</t>
  </si>
  <si>
    <t>Transient, Fleeting, Short-lived</t>
  </si>
  <si>
    <t>Permanent, Enduring, Lasting</t>
  </si>
  <si>
    <t>ಅಲ್ಪಕಾಲಿಕ, ಅಸ್ಥಾಯಿ</t>
  </si>
  <si>
    <t>Equivocal</t>
  </si>
  <si>
    <t>Open to more than one interpretation; ambiguous</t>
  </si>
  <si>
    <t>1. His equivocal response left everyone uncertain about his intentions.</t>
  </si>
  <si>
    <t>2. The politician's equivocal statement was interpreted differently by different groups.</t>
  </si>
  <si>
    <t>Ambiguous, Unclear, Vague, Indeterminate</t>
  </si>
  <si>
    <t>Clear, Unambiguous, Definite</t>
  </si>
  <si>
    <t>ಅನಿರ್ಣೀತ, ಸ್ಪಷ್ಟವಾಗಿರದ, ಅಸ್ಪಷ್ಟ</t>
  </si>
  <si>
    <t>Erudite</t>
  </si>
  <si>
    <t>Having or showing great knowledge or learning</t>
  </si>
  <si>
    <t>1. The professor's erudite lectures on philosophy captivated the students.</t>
  </si>
  <si>
    <t>2. She impressed the audience with her erudite insights on the subject.</t>
  </si>
  <si>
    <t>Knowledgeable, Learned, Scholarly, Wise</t>
  </si>
  <si>
    <t>Ignorant, Uneducated, Uninformed</t>
  </si>
  <si>
    <t>ಪಂಡಿತ, ಜ್ಞಾನಿಗೆ, ಬುದ್ಧಿವಂತ</t>
  </si>
  <si>
    <t>Extant</t>
  </si>
  <si>
    <t>Still in existence; surviving</t>
  </si>
  <si>
    <t>1. Some ancient manuscripts are still extant and can be studied today.</t>
  </si>
  <si>
    <t>2. Despite the fire, a few historic buildings in the town are still extant.</t>
  </si>
  <si>
    <t>Existing, Surviving, Remaining</t>
  </si>
  <si>
    <t>Extinct, Nonexistent, Lost</t>
  </si>
  <si>
    <t>ಅಸ್ತಿತ್ವದ, ಉಳಿದ, ಉತ್ತೇಜಿಸು</t>
  </si>
  <si>
    <t>Fastidious</t>
  </si>
  <si>
    <t>Very attentive to and concerned about accuracy and detail</t>
  </si>
  <si>
    <t>1. Her fastidious nature made her an excellent editor, catching even minor errors.</t>
  </si>
  <si>
    <t>2. The fastidious chef insisted on using only the finest ingredients in his dishes.</t>
  </si>
  <si>
    <t>Meticulous, Precise, Picky</t>
  </si>
  <si>
    <t>Careless, Sloppy, Negligent</t>
  </si>
  <si>
    <t>ಕಳಪಾಣಿಯ, ಸೂಕ್ಷ್ಮಗ್ರಂಥಿಯ, ಶುಷ್ಕ</t>
  </si>
  <si>
    <t>Garrulous</t>
  </si>
  <si>
    <t>Excessively talkative, especially on trivial matters</t>
  </si>
  <si>
    <t>1. The garrulous neighbor would talk for hours about her pets and gardening.</t>
  </si>
  <si>
    <t>2. His garrulousness often made it difficult to have a focused conversation with him.</t>
  </si>
  <si>
    <t>Talkative, Chatty, Loquacious</t>
  </si>
  <si>
    <t>Quiet, Reserved, Silent</t>
  </si>
  <si>
    <t>ಪ್ರಸ್ನಿಪಾತ, ಸರಣಿಕಥನ, ಅಸಾರಾಂಬ</t>
  </si>
  <si>
    <t>Hackneyed</t>
  </si>
  <si>
    <t>Lacking freshness or originality; overused to the point of being uninteresting</t>
  </si>
  <si>
    <t>1. The hackneyed plot of the romantic comedy offered no surprises.</t>
  </si>
  <si>
    <t>2. The use of clichés and hackneyed phrases in the speech made it dull and uninspiring.</t>
  </si>
  <si>
    <t>Trite, Clichéd, Stereotyped</t>
  </si>
  <si>
    <t>Fresh, Original, Innovative</t>
  </si>
  <si>
    <t>ನಿಸರ್ಗ, ಅಪೂರ್ಣ, ಅವಸರವಾದ</t>
  </si>
  <si>
    <t>Impetuous</t>
  </si>
  <si>
    <t>Acting or done quickly and without thought; impulsive</t>
  </si>
  <si>
    <t>1. His impetuous decision to quit his job without a backup plan was regrettable.</t>
  </si>
  <si>
    <t>2. The impetuous teenager often got into trouble due to his rash actions.</t>
  </si>
  <si>
    <t>Impulsive, Rash, Hasty, Spontaneous</t>
  </si>
  <si>
    <t>Cautious, Deliberate, Thoughtful</t>
  </si>
  <si>
    <t>ಆವೇಗದ, ಜೋತಾಡುವ, ಉಕ್ಕಿಬಿದ್ದ</t>
  </si>
  <si>
    <t>Insipid</t>
  </si>
  <si>
    <t>Lacking flavor, interest, or excitement; dull</t>
  </si>
  <si>
    <t>1. The insipid soup had no seasoning and tasted bland.</t>
  </si>
  <si>
    <t>2. The insipid novel failed to captivate readers due to its lack of a compelling plot.</t>
  </si>
  <si>
    <t>Bland, Tasteless, Boring, Dull</t>
  </si>
  <si>
    <t>Flavorful, Exciting, Stimulating</t>
  </si>
  <si>
    <t>ಸ್ವಾದುಹೀನ, ನಿಸ್ವಾದು, ಬರಿಯ</t>
  </si>
  <si>
    <t>Lionize</t>
  </si>
  <si>
    <t>To treat someone as a celebrity or as highly important</t>
  </si>
  <si>
    <t>1. The media tends to lionize famous athletes and entertainers.</t>
  </si>
  <si>
    <t>2. The author was lionized by his fans after the release of his best-selling novel.</t>
  </si>
  <si>
    <t>Celebrate, Idolize, Admire, Honor</t>
  </si>
  <si>
    <t>Disregard, Ignore, Neglect</t>
  </si>
  <si>
    <t>ಕೀರ್ತಿಪ್ರಾಪ್ತಿ, ಗೌರವಿಸು, ವಿನಮ್ರಗೊಳಿಸು</t>
  </si>
  <si>
    <t>Lucid</t>
  </si>
  <si>
    <t>Clear and easily understood; rational and sane</t>
  </si>
  <si>
    <t>1. She explained the complex concept in a lucid manner.</t>
  </si>
  <si>
    <t>2. Despite being tired, his mind remained lucid and focused.</t>
  </si>
  <si>
    <t>Clear, Transparent, Intelligible, Coherent</t>
  </si>
  <si>
    <t>Confusing, Unclear, Incoherent</t>
  </si>
  <si>
    <t>ಪ್ರಭುತ್ವ, ಪ್ರಕಾಶ, ಪ್ರಕಟ</t>
  </si>
  <si>
    <t>Magnanimous</t>
  </si>
  <si>
    <t>Very generous or forgiving, especially toward a rival or someone less powerful</t>
  </si>
  <si>
    <t>1. Despite their differences, he showed a magnanimous spirit and offered his assistance.</t>
  </si>
  <si>
    <t>2. The magnanimous act of donating a significant amount to charity earned him admiration.</t>
  </si>
  <si>
    <t>Generous, Benevolent, Noble, Forgiving</t>
  </si>
  <si>
    <t>Vindictive, Petty, Mean-spirited</t>
  </si>
  <si>
    <t>ಉದಾರಿಗೆ, ದಾನಶೀಲ, ಹೃದಯದ, ಕ್ಷಮಾಪೂರ್ಣ</t>
  </si>
  <si>
    <t>Meticulous</t>
  </si>
  <si>
    <t>Showing great attention to detail; very careful and precise</t>
  </si>
  <si>
    <t>1. The architect's meticulous planning ensured a flawless construction process.</t>
  </si>
  <si>
    <t>2. She had a meticulous approach to her research, leaving no stone unturned.</t>
  </si>
  <si>
    <t>Thorough, Diligent, Precise, Systematic</t>
  </si>
  <si>
    <t>Careless, Negligent, Sloppy</t>
  </si>
  <si>
    <t>ಸವಿಶೇಷ, ಶ್ರಮ, ಸೂಕ್ಷ್ಮತೆ</t>
  </si>
  <si>
    <t>Opaque</t>
  </si>
  <si>
    <t>Not transparent or translucent; not allowing light to pass through</t>
  </si>
  <si>
    <t>1. The windows were covered with opaque curtains, blocking the sunlight.</t>
  </si>
  <si>
    <t>2. The company's financial statements were deliberately made opaque to hide the truth.</t>
  </si>
  <si>
    <t>Nontransparent, Cloudy, Murky, Hazy</t>
  </si>
  <si>
    <t>Transparent, Clear, Translucent</t>
  </si>
  <si>
    <t>ಅಸ್ಪಷ್ಟ, ಬೆಳಕುಗಾಳಿಗೆ ಪ್ರವೇಶವಿಲ್ಲದ</t>
  </si>
  <si>
    <t>Pragmatic</t>
  </si>
  <si>
    <t>Dealing with things sensibly and realistically in a practical way</t>
  </si>
  <si>
    <t>1. She took a pragmatic approach to problem-solving, focusing on practical solutions.</t>
  </si>
  <si>
    <t>2. The company adopted a pragmatic strategy to overcome the financial crisis.</t>
  </si>
  <si>
    <t>Practical, Realistic, Sensible, Logical</t>
  </si>
  <si>
    <t>Idealistic, Impractical, Theoretical</t>
  </si>
  <si>
    <t>ವ್ಯಾವಹಾರಿಕ, ಮೌಲ್ಯಾಂಕನ, ದೃಢಸಂಕಲ್ಪಿ</t>
  </si>
  <si>
    <t>Precipitate</t>
  </si>
  <si>
    <t>To cause something to happen suddenly or unexpectedly</t>
  </si>
  <si>
    <t>1. The sudden rainstorm precipitated the cancellation of the outdoor event.</t>
  </si>
  <si>
    <t>2. His reckless actions precipitated a chain of unfortunate events.</t>
  </si>
  <si>
    <t>Trigger, Accelerate, Provoke, Instigate</t>
  </si>
  <si>
    <t>Prevent, Halt, Inhibit</t>
  </si>
  <si>
    <t>ದಿಗ್ಗುಮಾರಿ, ಬೀರು, ಹುರಿದಾಡುವವರನ್ನು</t>
  </si>
  <si>
    <t>Prodigal</t>
  </si>
  <si>
    <t>Spending money or resources recklessly or wastefully</t>
  </si>
  <si>
    <t>1. He lived a prodigal lifestyle, squandering his inheritance on lavish parties.</t>
  </si>
  <si>
    <t>2. The prodigal use of natural resources is harmful to the environment.</t>
  </si>
  <si>
    <t>Wasteful, Extravagant, Lavish, Squandering</t>
  </si>
  <si>
    <t>Frugal, Thrifty, Economical</t>
  </si>
  <si>
    <t>ವ್ಯರ್ಥ, ಖರ್ಚು, ಉಡಿದಿರುವ</t>
  </si>
  <si>
    <t>Prolific</t>
  </si>
  <si>
    <t>Producing many works, results, or offspring</t>
  </si>
  <si>
    <t>1. The renowned author is known for his prolific output of novels.</t>
  </si>
  <si>
    <t>2. The fertile region is home to a variety of prolific plant species.</t>
  </si>
  <si>
    <t>Productive, Fertile, Creative, Abundant</t>
  </si>
  <si>
    <t>Unproductive, Barren, Scant</t>
  </si>
  <si>
    <t>ಪ್ರಚುರ, ಫಲಪ್ರದ, ಸ್ರಷ್ಟಿಯೋಗ್ಯ</t>
  </si>
  <si>
    <t>Prudent</t>
  </si>
  <si>
    <t>Acting with or showing care and thought for the future</t>
  </si>
  <si>
    <t>1. It is prudent to save money for unexpected expenses.</t>
  </si>
  <si>
    <t>2. The CEO made a prudent decision to invest in new technology for long-term growth.</t>
  </si>
  <si>
    <t>Wise, Cautious, Judicious, Sensible</t>
  </si>
  <si>
    <t>Impulsive, Rash, Careless</t>
  </si>
  <si>
    <t>ಜಾಗೃತ, ವಿವೇಚನೀಯ, ಎಚ್ಚರಿಕೆಯ</t>
  </si>
  <si>
    <t>Tenacious</t>
  </si>
  <si>
    <t>Tending to keep a firm hold of something; persistent</t>
  </si>
  <si>
    <t>1. The tenacious climber never gave up and reached the summit.</t>
  </si>
  <si>
    <t>2. She showed tenacious determination to overcome obstacles and achieve her goals.</t>
  </si>
  <si>
    <t>Persistent, Resolute, Steadfast, Determined</t>
  </si>
  <si>
    <t>Weak, Indecisive, Quitting</t>
  </si>
  <si>
    <t>ದೃಢಸಂಕಲ್ಪದ, ದೈರ್ಘ್ಯದಿಂದಲೂ, ಅಡುಗೆ</t>
  </si>
  <si>
    <t>Trite</t>
  </si>
  <si>
    <t>Overused and lacking originality or freshness</t>
  </si>
  <si>
    <t>1. The speaker delivered a trite speech filled with clichés.</t>
  </si>
  <si>
    <t>2. The movie's plot was predictable and trite, offering nothing new to the audience.</t>
  </si>
  <si>
    <t>Clichéd, Banal, Hackneyed, Stereotypical</t>
  </si>
  <si>
    <t>ಮೂಲಭೂತ, ಕೃತಿಯ, ನವೀನವಲ್ಲದ, ಜಡವಾದ</t>
  </si>
  <si>
    <t>Trivial</t>
  </si>
  <si>
    <t>Of little value or importance; insignificant</t>
  </si>
  <si>
    <t>1. She dismissed his complaint as trivial and not worthy of attention.</t>
  </si>
  <si>
    <t>2. The disagreement was about a trivial matter that had no impact on the overall project.</t>
  </si>
  <si>
    <t>Insignificant, Minor, Unimportant, Frivolous</t>
  </si>
  <si>
    <t>Significant, Meaningful, Important</t>
  </si>
  <si>
    <t>ಹಾಸ್ಯಾಸ್ಪದ, ಅಗ್ರಗಣ್ಯವಲ್ಲದ, ಕಿರುಮುಖವಾದ</t>
  </si>
  <si>
    <t>Ubiquitous</t>
  </si>
  <si>
    <t>Present, appearing, or found everywhere</t>
  </si>
  <si>
    <t>1. Smartphones have become ubiquitous in today's society.</t>
  </si>
  <si>
    <t>2. The smell of freshly baked bread was ubiquitous in the bakery.</t>
  </si>
  <si>
    <t>Omnipresent, Pervasive, Universal, Widespread</t>
  </si>
  <si>
    <t>Rare, Scarce, Limited</t>
  </si>
  <si>
    <t>ಸರ್ವತ್ರವೂ, ಕ್ರಮೇಣ, ವ್ಯಾಪ್ತಿಯಾದ</t>
  </si>
  <si>
    <t>Zeal</t>
  </si>
  <si>
    <t>Great enthusiasm or passion for a cause or objective</t>
  </si>
  <si>
    <t>1. She tackled the project with great zeal and determination.</t>
  </si>
  <si>
    <t>2. The students' zeal for learning was evident in their active participation in class.</t>
  </si>
  <si>
    <t>Enthusiasm, Passion, Ardor, Fervor</t>
  </si>
  <si>
    <t>Apathy, Indifference, Lethargy</t>
  </si>
  <si>
    <t>ಉತ್ಸಾಹ, ಧೈರ್ಯ, ಉತ್ಸಾಹಪೂರ್ಣ</t>
  </si>
  <si>
    <t>Accord</t>
  </si>
  <si>
    <t>Noun/Verb</t>
  </si>
  <si>
    <t>Noun: Agreement or harmony; Verb: To give or grant something</t>
  </si>
  <si>
    <t>1. The two parties reached an accord on the terms.</t>
  </si>
  <si>
    <t>2. The music was in accord with the theme of the event.</t>
  </si>
  <si>
    <t>Agreement, Harmony, Concurrence</t>
  </si>
  <si>
    <t>Disagreement, Discord, Dissension</t>
  </si>
  <si>
    <t>ಅನುಮತಿ, ಸಾಕ್ಷರೇಖಾ, ಇತ್ತೀಚಿನ ಘರ್ಷಣೆ</t>
  </si>
  <si>
    <t>Acerbic</t>
  </si>
  <si>
    <t>Sharp and forthright, especially in speech or expression</t>
  </si>
  <si>
    <t>1. Her acerbic comments offended some people.</t>
  </si>
  <si>
    <t>2. The journalist's acerbic critique of the government.</t>
  </si>
  <si>
    <t>Sharp, Cutting, Bitter</t>
  </si>
  <si>
    <t>Mild, Gentle, Sweet</t>
  </si>
  <si>
    <t>ಕಟು, ತೀಕ್ಷ್ಣ, ಕಟುಕಣಿವೆಯಿಂದಾದ</t>
  </si>
  <si>
    <t>Acquisitive</t>
  </si>
  <si>
    <t>Eager to acquire knowledge or possessions; Greedy</t>
  </si>
  <si>
    <t>1. The acquisitive nature of the collector.</t>
  </si>
  <si>
    <t>2. The acquisitive behavior led to conflicts within the team.</t>
  </si>
  <si>
    <t>Greedy, Avaricious, Grasping</t>
  </si>
  <si>
    <t>Generous, Content, Unselfish</t>
  </si>
  <si>
    <t>ಅಧಿಕಾರಾಸಕ್ತ, ಲಾಭಾಸಕ್ತ, ಗೃಹಕ್ಷೇಮಾಸಕ್ತ</t>
  </si>
  <si>
    <t>Activism</t>
  </si>
  <si>
    <t>The policy or action of using vigorous campaigning to bring about political or social change</t>
  </si>
  <si>
    <t>1. Her activism focused on environmental issues.</t>
  </si>
  <si>
    <t>2. The students engaged in activism for human rights.</t>
  </si>
  <si>
    <t>Advocacy, Campaigning, Protests</t>
  </si>
  <si>
    <t>Apathy, Inactivity, Indifference</t>
  </si>
  <si>
    <t>ಸಕ್ರಿಯತೆ, ಪ್ರವರ್ತನೆ, ಆಂಗ್ಲೆಚನ್ಯಲಿನವರೆಗೂ</t>
  </si>
  <si>
    <t>Acumen</t>
  </si>
  <si>
    <t>The ability to make good judgments and quick decisions</t>
  </si>
  <si>
    <t>1. His business acumen contributed to the company's success.</t>
  </si>
  <si>
    <t>2. The political leader demonstrated acumen in handling crises.</t>
  </si>
  <si>
    <t>Insight, Intelligence, Shrewdness</t>
  </si>
  <si>
    <t>Ignorance, Stupidity, Dullness</t>
  </si>
  <si>
    <t>ವಿವೇಚನಾಶಕ್ತಿ, ಪ್ರಜ್ಞೆ, ತಾಳ್ಮೆ</t>
  </si>
  <si>
    <t>Acute</t>
  </si>
  <si>
    <t>(1) Sharp or severe in effect; (2) Having a keen perception or insight</t>
  </si>
  <si>
    <t>1. The patient experienced acute pain.</t>
  </si>
  <si>
    <t>2. She showed acute awareness of the situation.</t>
  </si>
  <si>
    <t>Sharp, Severe, Intense</t>
  </si>
  <si>
    <t>Mild, Dull, Chronic</t>
  </si>
  <si>
    <t>ತೀಕ್ಷ್ಣ, ಗಂಭೀರ, ಪ್ರಬಲ</t>
  </si>
  <si>
    <t>Adroit</t>
  </si>
  <si>
    <t>Skillful and clever, especially in using the hands or mind</t>
  </si>
  <si>
    <t>1. The adroit pianist played the difficult piece.</t>
  </si>
  <si>
    <t>2. His adroit handling of the situation impressed everyone.</t>
  </si>
  <si>
    <t>Skillful, Dexterous, Clever</t>
  </si>
  <si>
    <t>Clumsy, Awkward, Inept</t>
  </si>
  <si>
    <t>ಚತುರ, ನುಡಿಬಲುಬಾಳು, ನುಡಿಮುಟ್ಟಾಳು</t>
  </si>
  <si>
    <t>Adulation</t>
  </si>
  <si>
    <t>Excessive praise or admiration</t>
  </si>
  <si>
    <t>1. The celebrity received adulation from fans.</t>
  </si>
  <si>
    <t>2. The adulation heaped upon the talented artist.</t>
  </si>
  <si>
    <t>Flattery, Worship, Devotion</t>
  </si>
  <si>
    <t>Criticism, Censure, Disapproval</t>
  </si>
  <si>
    <t>ಆರಾಧನೆ, ಸ್ತೋತ್ರ, ಹರಕೆ</t>
  </si>
  <si>
    <t>Aesthetic</t>
  </si>
  <si>
    <t>Adjective/Noun</t>
  </si>
  <si>
    <t>Adjective: Concerned with beauty or the appreciation of beauty; Noun: A set of principles underlying and guiding the work of a particular artist or artistic movement</t>
  </si>
  <si>
    <t>1. She has a strong aesthetic sense.</t>
  </si>
  <si>
    <t>2. The design had an aesthetic appeal to it.</t>
  </si>
  <si>
    <t>Artistic, Beautiful, Elegant</t>
  </si>
  <si>
    <t>Ugly, Unattractive, Plain</t>
  </si>
  <si>
    <t>ರೂಪಶಾಸ್ತ್ರದ, ಕಲಾಯಾತ್ರಾಶಾಸ್ತ್ರದ, ರೂಪನಿರ್ಮಾಣೆಯನ್ನು</t>
  </si>
  <si>
    <t>Affable</t>
  </si>
  <si>
    <t>Friendly, good-natured, and easy to talk to</t>
  </si>
  <si>
    <t>1. The host was affable and made everyone comfortable.</t>
  </si>
  <si>
    <t>2. Despite his busy schedule, he remained affable.</t>
  </si>
  <si>
    <t>Friendly, Amiable, Genial</t>
  </si>
  <si>
    <t>Unfriendly, Aloof, Hostile</t>
  </si>
  <si>
    <t>ಹಿಡಿಯಾರು, ಬಾಗಾರು, ಸ್ನೇಹಪೂರಿತ</t>
  </si>
  <si>
    <t>ID</t>
  </si>
  <si>
    <t>Abate</t>
  </si>
  <si>
    <t>Aberrant</t>
  </si>
  <si>
    <t>Abet</t>
  </si>
  <si>
    <t>Abeyance</t>
  </si>
  <si>
    <t>Abhor</t>
  </si>
  <si>
    <t>Abide</t>
  </si>
  <si>
    <t>Abject</t>
  </si>
  <si>
    <t>Abjure</t>
  </si>
  <si>
    <t>Abound</t>
  </si>
  <si>
    <t>Abrogate</t>
  </si>
  <si>
    <t>Abscond</t>
  </si>
  <si>
    <t>Abstain</t>
  </si>
  <si>
    <t>Abstract</t>
  </si>
  <si>
    <t>Abstraction</t>
  </si>
  <si>
    <t>Accessible</t>
  </si>
  <si>
    <t>Acclaim</t>
  </si>
  <si>
    <t>Accolade</t>
  </si>
  <si>
    <t>Acolyte</t>
  </si>
  <si>
    <t>Acquiesce</t>
  </si>
  <si>
    <t>Acrimonious</t>
  </si>
  <si>
    <t>Adept</t>
  </si>
  <si>
    <t>Adherent</t>
  </si>
  <si>
    <t>Adhoc</t>
  </si>
  <si>
    <t>Admonish</t>
  </si>
  <si>
    <t>Adulterate</t>
  </si>
  <si>
    <t>Adverse</t>
  </si>
  <si>
    <t>Advocate</t>
  </si>
  <si>
    <t>Affect</t>
  </si>
  <si>
    <t>Affectation</t>
  </si>
  <si>
    <t>Affinity</t>
  </si>
  <si>
    <t>Affluence</t>
  </si>
  <si>
    <t>Affront</t>
  </si>
  <si>
    <t>Aggrandize</t>
  </si>
  <si>
    <t>Aghast</t>
  </si>
  <si>
    <t>Agitate</t>
  </si>
  <si>
    <t>Agreeable</t>
  </si>
  <si>
    <t>Ahistorical</t>
  </si>
  <si>
    <t>Alienate</t>
  </si>
  <si>
    <t>All-Encompassing</t>
  </si>
  <si>
    <t>Allegorical</t>
  </si>
  <si>
    <t>Alleviate</t>
  </si>
  <si>
    <t>Allusive</t>
  </si>
  <si>
    <t>Aloof</t>
  </si>
  <si>
    <t>Altruistic</t>
  </si>
  <si>
    <t>Amalgamate</t>
  </si>
  <si>
    <t>Ambiguity</t>
  </si>
  <si>
    <t>Ambivalent</t>
  </si>
  <si>
    <t>Ameliorate</t>
  </si>
  <si>
    <t>Amenable</t>
  </si>
  <si>
    <t>Amend</t>
  </si>
  <si>
    <t>Amiable</t>
  </si>
  <si>
    <t>Amicable</t>
  </si>
  <si>
    <t>Amorphous</t>
  </si>
  <si>
    <t>Amuse</t>
  </si>
  <si>
    <t>Anachronistic</t>
  </si>
  <si>
    <t>Analogous</t>
  </si>
  <si>
    <t>Anecdote</t>
  </si>
  <si>
    <t>Animosity</t>
  </si>
  <si>
    <t>Animus</t>
  </si>
  <si>
    <t>Anoint</t>
  </si>
  <si>
    <t>Anomalous</t>
  </si>
  <si>
    <t>Antagonistic</t>
  </si>
  <si>
    <t>Antagonize</t>
  </si>
  <si>
    <t>Antedate</t>
  </si>
  <si>
    <t>Antipathy</t>
  </si>
  <si>
    <t>Antiquity</t>
  </si>
  <si>
    <t>Antithesis</t>
  </si>
  <si>
    <t>Apathy</t>
  </si>
  <si>
    <t>Aphorism</t>
  </si>
  <si>
    <t>Aplomb</t>
  </si>
  <si>
    <t>Apogee</t>
  </si>
  <si>
    <t>Apologist</t>
  </si>
  <si>
    <t>Appease</t>
  </si>
  <si>
    <t>Apposite</t>
  </si>
  <si>
    <t>Apprehension</t>
  </si>
  <si>
    <t>Apprise</t>
  </si>
  <si>
    <t>Approbation</t>
  </si>
  <si>
    <t>Appropriate</t>
  </si>
  <si>
    <t>Apropos</t>
  </si>
  <si>
    <t>Apt</t>
  </si>
  <si>
    <t>Arbitrary</t>
  </si>
  <si>
    <t>Arcane</t>
  </si>
  <si>
    <t>Archaic</t>
  </si>
  <si>
    <t>Archetype</t>
  </si>
  <si>
    <t>Ardent</t>
  </si>
  <si>
    <t>Arresting</t>
  </si>
  <si>
    <t>Artful</t>
  </si>
  <si>
    <t>Articulate</t>
  </si>
  <si>
    <t>Artless</t>
  </si>
  <si>
    <t>Ascertain</t>
  </si>
  <si>
    <t>Ascetic</t>
  </si>
  <si>
    <t>Ascribe</t>
  </si>
  <si>
    <t>Aspersion</t>
  </si>
  <si>
    <t>Assail</t>
  </si>
  <si>
    <t>Assertive</t>
  </si>
  <si>
    <t>Assiduous</t>
  </si>
  <si>
    <t>Astonish</t>
  </si>
  <si>
    <t>Astound</t>
  </si>
  <si>
    <t>Astringent</t>
  </si>
  <si>
    <t>Astute</t>
  </si>
  <si>
    <t>Attainment</t>
  </si>
  <si>
    <t>Attenuate</t>
  </si>
  <si>
    <t>Attribute</t>
  </si>
  <si>
    <t>Atypical</t>
  </si>
  <si>
    <t>Audacious</t>
  </si>
  <si>
    <t>Audacity</t>
  </si>
  <si>
    <t>Augment</t>
  </si>
  <si>
    <t>August</t>
  </si>
  <si>
    <t>Auspicious</t>
  </si>
  <si>
    <t>Austere</t>
  </si>
  <si>
    <t>Austerity</t>
  </si>
  <si>
    <t>Autonomous</t>
  </si>
  <si>
    <t>Auxiliary</t>
  </si>
  <si>
    <t>Avarice</t>
  </si>
  <si>
    <t>Avaricious</t>
  </si>
  <si>
    <t>Aver</t>
  </si>
  <si>
    <t>Aversion</t>
  </si>
  <si>
    <t>Avert</t>
  </si>
  <si>
    <t>Avid</t>
  </si>
  <si>
    <t>Axiomatic</t>
  </si>
  <si>
    <t>Baffling</t>
  </si>
  <si>
    <t>Balloon</t>
  </si>
  <si>
    <t>Banal</t>
  </si>
  <si>
    <t>Banish</t>
  </si>
  <si>
    <t>Banter</t>
  </si>
  <si>
    <t>Baroque</t>
  </si>
  <si>
    <t>Barrage</t>
  </si>
  <si>
    <t>Barren</t>
  </si>
  <si>
    <t>Base</t>
  </si>
  <si>
    <t>Baseness</t>
  </si>
  <si>
    <t>Bawdy</t>
  </si>
  <si>
    <t>Bearing</t>
  </si>
  <si>
    <t>Befriend</t>
  </si>
  <si>
    <t>Befuddled</t>
  </si>
  <si>
    <t>Beguile</t>
  </si>
  <si>
    <t>Beholden</t>
  </si>
  <si>
    <t>Belie</t>
  </si>
  <si>
    <t>Belligerence</t>
  </si>
  <si>
    <t>Belligerent</t>
  </si>
  <si>
    <t>Bemuse</t>
  </si>
  <si>
    <t>Beneficent</t>
  </si>
  <si>
    <t>Benevolent</t>
  </si>
  <si>
    <t>Benign</t>
  </si>
  <si>
    <t>Berate</t>
  </si>
  <si>
    <t>Bereft</t>
  </si>
  <si>
    <t>Betray</t>
  </si>
  <si>
    <t>Bias</t>
  </si>
  <si>
    <t>Blemish</t>
  </si>
  <si>
    <t>Blight</t>
  </si>
  <si>
    <t>Blithe</t>
  </si>
  <si>
    <t>Blunt</t>
  </si>
  <si>
    <t>Bogus</t>
  </si>
  <si>
    <t>(boʊgəs IPA Pronunciation Guide )
ADJECTIVE
If you describe something as bogus, you mean that it is not genuine.
...their bogus insurance claim. 
He said these figures were bogus and totally inaccurate. 
Synonyms: fake, false, artificial, forged</t>
  </si>
  <si>
    <t>Boisterous</t>
  </si>
  <si>
    <t>(boʊlstəʳ IPA Pronunciation Guide )
Word forms: plural, 3rd person singular present tense bolsters , present participle bolstering , past tense, past participle bolstered
1. VERB
If you bolster something such as someone's confidence or courage, you increase it.
Hopes of an early cut in interest rates bolstered confidence. [VERB noun] 
...a number of measures intended to bolster morale. [VERB noun] 
Synonyms: support, help, aid, maintain   More Synonyms of bolster
2. VERB
If someone tries to bolster their position in a situation, they try to strengthen it.
Britain is free to adopt policies to bolster its economy. [VERB noun] 
Bolster up means the same as bolster.
...an aid programme to bolster up their troubled economy. [VERB PARTICLE noun] 
[Also VERB noun PARTICLE]
3. COUNTABLE NOUN
A bolster is a firm pillow shaped like a long tube which is sometimes put across a bed under the ordinary pillows.
Synonyms: pillow, support, pad, cushion</t>
  </si>
  <si>
    <t>Bombastic</t>
  </si>
  <si>
    <t>Boon</t>
  </si>
  <si>
    <t>Boorish</t>
  </si>
  <si>
    <t>Braggart</t>
  </si>
  <si>
    <t>Brandish</t>
  </si>
  <si>
    <t>Bravado</t>
  </si>
  <si>
    <t>Brazen</t>
  </si>
  <si>
    <t>Brevity</t>
  </si>
  <si>
    <t>Bridle</t>
  </si>
  <si>
    <t>Bromide</t>
  </si>
  <si>
    <t>Brook</t>
  </si>
  <si>
    <t>Bucolic</t>
  </si>
  <si>
    <t>Buoyancy</t>
  </si>
  <si>
    <t>Buoyant</t>
  </si>
  <si>
    <t>Burgeon</t>
  </si>
  <si>
    <t>Burnish</t>
  </si>
  <si>
    <t>Buttress</t>
  </si>
  <si>
    <t>Byzantine</t>
  </si>
  <si>
    <t>Cacophonous</t>
  </si>
  <si>
    <t>Cajole</t>
  </si>
  <si>
    <t>Calamitous</t>
  </si>
  <si>
    <t>Calibrate</t>
  </si>
  <si>
    <t>Callous</t>
  </si>
  <si>
    <t>Callow</t>
  </si>
  <si>
    <t>Calumny</t>
  </si>
  <si>
    <t>Camaraderie</t>
  </si>
  <si>
    <t>Candid</t>
  </si>
  <si>
    <t>Candor</t>
  </si>
  <si>
    <t>Canny</t>
  </si>
  <si>
    <t>Canonize</t>
  </si>
  <si>
    <t>Capitulate</t>
  </si>
  <si>
    <t>Caprice</t>
  </si>
  <si>
    <t>Captious</t>
  </si>
  <si>
    <t>Caricature</t>
  </si>
  <si>
    <t>Castigate</t>
  </si>
  <si>
    <t>Cataclysmic</t>
  </si>
  <si>
    <t>Catastrophe</t>
  </si>
  <si>
    <t>Cathartic</t>
  </si>
  <si>
    <t>Catholic</t>
  </si>
  <si>
    <t>Caustic</t>
  </si>
  <si>
    <t>Cavalier</t>
  </si>
  <si>
    <t>Cease</t>
  </si>
  <si>
    <t>Celebrated</t>
  </si>
  <si>
    <t>Censure</t>
  </si>
  <si>
    <t>Cerebral</t>
  </si>
  <si>
    <t>Cessation</t>
  </si>
  <si>
    <t>Chagrin</t>
  </si>
  <si>
    <t>Champion</t>
  </si>
  <si>
    <t>(tʃæmpiən IPA Pronunciation Guide )
Word forms: plural, 3rd person singular present tense champions , present participle championing , past tense, past participle championed
1. COUNTABLE NOUN B1
A champion is someone who has won the first prize in a competition, contest, or fight.
...a former Commonwealth champion. 
Kasparov became world champion. 
...a champion boxer and skier. 
Synonyms: winner, hero, victor, conqueror   More Synonyms of champion
2. COUNTABLE NOUN
If you are a champion of a person, a cause, or a principle, you support or defend them.
He received acclaim as a champion of the oppressed. 
He was once known as a champion of social reform. [+ of] 
Synonyms: defender, guardian, patron, backer   More Synonyms of champion
3. VERB
If you champion a person, a cause, or a principle, you support or defend them.
He passionately championed the poor. [VERB noun] 
The amendments had been championed by pro-democracy activists. [be VERB-ed + by]</t>
  </si>
  <si>
    <t>Chary</t>
  </si>
  <si>
    <t>Chastise</t>
  </si>
  <si>
    <t xml:space="preserve">(tʃæstaɪz IPA Pronunciation Guide )
Word forms: 3rd person singular present tense chastises , present participle chastising , past tense, past participle chastised
VERB
If you chastise someone, you speak to them angrily or punish them for something wrong that they have done.
[formal]
Thomas Rane chastised Peters for his cruelty. [VERB noun + for] 
The Securities Commission chastised the firm but imposed no fine. [VERB noun] 
I just don't want you to chastise yourself. [VERB pronoun-reflexive] </t>
  </si>
  <si>
    <t>Chauvinistic</t>
  </si>
  <si>
    <t>Check</t>
  </si>
  <si>
    <t>Cherish</t>
  </si>
  <si>
    <t>Chicanery</t>
  </si>
  <si>
    <t>Chivalrous</t>
  </si>
  <si>
    <t>Churlish</t>
  </si>
  <si>
    <t>Circumscribe</t>
  </si>
  <si>
    <t>Circumspect</t>
  </si>
  <si>
    <t>Circumstantial</t>
  </si>
  <si>
    <t>Cite</t>
  </si>
  <si>
    <t>Clamorous</t>
  </si>
  <si>
    <t>Clandestine</t>
  </si>
  <si>
    <t>Clangor</t>
  </si>
  <si>
    <t>Clearheaded</t>
  </si>
  <si>
    <t>Clerical</t>
  </si>
  <si>
    <t>Cloak</t>
  </si>
  <si>
    <t>Clumsy</t>
  </si>
  <si>
    <t>Coalesce</t>
  </si>
  <si>
    <t>Coddle</t>
  </si>
  <si>
    <t>Code</t>
  </si>
  <si>
    <t>Coercion</t>
  </si>
  <si>
    <t>Cogent</t>
  </si>
  <si>
    <t>Cogitate</t>
  </si>
  <si>
    <t>Cognizance</t>
  </si>
  <si>
    <t>Coherent</t>
  </si>
  <si>
    <t>Coin</t>
  </si>
  <si>
    <t>Collaborate</t>
  </si>
  <si>
    <t>Collude</t>
  </si>
  <si>
    <t xml:space="preserve">(kəluːd IPA Pronunciation Guide )
Word forms: 3rd person singular present tense colludes , present participle colluding , past tense, past participle colluded
VERB
If one person colludes with another, they co-operate with them secretly or illegally.
[disapproval]
Several local officials are in jail on charges of colluding with the Mafia. [VERB + with] 
My mother colluded in the myth of him as the swanky businessman. [VERB + in] 
The two companies were colluding to exploit consumers. [VERB] 
[Also pl-n V to-inf]
Synonyms: conspire, scheme, plot, intrigue </t>
  </si>
  <si>
    <t>Collusion</t>
  </si>
  <si>
    <t>Noun form of collude</t>
  </si>
  <si>
    <t>Comity</t>
  </si>
  <si>
    <t>Commence</t>
  </si>
  <si>
    <t>Commensurate</t>
  </si>
  <si>
    <t>Commiserate</t>
  </si>
  <si>
    <t>Commonplace</t>
  </si>
  <si>
    <t>Compel</t>
  </si>
  <si>
    <t>Compelling</t>
  </si>
  <si>
    <t>Compete</t>
  </si>
  <si>
    <t>Competent</t>
  </si>
  <si>
    <t>Complacent</t>
  </si>
  <si>
    <t>Complementary</t>
  </si>
  <si>
    <t>Compliance</t>
  </si>
  <si>
    <t>Compliant</t>
  </si>
  <si>
    <t>Compliment</t>
  </si>
  <si>
    <t>Complimentary</t>
  </si>
  <si>
    <t>Comply</t>
  </si>
  <si>
    <t>Compounded</t>
  </si>
  <si>
    <t>Comprehensive</t>
  </si>
  <si>
    <t>Compromise</t>
  </si>
  <si>
    <t>Conciliatory</t>
  </si>
  <si>
    <t>Conclusive</t>
  </si>
  <si>
    <t>Condescending</t>
  </si>
  <si>
    <t>Conditional</t>
  </si>
  <si>
    <t>Condone</t>
  </si>
  <si>
    <t>Conducive</t>
  </si>
  <si>
    <t>Conflagration</t>
  </si>
  <si>
    <t>Confound</t>
  </si>
  <si>
    <t>Congenial</t>
  </si>
  <si>
    <t>Conjectural</t>
  </si>
  <si>
    <t>Conjecture</t>
  </si>
  <si>
    <t>Connoisseur</t>
  </si>
  <si>
    <t>Consensus</t>
  </si>
  <si>
    <t>Consequential</t>
  </si>
  <si>
    <t>Conspicuous</t>
  </si>
  <si>
    <t>Conspire</t>
  </si>
  <si>
    <t>Constraining</t>
  </si>
  <si>
    <t>Construe</t>
  </si>
  <si>
    <t>Contemporary</t>
  </si>
  <si>
    <t>Contempt</t>
  </si>
  <si>
    <t>Contemptuous</t>
  </si>
  <si>
    <t>Contend</t>
  </si>
  <si>
    <t>Contentious</t>
  </si>
  <si>
    <t>Contentment</t>
  </si>
  <si>
    <t>Contingent</t>
  </si>
  <si>
    <t>Contravene</t>
  </si>
  <si>
    <t>Contretemps</t>
  </si>
  <si>
    <t>Contrite</t>
  </si>
  <si>
    <t>Convalescent</t>
  </si>
  <si>
    <t>Conventional</t>
  </si>
  <si>
    <t>Conviction</t>
  </si>
  <si>
    <t>Convivial</t>
  </si>
  <si>
    <t>Convoluted</t>
  </si>
  <si>
    <t>Copious</t>
  </si>
  <si>
    <t>Cordial</t>
  </si>
  <si>
    <t>Corporeal</t>
  </si>
  <si>
    <t>Correlate</t>
  </si>
  <si>
    <t>Cosmopolitan</t>
  </si>
  <si>
    <t>Countenance</t>
  </si>
  <si>
    <t>Countercultural</t>
  </si>
  <si>
    <t>Counterfeit</t>
  </si>
  <si>
    <t>Counterintuitive</t>
  </si>
  <si>
    <t>Counterproductive</t>
  </si>
  <si>
    <t>Covert</t>
  </si>
  <si>
    <t>Covet</t>
  </si>
  <si>
    <t>Cow</t>
  </si>
  <si>
    <t>Coy</t>
  </si>
  <si>
    <t>Craft</t>
  </si>
  <si>
    <t>Crafty</t>
  </si>
  <si>
    <t>Craven</t>
  </si>
  <si>
    <t>Credible</t>
  </si>
  <si>
    <t>Crescendo</t>
  </si>
  <si>
    <t>Crestfallen</t>
  </si>
  <si>
    <t>Croon</t>
  </si>
  <si>
    <t>Crumble</t>
  </si>
  <si>
    <t>Culprit</t>
  </si>
  <si>
    <t>Cumbersome</t>
  </si>
  <si>
    <t>Cunning</t>
  </si>
  <si>
    <t>Cupid</t>
  </si>
  <si>
    <t>Curb</t>
  </si>
  <si>
    <t>Curmudgeon</t>
  </si>
  <si>
    <t>Cursory</t>
  </si>
  <si>
    <t>Curtail</t>
  </si>
  <si>
    <t>Cynical</t>
  </si>
  <si>
    <t>Daunt</t>
  </si>
  <si>
    <t>Daunting</t>
  </si>
  <si>
    <t>Dawdle</t>
  </si>
  <si>
    <t>Dearth</t>
  </si>
  <si>
    <t>Debacle</t>
  </si>
  <si>
    <t>Debase</t>
  </si>
  <si>
    <t>Debilitating</t>
  </si>
  <si>
    <t>Debunk</t>
  </si>
  <si>
    <t>Decadent</t>
  </si>
  <si>
    <t>Deceit</t>
  </si>
  <si>
    <t>Deceptive</t>
  </si>
  <si>
    <t>Decipher</t>
  </si>
  <si>
    <t>Decorum</t>
  </si>
  <si>
    <t>Decry</t>
  </si>
  <si>
    <t>Defamatory</t>
  </si>
  <si>
    <t>Deference</t>
  </si>
  <si>
    <t>Deferential</t>
  </si>
  <si>
    <t>Deflect</t>
  </si>
  <si>
    <t>Deft</t>
  </si>
  <si>
    <t>Defy</t>
  </si>
  <si>
    <t>Deify</t>
  </si>
  <si>
    <t>Deleterious</t>
  </si>
  <si>
    <t>Deliberate</t>
  </si>
  <si>
    <t>Delicacy</t>
  </si>
  <si>
    <t>Delineate</t>
  </si>
  <si>
    <t>Delusion</t>
  </si>
  <si>
    <t>Demanding</t>
  </si>
  <si>
    <t>Demur</t>
  </si>
  <si>
    <t>Demystify</t>
  </si>
  <si>
    <t>Denigrate</t>
  </si>
  <si>
    <t>Denounce</t>
  </si>
  <si>
    <t>Deportment</t>
  </si>
  <si>
    <t>Depose</t>
  </si>
  <si>
    <t>Depravity</t>
  </si>
  <si>
    <t>Deprecate</t>
  </si>
  <si>
    <t>Deride</t>
  </si>
  <si>
    <t>Derivative</t>
  </si>
  <si>
    <t>Desiccate</t>
  </si>
  <si>
    <t>Despair</t>
  </si>
  <si>
    <t>Despotic</t>
  </si>
  <si>
    <t>Desultory</t>
  </si>
  <si>
    <t>Detached</t>
  </si>
  <si>
    <t>Detente</t>
  </si>
  <si>
    <t>Deter</t>
  </si>
  <si>
    <t>Detractor</t>
  </si>
  <si>
    <t>Detrimental</t>
  </si>
  <si>
    <t>Deviate</t>
  </si>
  <si>
    <t>Devious</t>
  </si>
  <si>
    <t>Devolve</t>
  </si>
  <si>
    <t>Dexter</t>
  </si>
  <si>
    <t>Diatribe</t>
  </si>
  <si>
    <t>Dichotomy</t>
  </si>
  <si>
    <t>Dictate</t>
  </si>
  <si>
    <t>Dictum</t>
  </si>
  <si>
    <t>Diffident</t>
  </si>
  <si>
    <t>Diffuse</t>
  </si>
  <si>
    <t>Digression</t>
  </si>
  <si>
    <t>Dilate</t>
  </si>
  <si>
    <t>Dilatory</t>
  </si>
  <si>
    <t>Dilemma</t>
  </si>
  <si>
    <t>Dilettante</t>
  </si>
  <si>
    <t>Diminutive</t>
  </si>
  <si>
    <t>Dirge</t>
  </si>
  <si>
    <t>Disaffection</t>
  </si>
  <si>
    <t>Disapprobation</t>
  </si>
  <si>
    <t>Discern</t>
  </si>
  <si>
    <t>Discernible</t>
  </si>
  <si>
    <t>Disciple</t>
  </si>
  <si>
    <t>Discomfit</t>
  </si>
  <si>
    <t>Disconcert</t>
  </si>
  <si>
    <t>Discord</t>
  </si>
  <si>
    <t>Discount</t>
  </si>
  <si>
    <t>Discredit</t>
  </si>
  <si>
    <t>Discreet</t>
  </si>
  <si>
    <t>Discrepancy</t>
  </si>
  <si>
    <t>Disdain</t>
  </si>
  <si>
    <t>Disenchant</t>
  </si>
  <si>
    <t>Disentangle</t>
  </si>
  <si>
    <t>Disgorge</t>
  </si>
  <si>
    <t>Disgruntle</t>
  </si>
  <si>
    <t>Disingenuous</t>
  </si>
  <si>
    <t>Disintegrate</t>
  </si>
  <si>
    <t>Disinterested</t>
  </si>
  <si>
    <t>Disjunction</t>
  </si>
  <si>
    <t>Dislocation</t>
  </si>
  <si>
    <t>Dismantle</t>
  </si>
  <si>
    <t>Disorient</t>
  </si>
  <si>
    <t>Disparate</t>
  </si>
  <si>
    <t>Dispassionate</t>
  </si>
  <si>
    <t>Dispense</t>
  </si>
  <si>
    <t>Disperse</t>
  </si>
  <si>
    <t>Disquiet</t>
  </si>
  <si>
    <t>Dissemble</t>
  </si>
  <si>
    <t>Disseminate</t>
  </si>
  <si>
    <t>Dissent</t>
  </si>
  <si>
    <t>Dissident</t>
  </si>
  <si>
    <t>Dissimilar</t>
  </si>
  <si>
    <t>Dissolution</t>
  </si>
  <si>
    <t>Distaste</t>
  </si>
  <si>
    <t>Distend</t>
  </si>
  <si>
    <t>Distill</t>
  </si>
  <si>
    <t>Distort</t>
  </si>
  <si>
    <t>Distressed</t>
  </si>
  <si>
    <t>Divergent</t>
  </si>
  <si>
    <t>Divorced</t>
  </si>
  <si>
    <t>Divulge</t>
  </si>
  <si>
    <t>Doctrinaire</t>
  </si>
  <si>
    <t>Documentary</t>
  </si>
  <si>
    <t>Dogged</t>
  </si>
  <si>
    <t>Dogmatic</t>
  </si>
  <si>
    <t>Dormant</t>
  </si>
  <si>
    <t>Dowdy</t>
  </si>
  <si>
    <t>Draconian</t>
  </si>
  <si>
    <t>Droll</t>
  </si>
  <si>
    <t>Dubious</t>
  </si>
  <si>
    <t>Dupe</t>
  </si>
  <si>
    <t>Duplicitous</t>
  </si>
  <si>
    <t>Duplicity</t>
  </si>
  <si>
    <t>Duress</t>
  </si>
  <si>
    <t>Dwarf</t>
  </si>
  <si>
    <t>Dwindling</t>
  </si>
  <si>
    <t>Dynamism</t>
  </si>
  <si>
    <t>Ebullient</t>
  </si>
  <si>
    <t>Eccentric</t>
  </si>
  <si>
    <t>Echelon</t>
  </si>
  <si>
    <t>Eclectic</t>
  </si>
  <si>
    <t>Eclipse</t>
  </si>
  <si>
    <t>Ecological</t>
  </si>
  <si>
    <t>Economical</t>
  </si>
  <si>
    <t>Economy</t>
  </si>
  <si>
    <t>Ecstatic</t>
  </si>
  <si>
    <t>Edify</t>
  </si>
  <si>
    <t>Efficacious</t>
  </si>
  <si>
    <t>Efficacy</t>
  </si>
  <si>
    <t>Effrontery</t>
  </si>
  <si>
    <t>Egalitarian</t>
  </si>
  <si>
    <t>Egoism</t>
  </si>
  <si>
    <t>Egotist</t>
  </si>
  <si>
    <t>Egregious</t>
  </si>
  <si>
    <t>Elate</t>
  </si>
  <si>
    <t>Elated</t>
  </si>
  <si>
    <t>Elementary</t>
  </si>
  <si>
    <t>Elevate</t>
  </si>
  <si>
    <t>Elicit</t>
  </si>
  <si>
    <t>Elitist</t>
  </si>
  <si>
    <t>Eloquent</t>
  </si>
  <si>
    <t>Elucidate</t>
  </si>
  <si>
    <t>Elusive</t>
  </si>
  <si>
    <t>Embargo</t>
  </si>
  <si>
    <t>Embellish</t>
  </si>
  <si>
    <t>Empathy</t>
  </si>
  <si>
    <t>Empirical</t>
  </si>
  <si>
    <t>Emulate</t>
  </si>
  <si>
    <t>Enamor</t>
  </si>
  <si>
    <t>Enchant</t>
  </si>
  <si>
    <t>Encroach</t>
  </si>
  <si>
    <t>Encyclopedic</t>
  </si>
  <si>
    <t>Endanger</t>
  </si>
  <si>
    <t>Endemic</t>
  </si>
  <si>
    <t>Endorse</t>
  </si>
  <si>
    <t>Endow</t>
  </si>
  <si>
    <t>Enervate</t>
  </si>
  <si>
    <t>Enfeeble</t>
  </si>
  <si>
    <t>Engage</t>
  </si>
  <si>
    <t>Engender</t>
  </si>
  <si>
    <t>Enigmatic</t>
  </si>
  <si>
    <t>Enlarge</t>
  </si>
  <si>
    <t>Enlighten</t>
  </si>
  <si>
    <t>Enmity</t>
  </si>
  <si>
    <t>Ennui</t>
  </si>
  <si>
    <t>Ensue</t>
  </si>
  <si>
    <t>Entail</t>
  </si>
  <si>
    <t>Enthrall</t>
  </si>
  <si>
    <t>Entitled</t>
  </si>
  <si>
    <t>Entreat</t>
  </si>
  <si>
    <t>Entreaty</t>
  </si>
  <si>
    <t>Entrench</t>
  </si>
  <si>
    <t>Entrenched</t>
  </si>
  <si>
    <t>Enviable</t>
  </si>
  <si>
    <t>Equanimity</t>
  </si>
  <si>
    <t>Equitable</t>
  </si>
  <si>
    <t>Equivocate</t>
  </si>
  <si>
    <t>Eradicate</t>
  </si>
  <si>
    <t>Erode</t>
  </si>
  <si>
    <t>Erratic</t>
  </si>
  <si>
    <t>Erroneous</t>
  </si>
  <si>
    <t>Erstwhile</t>
  </si>
  <si>
    <t>Escalate</t>
  </si>
  <si>
    <t>Eschew</t>
  </si>
  <si>
    <t>Esoteric</t>
  </si>
  <si>
    <t>Estimable</t>
  </si>
  <si>
    <t>Estrange</t>
  </si>
  <si>
    <t>Euphemism</t>
  </si>
  <si>
    <t>Euphoric</t>
  </si>
  <si>
    <t>Evade</t>
  </si>
  <si>
    <t>Evanescent</t>
  </si>
  <si>
    <t>Evasive</t>
  </si>
  <si>
    <t>Eventuate</t>
  </si>
  <si>
    <t>Evoke</t>
  </si>
  <si>
    <t>Exacerbate</t>
  </si>
  <si>
    <t>Exact</t>
  </si>
  <si>
    <t>Exacting</t>
  </si>
  <si>
    <t>Exalt</t>
  </si>
  <si>
    <t>Exasperate</t>
  </si>
  <si>
    <t>Excoriate</t>
  </si>
  <si>
    <t>Exculpate</t>
  </si>
  <si>
    <t>Exegesis</t>
  </si>
  <si>
    <t>Exhaustive</t>
  </si>
  <si>
    <t>Exhilarating</t>
  </si>
  <si>
    <t>Exhort</t>
  </si>
  <si>
    <t>Exigent</t>
  </si>
  <si>
    <t>Exonerate</t>
  </si>
  <si>
    <t>Exorbitant</t>
  </si>
  <si>
    <t>Exorcise</t>
  </si>
  <si>
    <t>Exotic</t>
  </si>
  <si>
    <t>Expatiate</t>
  </si>
  <si>
    <t>Expedient</t>
  </si>
  <si>
    <t>Expedite</t>
  </si>
  <si>
    <t>Explicate</t>
  </si>
  <si>
    <t>Explicit</t>
  </si>
  <si>
    <t>Exploit</t>
  </si>
  <si>
    <t>Exposition</t>
  </si>
  <si>
    <t>Extempore</t>
  </si>
  <si>
    <t>Extenuating</t>
  </si>
  <si>
    <t>Extol</t>
  </si>
  <si>
    <t>Extraneous</t>
  </si>
  <si>
    <t>Extrapolate</t>
  </si>
  <si>
    <t>Extravagant</t>
  </si>
  <si>
    <t>Fabricate</t>
  </si>
  <si>
    <t>Facetious</t>
  </si>
  <si>
    <t>Factious</t>
  </si>
  <si>
    <t>Factual</t>
  </si>
  <si>
    <t>Fallacious</t>
  </si>
  <si>
    <t>Fallible</t>
  </si>
  <si>
    <t>Fallow</t>
  </si>
  <si>
    <t>Falter</t>
  </si>
  <si>
    <t>Fanciful</t>
  </si>
  <si>
    <t>Farsighted</t>
  </si>
  <si>
    <t>Fascinate</t>
  </si>
  <si>
    <t>Fawn</t>
  </si>
  <si>
    <t>Feasible</t>
  </si>
  <si>
    <t>Feckless</t>
  </si>
  <si>
    <t>Fecund</t>
  </si>
  <si>
    <t>Feeble</t>
  </si>
  <si>
    <t>Feign</t>
  </si>
  <si>
    <t>Feint</t>
  </si>
  <si>
    <t>Felicitous</t>
  </si>
  <si>
    <t>Fervent</t>
  </si>
  <si>
    <t>Fervid</t>
  </si>
  <si>
    <t>Fervor</t>
  </si>
  <si>
    <t>Fester</t>
  </si>
  <si>
    <t>Fickle</t>
  </si>
  <si>
    <t>Figurative</t>
  </si>
  <si>
    <t>Finicky</t>
  </si>
  <si>
    <t>Fitfully</t>
  </si>
  <si>
    <t>Fixate</t>
  </si>
  <si>
    <t>Flagrant</t>
  </si>
  <si>
    <t>Flamboyant</t>
  </si>
  <si>
    <t>Flattery</t>
  </si>
  <si>
    <t>Fledgling</t>
  </si>
  <si>
    <t>Fleeting</t>
  </si>
  <si>
    <t>Florid</t>
  </si>
  <si>
    <t>Flourish</t>
  </si>
  <si>
    <t>Flout</t>
  </si>
  <si>
    <t>Flummoxed</t>
  </si>
  <si>
    <t>Fluster</t>
  </si>
  <si>
    <t>Flustered</t>
  </si>
  <si>
    <t>Foil</t>
  </si>
  <si>
    <t>Foment</t>
  </si>
  <si>
    <t>Foolhardy</t>
  </si>
  <si>
    <t>Forbear</t>
  </si>
  <si>
    <t>Forebode</t>
  </si>
  <si>
    <t>Foreground</t>
  </si>
  <si>
    <t>Foreseeable</t>
  </si>
  <si>
    <t>Foresight</t>
  </si>
  <si>
    <t>Forestall</t>
  </si>
  <si>
    <t>Forgery</t>
  </si>
  <si>
    <t>Forgo</t>
  </si>
  <si>
    <t>Forsake</t>
  </si>
  <si>
    <t>Fortitude</t>
  </si>
  <si>
    <t>Fortuitous</t>
  </si>
  <si>
    <t>Foster</t>
  </si>
  <si>
    <t>Fractious</t>
  </si>
  <si>
    <t>Frailty</t>
  </si>
  <si>
    <t>Fraught</t>
  </si>
  <si>
    <t>Frenetic</t>
  </si>
  <si>
    <t>Fret</t>
  </si>
  <si>
    <t>Fringe</t>
  </si>
  <si>
    <t>Frivolous</t>
  </si>
  <si>
    <t>Frugality</t>
  </si>
  <si>
    <t>Fruitful</t>
  </si>
  <si>
    <t>Fulcrum</t>
  </si>
  <si>
    <t>Fungible</t>
  </si>
  <si>
    <t>Furtive</t>
  </si>
  <si>
    <t>Fusion</t>
  </si>
  <si>
    <t>Futile</t>
  </si>
  <si>
    <t>Gaffe</t>
  </si>
  <si>
    <t>Gainsay</t>
  </si>
  <si>
    <t>Galvanize</t>
  </si>
  <si>
    <t>Games</t>
  </si>
  <si>
    <t>Gauche</t>
  </si>
  <si>
    <t>Gawky</t>
  </si>
  <si>
    <t>Genealogy</t>
  </si>
  <si>
    <t>Germane</t>
  </si>
  <si>
    <t>Giddily</t>
  </si>
  <si>
    <t>Glib</t>
  </si>
  <si>
    <t>Gloat</t>
  </si>
  <si>
    <t>Global</t>
  </si>
  <si>
    <t>Gloom</t>
  </si>
  <si>
    <t>Glorification</t>
  </si>
  <si>
    <t>Glum</t>
  </si>
  <si>
    <t>Goad</t>
  </si>
  <si>
    <t>Goosebumps</t>
  </si>
  <si>
    <t>Gracious</t>
  </si>
  <si>
    <t>Gratify</t>
  </si>
  <si>
    <t>Gratuitous</t>
  </si>
  <si>
    <t>Gravity</t>
  </si>
  <si>
    <t>Gregarious</t>
  </si>
  <si>
    <t>Grievance</t>
  </si>
  <si>
    <t>Grouchy</t>
  </si>
  <si>
    <t>Grovel</t>
  </si>
  <si>
    <t>Grumble</t>
  </si>
  <si>
    <t>Gullible</t>
  </si>
  <si>
    <t>Hamper</t>
  </si>
  <si>
    <t>Haphazard</t>
  </si>
  <si>
    <t>Hapless</t>
  </si>
  <si>
    <t>Harangue</t>
  </si>
  <si>
    <t>Harbinger</t>
  </si>
  <si>
    <t>Harmonious</t>
  </si>
  <si>
    <t>Harrow</t>
  </si>
  <si>
    <t>Haughty</t>
  </si>
  <si>
    <t>Headstrong</t>
  </si>
  <si>
    <t>Heady</t>
  </si>
  <si>
    <t>Heed</t>
  </si>
  <si>
    <t>Herald</t>
  </si>
  <si>
    <t>Heterodox</t>
  </si>
  <si>
    <t>Heterogeneous</t>
  </si>
  <si>
    <t>Hidebound</t>
  </si>
  <si>
    <t>Hinder</t>
  </si>
  <si>
    <t>Histrionic</t>
  </si>
  <si>
    <t>Hodgepodge</t>
  </si>
  <si>
    <t>Homogeneous</t>
  </si>
  <si>
    <t>Hortatory</t>
  </si>
  <si>
    <t>Hospitable</t>
  </si>
  <si>
    <t>Humdrum</t>
  </si>
  <si>
    <t>Hybrid</t>
  </si>
  <si>
    <t>Hyperbole</t>
  </si>
  <si>
    <t>Hypocrite</t>
  </si>
  <si>
    <t>Hypothesis</t>
  </si>
  <si>
    <t>Hysterical</t>
  </si>
  <si>
    <t>Iconoclastic</t>
  </si>
  <si>
    <t>Idealistic</t>
  </si>
  <si>
    <t>Ideologue</t>
  </si>
  <si>
    <t>Ideology</t>
  </si>
  <si>
    <t>Idiosyncratic</t>
  </si>
  <si>
    <t>Idyllic</t>
  </si>
  <si>
    <t>Illiberal</t>
  </si>
  <si>
    <t>Illuminate</t>
  </si>
  <si>
    <t>Illusory</t>
  </si>
  <si>
    <t>Illustrative</t>
  </si>
  <si>
    <t>Imbroglio</t>
  </si>
  <si>
    <t>Imitate</t>
  </si>
  <si>
    <t>Immaculate</t>
  </si>
  <si>
    <t>Imminent</t>
  </si>
  <si>
    <t>Immunity</t>
  </si>
  <si>
    <t>Immure</t>
  </si>
  <si>
    <t>Immutable</t>
  </si>
  <si>
    <t>Impair</t>
  </si>
  <si>
    <t>Impartial</t>
  </si>
  <si>
    <t>Impecunious</t>
  </si>
  <si>
    <t>Impede</t>
  </si>
  <si>
    <t>Impediment</t>
  </si>
  <si>
    <t>Impenetrable</t>
  </si>
  <si>
    <t>Imperative</t>
  </si>
  <si>
    <t>Imperious</t>
  </si>
  <si>
    <t>Impertinent</t>
  </si>
  <si>
    <t>Imperturbable</t>
  </si>
  <si>
    <t>Impervious</t>
  </si>
  <si>
    <t>Impetus</t>
  </si>
  <si>
    <t>Implacable</t>
  </si>
  <si>
    <t>Implausible</t>
  </si>
  <si>
    <t>Implicit</t>
  </si>
  <si>
    <t>Impolitic</t>
  </si>
  <si>
    <t>Improbable</t>
  </si>
  <si>
    <t>Improvise</t>
  </si>
  <si>
    <t>Imprudent</t>
  </si>
  <si>
    <t>Impudent</t>
  </si>
  <si>
    <t>Impugn</t>
  </si>
  <si>
    <t>Impulsive</t>
  </si>
  <si>
    <t>Inalienable</t>
  </si>
  <si>
    <t>Inarticulate</t>
  </si>
  <si>
    <t>Incendiary</t>
  </si>
  <si>
    <t>Incensed</t>
  </si>
  <si>
    <t>Incessant</t>
  </si>
  <si>
    <t>Inchoate</t>
  </si>
  <si>
    <t>Incidental</t>
  </si>
  <si>
    <t>Incitement</t>
  </si>
  <si>
    <t>Inclined</t>
  </si>
  <si>
    <t>Incongruous</t>
  </si>
  <si>
    <t>Inconsequential</t>
  </si>
  <si>
    <t>Inconsiderable</t>
  </si>
  <si>
    <t>Incontrovertible</t>
  </si>
  <si>
    <t>Incredulous</t>
  </si>
  <si>
    <t>Indebted</t>
  </si>
  <si>
    <t>Indecipherable</t>
  </si>
  <si>
    <t>Indecision</t>
  </si>
  <si>
    <t>Indecorous</t>
  </si>
  <si>
    <t>Indefatigable</t>
  </si>
  <si>
    <t>Indemnify</t>
  </si>
  <si>
    <t>Indict</t>
  </si>
  <si>
    <t>Indictment</t>
  </si>
  <si>
    <t>Indifferent</t>
  </si>
  <si>
    <t>Indignant</t>
  </si>
  <si>
    <t>Indiscernible</t>
  </si>
  <si>
    <t>Indiscretion</t>
  </si>
  <si>
    <t>Indiscriminate</t>
  </si>
  <si>
    <t>Indispensable</t>
  </si>
  <si>
    <t>Indolent</t>
  </si>
  <si>
    <t>Inducement</t>
  </si>
  <si>
    <t>Inductive</t>
  </si>
  <si>
    <t>Industrious</t>
  </si>
  <si>
    <t>Ineluctable</t>
  </si>
  <si>
    <t>Inept</t>
  </si>
  <si>
    <t>Inertia</t>
  </si>
  <si>
    <t>Inestimable</t>
  </si>
  <si>
    <t>Inevitable</t>
  </si>
  <si>
    <t>Inexhaustible</t>
  </si>
  <si>
    <t>Infallible</t>
  </si>
  <si>
    <t>Infelicity</t>
  </si>
  <si>
    <t>Inform</t>
  </si>
  <si>
    <t>Ingenious</t>
  </si>
  <si>
    <t>Ingenuous</t>
  </si>
  <si>
    <t>Ingrained</t>
  </si>
  <si>
    <t>Inhibit</t>
  </si>
  <si>
    <t>Inimical</t>
  </si>
  <si>
    <t>Injudicious</t>
  </si>
  <si>
    <t>Innocuous</t>
  </si>
  <si>
    <t>Inquisitive</t>
  </si>
  <si>
    <t>Inscrutable</t>
  </si>
  <si>
    <t>Insidious</t>
  </si>
  <si>
    <t>Insightful</t>
  </si>
  <si>
    <t>Insolent</t>
  </si>
  <si>
    <t>Instigate</t>
  </si>
  <si>
    <t>Institutionalize</t>
  </si>
  <si>
    <t>Insular</t>
  </si>
  <si>
    <t>Insurmountable</t>
  </si>
  <si>
    <t>Integrate</t>
  </si>
  <si>
    <t>Integrity</t>
  </si>
  <si>
    <t>Intelligible</t>
  </si>
  <si>
    <t>Intercept</t>
  </si>
  <si>
    <t>Interchangeable</t>
  </si>
  <si>
    <t>Intermediary</t>
  </si>
  <si>
    <t>Interminable</t>
  </si>
  <si>
    <t>Intermittent</t>
  </si>
  <si>
    <t>Internalize</t>
  </si>
  <si>
    <t>Intertwined</t>
  </si>
  <si>
    <t>Interweave</t>
  </si>
  <si>
    <t>Intimate</t>
  </si>
  <si>
    <t>Intimately</t>
  </si>
  <si>
    <t>Intractable</t>
  </si>
  <si>
    <t>Intransigent</t>
  </si>
  <si>
    <t>Intrepid</t>
  </si>
  <si>
    <t>Intrigue</t>
  </si>
  <si>
    <t>Intrinsic</t>
  </si>
  <si>
    <t>Inundate</t>
  </si>
  <si>
    <t>Invaluable</t>
  </si>
  <si>
    <t>Invasive</t>
  </si>
  <si>
    <t>Inveigle</t>
  </si>
  <si>
    <t>Inveterate</t>
  </si>
  <si>
    <t>Invidious</t>
  </si>
  <si>
    <t>Invigorate</t>
  </si>
  <si>
    <t>Inviolate</t>
  </si>
  <si>
    <t>Inviting</t>
  </si>
  <si>
    <t>Involved</t>
  </si>
  <si>
    <t>Irascible</t>
  </si>
  <si>
    <t>Ire</t>
  </si>
  <si>
    <t>Irksome</t>
  </si>
  <si>
    <t>Ironclad</t>
  </si>
  <si>
    <t>Ironic</t>
  </si>
  <si>
    <t>Irreconcilable</t>
  </si>
  <si>
    <t>Irrefutable</t>
  </si>
  <si>
    <t>Irremediable</t>
  </si>
  <si>
    <t>Irresolute</t>
  </si>
  <si>
    <t>Irreverent</t>
  </si>
  <si>
    <t>Itinerant</t>
  </si>
  <si>
    <t>Jeopardize</t>
  </si>
  <si>
    <t>Jettison</t>
  </si>
  <si>
    <t>Jocund</t>
  </si>
  <si>
    <t>Judicious</t>
  </si>
  <si>
    <t>Juxtaposition</t>
  </si>
  <si>
    <t>Keen</t>
  </si>
  <si>
    <t>Kindred</t>
  </si>
  <si>
    <t>Laborious</t>
  </si>
  <si>
    <t>Laconic</t>
  </si>
  <si>
    <t>Lambaste</t>
  </si>
  <si>
    <t>Lament</t>
  </si>
  <si>
    <t>Lampoon</t>
  </si>
  <si>
    <t>Languid</t>
  </si>
  <si>
    <t>Languish</t>
  </si>
  <si>
    <t>Largesse</t>
  </si>
  <si>
    <t>Lassitude</t>
  </si>
  <si>
    <t>Latitude</t>
  </si>
  <si>
    <t>Laudable</t>
  </si>
  <si>
    <t>Lavish</t>
  </si>
  <si>
    <t>Lax</t>
  </si>
  <si>
    <t>Layperson</t>
  </si>
  <si>
    <t>Leeway</t>
  </si>
  <si>
    <t>Lethargy</t>
  </si>
  <si>
    <t>Levity</t>
  </si>
  <si>
    <t>Liability</t>
  </si>
  <si>
    <t>Liberate</t>
  </si>
  <si>
    <t>Libertine</t>
  </si>
  <si>
    <t>Limpid</t>
  </si>
  <si>
    <t>Loathe</t>
  </si>
  <si>
    <t>Lofty</t>
  </si>
  <si>
    <t>Long-Winded</t>
  </si>
  <si>
    <t>Loquacious</t>
  </si>
  <si>
    <t>Lucrative</t>
  </si>
  <si>
    <t>Ludicrous</t>
  </si>
  <si>
    <t>Lugubrious</t>
  </si>
  <si>
    <t>Lull</t>
  </si>
  <si>
    <t>Luminary</t>
  </si>
  <si>
    <t>Lure</t>
  </si>
  <si>
    <t>Lurid</t>
  </si>
  <si>
    <t>Macabre</t>
  </si>
  <si>
    <t>Magisterial</t>
  </si>
  <si>
    <t>Makeshift</t>
  </si>
  <si>
    <t>Maladroit</t>
  </si>
  <si>
    <t>Malady</t>
  </si>
  <si>
    <t>Malevolent</t>
  </si>
  <si>
    <t>Malfeasance</t>
  </si>
  <si>
    <t>Malign</t>
  </si>
  <si>
    <t>Malignant</t>
  </si>
  <si>
    <t>Malleable</t>
  </si>
  <si>
    <t>Manacle</t>
  </si>
  <si>
    <t>Manifest</t>
  </si>
  <si>
    <t>Manipulate</t>
  </si>
  <si>
    <t>Marginalize</t>
  </si>
  <si>
    <t>Marketable</t>
  </si>
  <si>
    <t>Martinet</t>
  </si>
  <si>
    <t>Mask</t>
  </si>
  <si>
    <t>Materialize</t>
  </si>
  <si>
    <t>Maunder</t>
  </si>
  <si>
    <t>Mawkish</t>
  </si>
  <si>
    <t>Meager</t>
  </si>
  <si>
    <t>Mediate</t>
  </si>
  <si>
    <t>Megalomaniac</t>
  </si>
  <si>
    <t>Melding</t>
  </si>
  <si>
    <t>Mellow</t>
  </si>
  <si>
    <t>Menace</t>
  </si>
  <si>
    <t>Mendacity</t>
  </si>
  <si>
    <t>Mercenary</t>
  </si>
  <si>
    <t>Mercurial</t>
  </si>
  <si>
    <t>Meretricious</t>
  </si>
  <si>
    <t>Meritorious</t>
  </si>
  <si>
    <t>Metaphorical</t>
  </si>
  <si>
    <t>Mettlesome</t>
  </si>
  <si>
    <t>Mimic</t>
  </si>
  <si>
    <t>Minute</t>
  </si>
  <si>
    <t>Misanthropic</t>
  </si>
  <si>
    <t>Misconstrue</t>
  </si>
  <si>
    <t>Miscreant</t>
  </si>
  <si>
    <t>Miserly</t>
  </si>
  <si>
    <t>Misnomer</t>
  </si>
  <si>
    <t>Mitigate</t>
  </si>
  <si>
    <t>Modest</t>
  </si>
  <si>
    <t>Modish</t>
  </si>
  <si>
    <t>Mollify</t>
  </si>
  <si>
    <t>Momentary</t>
  </si>
  <si>
    <t>Monologue</t>
  </si>
  <si>
    <t>Monotonous</t>
  </si>
  <si>
    <t>Morbid</t>
  </si>
  <si>
    <t>Mordant</t>
  </si>
  <si>
    <t>Morose</t>
  </si>
  <si>
    <t>Mortify</t>
  </si>
  <si>
    <t>Mounting</t>
  </si>
  <si>
    <t>Multifaceted</t>
  </si>
  <si>
    <t>Multitudinous</t>
  </si>
  <si>
    <t>Mundane</t>
  </si>
  <si>
    <t>Munificent</t>
  </si>
  <si>
    <t>Murky</t>
  </si>
  <si>
    <t>Mutiny</t>
  </si>
  <si>
    <t>Myopic</t>
  </si>
  <si>
    <t>Myriad</t>
  </si>
  <si>
    <t>Mystification</t>
  </si>
  <si>
    <t>Nadir</t>
  </si>
  <si>
    <t>Naive</t>
  </si>
  <si>
    <t>Narcissism</t>
  </si>
  <si>
    <t>Narrative</t>
  </si>
  <si>
    <t>Nascent</t>
  </si>
  <si>
    <t>Necessitate</t>
  </si>
  <si>
    <t>Negligent</t>
  </si>
  <si>
    <t>Neophyte</t>
  </si>
  <si>
    <t>Nettles</t>
  </si>
  <si>
    <t>Nettlesome</t>
  </si>
  <si>
    <t>Neutralize</t>
  </si>
  <si>
    <t>Nimble</t>
  </si>
  <si>
    <t>Noble</t>
  </si>
  <si>
    <t>Nominal</t>
  </si>
  <si>
    <t>Nonchalant</t>
  </si>
  <si>
    <t>Noninterventionist</t>
  </si>
  <si>
    <t>Nonplussed</t>
  </si>
  <si>
    <t>Normative</t>
  </si>
  <si>
    <t>Novel</t>
  </si>
  <si>
    <t>Novelty</t>
  </si>
  <si>
    <t>Noxious</t>
  </si>
  <si>
    <t>Nullify</t>
  </si>
  <si>
    <t>Numinous</t>
  </si>
  <si>
    <t>Obdurate</t>
  </si>
  <si>
    <t>Obeisance</t>
  </si>
  <si>
    <t>Obfuscate</t>
  </si>
  <si>
    <t>Objectivity</t>
  </si>
  <si>
    <t>Objurgate</t>
  </si>
  <si>
    <t>Obligate</t>
  </si>
  <si>
    <t>Oblige</t>
  </si>
  <si>
    <t>Oblivious</t>
  </si>
  <si>
    <t>Obscure</t>
  </si>
  <si>
    <t>Obsequious</t>
  </si>
  <si>
    <t>Obsolete</t>
  </si>
  <si>
    <t>Obstinate</t>
  </si>
  <si>
    <t>Obstreperous</t>
  </si>
  <si>
    <t>Obviate</t>
  </si>
  <si>
    <t>Occlude</t>
  </si>
  <si>
    <t>Odious</t>
  </si>
  <si>
    <t>Officious</t>
  </si>
  <si>
    <t>Ominous</t>
  </si>
  <si>
    <t>Omnipresent</t>
  </si>
  <si>
    <t>Omniscient</t>
  </si>
  <si>
    <t>Onerous</t>
  </si>
  <si>
    <t>Open-Ended</t>
  </si>
  <si>
    <t>Opportunism</t>
  </si>
  <si>
    <t>Opprobrium</t>
  </si>
  <si>
    <t>Optimistic</t>
  </si>
  <si>
    <t>Opulent</t>
  </si>
  <si>
    <t>Original</t>
  </si>
  <si>
    <t>Ornamental</t>
  </si>
  <si>
    <t>Ossify</t>
  </si>
  <si>
    <t>Ostentatious</t>
  </si>
  <si>
    <t>Oust</t>
  </si>
  <si>
    <t>Outdated</t>
  </si>
  <si>
    <t>Outlandish</t>
  </si>
  <si>
    <t>Outmoded</t>
  </si>
  <si>
    <t>Outstrip</t>
  </si>
  <si>
    <t>Overly</t>
  </si>
  <si>
    <t>Overreaching</t>
  </si>
  <si>
    <t>Overshadow</t>
  </si>
  <si>
    <t>Overstate</t>
  </si>
  <si>
    <t>Overt</t>
  </si>
  <si>
    <t>Overuse</t>
  </si>
  <si>
    <t>Overwhelm</t>
  </si>
  <si>
    <t>Pacify</t>
  </si>
  <si>
    <t>Painstaking</t>
  </si>
  <si>
    <t>Palliate</t>
  </si>
  <si>
    <t>Palpable</t>
  </si>
  <si>
    <t>Paltry</t>
  </si>
  <si>
    <t>Panacea</t>
  </si>
  <si>
    <t>Panache</t>
  </si>
  <si>
    <t>Paradigm</t>
  </si>
  <si>
    <t>Paradox</t>
  </si>
  <si>
    <t>Paragon</t>
  </si>
  <si>
    <t>Parochial</t>
  </si>
  <si>
    <t>Parsimonious</t>
  </si>
  <si>
    <t>Partial</t>
  </si>
  <si>
    <t>Partiality</t>
  </si>
  <si>
    <t>Partisan</t>
  </si>
  <si>
    <t>Passable</t>
  </si>
  <si>
    <t>Passivity</t>
  </si>
  <si>
    <t>Pastiche</t>
  </si>
  <si>
    <t>Pastoral</t>
  </si>
  <si>
    <t>Patent</t>
  </si>
  <si>
    <t>Patronize</t>
  </si>
  <si>
    <t>Paucity</t>
  </si>
  <si>
    <t>Peccadillo</t>
  </si>
  <si>
    <t>Peculiar</t>
  </si>
  <si>
    <t>Pedantic</t>
  </si>
  <si>
    <t>Pedestrian</t>
  </si>
  <si>
    <t>Pejorative</t>
  </si>
  <si>
    <t>Pellucid</t>
  </si>
  <si>
    <t>Penchant</t>
  </si>
  <si>
    <t>Penetrate</t>
  </si>
  <si>
    <t>Penitent</t>
  </si>
  <si>
    <t>Pensive</t>
  </si>
  <si>
    <t>Penurious</t>
  </si>
  <si>
    <t>Perceptive</t>
  </si>
  <si>
    <t>Perennial</t>
  </si>
  <si>
    <t>Perfidy</t>
  </si>
  <si>
    <t>Perfunctory</t>
  </si>
  <si>
    <t>Perilous</t>
  </si>
  <si>
    <t>Peripheral</t>
  </si>
  <si>
    <t>Pernicious</t>
  </si>
  <si>
    <t>Perpetrate</t>
  </si>
  <si>
    <t>Perpetuate</t>
  </si>
  <si>
    <t>Perplex</t>
  </si>
  <si>
    <t>Perseverance</t>
  </si>
  <si>
    <t>Persistence</t>
  </si>
  <si>
    <t>Personify</t>
  </si>
  <si>
    <t>Perspicacious</t>
  </si>
  <si>
    <t>Perspicacity</t>
  </si>
  <si>
    <t>Persuasive</t>
  </si>
  <si>
    <t>Pertinacious</t>
  </si>
  <si>
    <t>Pertinent</t>
  </si>
  <si>
    <t>Pervasive</t>
  </si>
  <si>
    <t>Pessimism</t>
  </si>
  <si>
    <t>Petulant</t>
  </si>
  <si>
    <t>Philistine</t>
  </si>
  <si>
    <t>Phlegmatic</t>
  </si>
  <si>
    <t>Phony</t>
  </si>
  <si>
    <t>Picturesque</t>
  </si>
  <si>
    <t>Pious</t>
  </si>
  <si>
    <t>Piquant</t>
  </si>
  <si>
    <t>Pithy</t>
  </si>
  <si>
    <t>Pivotal</t>
  </si>
  <si>
    <t>Placate</t>
  </si>
  <si>
    <t>Placid</t>
  </si>
  <si>
    <t>Plaintive</t>
  </si>
  <si>
    <t>Plastic</t>
  </si>
  <si>
    <t>Platitude</t>
  </si>
  <si>
    <t>Plausible</t>
  </si>
  <si>
    <t>Pliant</t>
  </si>
  <si>
    <t>Plodding</t>
  </si>
  <si>
    <t>Ploy</t>
  </si>
  <si>
    <t>Plucky</t>
  </si>
  <si>
    <t>Poignant</t>
  </si>
  <si>
    <t>Poise</t>
  </si>
  <si>
    <t>Polarize</t>
  </si>
  <si>
    <t>Polemical</t>
  </si>
  <si>
    <t>Polymath</t>
  </si>
  <si>
    <t>Pomposity</t>
  </si>
  <si>
    <t>Ponderous</t>
  </si>
  <si>
    <t>Populous</t>
  </si>
  <si>
    <t>Portend</t>
  </si>
  <si>
    <t>Portentous</t>
  </si>
  <si>
    <t>Posed</t>
  </si>
  <si>
    <t>Posturing</t>
  </si>
  <si>
    <t>Potent</t>
  </si>
  <si>
    <t>Pragmatism</t>
  </si>
  <si>
    <t>Precarious</t>
  </si>
  <si>
    <t>Precedence</t>
  </si>
  <si>
    <t>Precipitous</t>
  </si>
  <si>
    <t>Preclude</t>
  </si>
  <si>
    <t>Precocious</t>
  </si>
  <si>
    <t>Predicament</t>
  </si>
  <si>
    <t>Predilection</t>
  </si>
  <si>
    <t>Predominant</t>
  </si>
  <si>
    <t>Preeminent</t>
  </si>
  <si>
    <t>Prefigure</t>
  </si>
  <si>
    <t>Premeditate</t>
  </si>
  <si>
    <t>Premonition</t>
  </si>
  <si>
    <t>Presage</t>
  </si>
  <si>
    <t>Prescient</t>
  </si>
  <si>
    <t>Prescribe</t>
  </si>
  <si>
    <t>Pressing</t>
  </si>
  <si>
    <t>Presumptuous</t>
  </si>
  <si>
    <t>Presuppose</t>
  </si>
  <si>
    <t>Pretentious</t>
  </si>
  <si>
    <t>Preternatural</t>
  </si>
  <si>
    <t>Prevalent</t>
  </si>
  <si>
    <t>Prevaricate</t>
  </si>
  <si>
    <t>Prime</t>
  </si>
  <si>
    <t>Pristine</t>
  </si>
  <si>
    <t>Probity</t>
  </si>
  <si>
    <t>Proclivity</t>
  </si>
  <si>
    <t>Prodigious</t>
  </si>
  <si>
    <t>Proficient</t>
  </si>
  <si>
    <t>Profligate</t>
  </si>
  <si>
    <t>Profound</t>
  </si>
  <si>
    <t>Profundity</t>
  </si>
  <si>
    <t>Profuse</t>
  </si>
  <si>
    <t>Prognosis</t>
  </si>
  <si>
    <t>Proliferate</t>
  </si>
  <si>
    <t>Prolix</t>
  </si>
  <si>
    <t>Promulgate</t>
  </si>
  <si>
    <t>Propagate</t>
  </si>
  <si>
    <t>Propensity</t>
  </si>
  <si>
    <t>Prophetic</t>
  </si>
  <si>
    <t>Propitiate</t>
  </si>
  <si>
    <t>Proportionate</t>
  </si>
  <si>
    <t>Propped</t>
  </si>
  <si>
    <t>Propriety</t>
  </si>
  <si>
    <t>Prosaic</t>
  </si>
  <si>
    <t>Protract</t>
  </si>
  <si>
    <t>Providential</t>
  </si>
  <si>
    <t>Provincial</t>
  </si>
  <si>
    <t>Provocative</t>
  </si>
  <si>
    <t>Provoke</t>
  </si>
  <si>
    <t>Prowess</t>
  </si>
  <si>
    <t>Proxy</t>
  </si>
  <si>
    <t>Prurient</t>
  </si>
  <si>
    <t>Puerile</t>
  </si>
  <si>
    <t>Pugnacious</t>
  </si>
  <si>
    <t>Punctilious</t>
  </si>
  <si>
    <t>Puzzle</t>
  </si>
  <si>
    <t>Qualm</t>
  </si>
  <si>
    <t>Quandary</t>
  </si>
  <si>
    <t>Quantifiable</t>
  </si>
  <si>
    <t>Quarantine</t>
  </si>
  <si>
    <t>Quash</t>
  </si>
  <si>
    <t>Quibble</t>
  </si>
  <si>
    <t>Quiescent</t>
  </si>
  <si>
    <t>Quirky</t>
  </si>
  <si>
    <t>Quixotic</t>
  </si>
  <si>
    <t>Quotidian</t>
  </si>
  <si>
    <t>Radical</t>
  </si>
  <si>
    <t>Raillery</t>
  </si>
  <si>
    <t>Rallying</t>
  </si>
  <si>
    <t>Ramble</t>
  </si>
  <si>
    <t>Ramification</t>
  </si>
  <si>
    <t>Rampant</t>
  </si>
  <si>
    <t>Rapacious</t>
  </si>
  <si>
    <t>Rapprochement</t>
  </si>
  <si>
    <t>Rational</t>
  </si>
  <si>
    <t>Rationalize</t>
  </si>
  <si>
    <t>Ravage</t>
  </si>
  <si>
    <t>Recant</t>
  </si>
  <si>
    <t>Recapitulate</t>
  </si>
  <si>
    <t>Recipe</t>
  </si>
  <si>
    <t>Recluse</t>
  </si>
  <si>
    <t>Reconcile</t>
  </si>
  <si>
    <t>Recondite</t>
  </si>
  <si>
    <t>Recourse</t>
  </si>
  <si>
    <t>Recrudesce</t>
  </si>
  <si>
    <t>Redemption</t>
  </si>
  <si>
    <t>Redouble</t>
  </si>
  <si>
    <t>Redoubtable</t>
  </si>
  <si>
    <t>Redundant</t>
  </si>
  <si>
    <t>Refine</t>
  </si>
  <si>
    <t>Refuge</t>
  </si>
  <si>
    <t>Refute</t>
  </si>
  <si>
    <t>Regress</t>
  </si>
  <si>
    <t>Rehabilitate</t>
  </si>
  <si>
    <t>Rein</t>
  </si>
  <si>
    <t>Reinterpret</t>
  </si>
  <si>
    <t>Reinvent</t>
  </si>
  <si>
    <t>Reiterate</t>
  </si>
  <si>
    <t>Rejuvenate</t>
  </si>
  <si>
    <t>Relegate</t>
  </si>
  <si>
    <t>Relent</t>
  </si>
  <si>
    <t>Relentless</t>
  </si>
  <si>
    <t>Relinquish</t>
  </si>
  <si>
    <t>Relish</t>
  </si>
  <si>
    <t>Remedial</t>
  </si>
  <si>
    <t>Remote</t>
  </si>
  <si>
    <t>Remuneration</t>
  </si>
  <si>
    <t>Render</t>
  </si>
  <si>
    <t>Renege</t>
  </si>
  <si>
    <t>Renounce</t>
  </si>
  <si>
    <t>Repercussion</t>
  </si>
  <si>
    <t>Repertoire</t>
  </si>
  <si>
    <t>Replenish</t>
  </si>
  <si>
    <t>Replicate</t>
  </si>
  <si>
    <t>Reproach</t>
  </si>
  <si>
    <t>Reprobate</t>
  </si>
  <si>
    <t>Repudiate</t>
  </si>
  <si>
    <t>Repugnant</t>
  </si>
  <si>
    <t>Resent</t>
  </si>
  <si>
    <t>Residual</t>
  </si>
  <si>
    <t>Resilient</t>
  </si>
  <si>
    <t>Resolute</t>
  </si>
  <si>
    <t>Resolution</t>
  </si>
  <si>
    <t>Resolve</t>
  </si>
  <si>
    <t>Resonate</t>
  </si>
  <si>
    <t>Restive</t>
  </si>
  <si>
    <t>Restless</t>
  </si>
  <si>
    <t>Restrain</t>
  </si>
  <si>
    <t>Resurgent</t>
  </si>
  <si>
    <t>Retaliate</t>
  </si>
  <si>
    <t>Reticent</t>
  </si>
  <si>
    <t>Retiring</t>
  </si>
  <si>
    <t>Retrench</t>
  </si>
  <si>
    <t>Reverence</t>
  </si>
  <si>
    <t>Rhapsody</t>
  </si>
  <si>
    <t>Rhetoric</t>
  </si>
  <si>
    <t>Ridicule</t>
  </si>
  <si>
    <t>Rigor</t>
  </si>
  <si>
    <t>Risible</t>
  </si>
  <si>
    <t>Ritual</t>
  </si>
  <si>
    <t>Robust</t>
  </si>
  <si>
    <t>Row</t>
  </si>
  <si>
    <t>Rudimentary</t>
  </si>
  <si>
    <t>Ruinous</t>
  </si>
  <si>
    <t>Ruminate</t>
  </si>
  <si>
    <t>Sacrosanct</t>
  </si>
  <si>
    <t>Sadistic</t>
  </si>
  <si>
    <t>Sagacious</t>
  </si>
  <si>
    <t>Salubrious</t>
  </si>
  <si>
    <t>Salutary</t>
  </si>
  <si>
    <t>Sanctimonious</t>
  </si>
  <si>
    <t>Sanction</t>
  </si>
  <si>
    <t>Sanguine</t>
  </si>
  <si>
    <t>Sartorial</t>
  </si>
  <si>
    <t>Satirical</t>
  </si>
  <si>
    <t>Scant</t>
  </si>
  <si>
    <t>Scathe</t>
  </si>
  <si>
    <t>Schism</t>
  </si>
  <si>
    <t>Scintillating</t>
  </si>
  <si>
    <t>Scorn</t>
  </si>
  <si>
    <t>Scornful</t>
  </si>
  <si>
    <t>Scrupulous</t>
  </si>
  <si>
    <t>Scrutinize</t>
  </si>
  <si>
    <t>Scuffle</t>
  </si>
  <si>
    <t>Secondhand</t>
  </si>
  <si>
    <t>Seductive</t>
  </si>
  <si>
    <t>Sedulous</t>
  </si>
  <si>
    <t>Self-Evident</t>
  </si>
  <si>
    <t>Self-Indulgence</t>
  </si>
  <si>
    <t>Self-Righteous</t>
  </si>
  <si>
    <t>Self-Serving</t>
  </si>
  <si>
    <t>Sensational</t>
  </si>
  <si>
    <t>Sentimental</t>
  </si>
  <si>
    <t>Serendipitous</t>
  </si>
  <si>
    <t>Serene</t>
  </si>
  <si>
    <t>Sever</t>
  </si>
  <si>
    <t>Severe</t>
  </si>
  <si>
    <t>Shallowness</t>
  </si>
  <si>
    <t>Sham</t>
  </si>
  <si>
    <t>Shirk</t>
  </si>
  <si>
    <t>Showcase</t>
  </si>
  <si>
    <t>Showy</t>
  </si>
  <si>
    <t>Shrewd</t>
  </si>
  <si>
    <t>Shrill</t>
  </si>
  <si>
    <t>Sift</t>
  </si>
  <si>
    <t>Simpleton</t>
  </si>
  <si>
    <t>Simultaneity</t>
  </si>
  <si>
    <t>Sinecure</t>
  </si>
  <si>
    <t>Singular</t>
  </si>
  <si>
    <t>Sinister</t>
  </si>
  <si>
    <t>Sinuous</t>
  </si>
  <si>
    <t>Skeptic</t>
  </si>
  <si>
    <t>Skirt</t>
  </si>
  <si>
    <t>Skittish</t>
  </si>
  <si>
    <t>Skullduggery</t>
  </si>
  <si>
    <t>Slander</t>
  </si>
  <si>
    <t>Slavishly</t>
  </si>
  <si>
    <t>Slight</t>
  </si>
  <si>
    <t>Sloth</t>
  </si>
  <si>
    <t>Slovenly</t>
  </si>
  <si>
    <t>Sluggish</t>
  </si>
  <si>
    <t>Snare</t>
  </si>
  <si>
    <t>Sober</t>
  </si>
  <si>
    <t>Sobriety</t>
  </si>
  <si>
    <t>Solicitous</t>
  </si>
  <si>
    <t>Soliloquy</t>
  </si>
  <si>
    <t>Somnolent</t>
  </si>
  <si>
    <t>Sophist</t>
  </si>
  <si>
    <t>Soporific</t>
  </si>
  <si>
    <t>Sordid</t>
  </si>
  <si>
    <t>Sound</t>
  </si>
  <si>
    <t>Sovereignty</t>
  </si>
  <si>
    <t>Sparing</t>
  </si>
  <si>
    <t>Sparse</t>
  </si>
  <si>
    <t>Spartan</t>
  </si>
  <si>
    <t>Specious</t>
  </si>
  <si>
    <t>Speculative</t>
  </si>
  <si>
    <t>Spendthrift</t>
  </si>
  <si>
    <t>Sporadic</t>
  </si>
  <si>
    <t>Spurious</t>
  </si>
  <si>
    <t>Spurn</t>
  </si>
  <si>
    <t>Squander</t>
  </si>
  <si>
    <t>Staid</t>
  </si>
  <si>
    <t>Stalwart</t>
  </si>
  <si>
    <t>Stanch</t>
  </si>
  <si>
    <t>Staple</t>
  </si>
  <si>
    <t>Startling</t>
  </si>
  <si>
    <t>Starvation</t>
  </si>
  <si>
    <t>Steadfast</t>
  </si>
  <si>
    <t>Stern</t>
  </si>
  <si>
    <t>Stigmatize</t>
  </si>
  <si>
    <t>Stimulate</t>
  </si>
  <si>
    <t>Stingy</t>
  </si>
  <si>
    <t>Stint</t>
  </si>
  <si>
    <t>Stoic</t>
  </si>
  <si>
    <t>Stolid</t>
  </si>
  <si>
    <t>Strategic</t>
  </si>
  <si>
    <t>Strife</t>
  </si>
  <si>
    <t>Stringent</t>
  </si>
  <si>
    <t>Stun</t>
  </si>
  <si>
    <t>Subdued</t>
  </si>
  <si>
    <t>Subjective</t>
  </si>
  <si>
    <t>Subordinate</t>
  </si>
  <si>
    <t>Subservient</t>
  </si>
  <si>
    <t>Subside</t>
  </si>
  <si>
    <t>Substantiate</t>
  </si>
  <si>
    <t>Substantive</t>
  </si>
  <si>
    <t>Subsume</t>
  </si>
  <si>
    <t>Subtle</t>
  </si>
  <si>
    <t>Subversion</t>
  </si>
  <si>
    <t>Subvert</t>
  </si>
  <si>
    <t>Sullen</t>
  </si>
  <si>
    <t>Superficial</t>
  </si>
  <si>
    <t>Superficiality</t>
  </si>
  <si>
    <t>Superfluous</t>
  </si>
  <si>
    <t>Supersede</t>
  </si>
  <si>
    <t>Supplant</t>
  </si>
  <si>
    <t>Supple</t>
  </si>
  <si>
    <t>Supplement</t>
  </si>
  <si>
    <t>Supplicate</t>
  </si>
  <si>
    <t>Suppress</t>
  </si>
  <si>
    <t>Surfeit</t>
  </si>
  <si>
    <t>Surly</t>
  </si>
  <si>
    <t>Surmount</t>
  </si>
  <si>
    <t>Surpass</t>
  </si>
  <si>
    <t>Surreptitious</t>
  </si>
  <si>
    <t>Surrogate</t>
  </si>
  <si>
    <t>Susceptible</t>
  </si>
  <si>
    <t>Suspect</t>
  </si>
  <si>
    <t>Sustained</t>
  </si>
  <si>
    <t>Sway</t>
  </si>
  <si>
    <t>Swindle</t>
  </si>
  <si>
    <t>Sycophant</t>
  </si>
  <si>
    <t>Synoptic</t>
  </si>
  <si>
    <t>Syntactical</t>
  </si>
  <si>
    <t>Synthesize</t>
  </si>
  <si>
    <t>Tacit</t>
  </si>
  <si>
    <t>Taciturn</t>
  </si>
  <si>
    <t>Tact</t>
  </si>
  <si>
    <t>Tactless</t>
  </si>
  <si>
    <t>Tailored</t>
  </si>
  <si>
    <t>Tangent</t>
  </si>
  <si>
    <t>Tangential</t>
  </si>
  <si>
    <t>Tangible</t>
  </si>
  <si>
    <t>Tantalizing</t>
  </si>
  <si>
    <t>Tantamount</t>
  </si>
  <si>
    <t>Tarnish</t>
  </si>
  <si>
    <t>Tedious</t>
  </si>
  <si>
    <t>Temerarious</t>
  </si>
  <si>
    <t>Temerity</t>
  </si>
  <si>
    <t>Temper</t>
  </si>
  <si>
    <t>Temperate</t>
  </si>
  <si>
    <t>Tempestuous</t>
  </si>
  <si>
    <t>Temporal</t>
  </si>
  <si>
    <t>Tempting</t>
  </si>
  <si>
    <t>Tenable</t>
  </si>
  <si>
    <t>Tenacity</t>
  </si>
  <si>
    <t>Tendentious</t>
  </si>
  <si>
    <t>Tentative</t>
  </si>
  <si>
    <t>Tenuous</t>
  </si>
  <si>
    <t>Tepid</t>
  </si>
  <si>
    <t>Terrific</t>
  </si>
  <si>
    <t>Terse</t>
  </si>
  <si>
    <t>Testable</t>
  </si>
  <si>
    <t>Testimony</t>
  </si>
  <si>
    <t>Thoroughgoing</t>
  </si>
  <si>
    <t>Thrift</t>
  </si>
  <si>
    <t>Thrilled</t>
  </si>
  <si>
    <t>Thrive</t>
  </si>
  <si>
    <t>Thwarted</t>
  </si>
  <si>
    <t>Timorous</t>
  </si>
  <si>
    <t>Tirade</t>
  </si>
  <si>
    <t>Token</t>
  </si>
  <si>
    <t>Toll</t>
  </si>
  <si>
    <t>Torpid</t>
  </si>
  <si>
    <t>Torpor</t>
  </si>
  <si>
    <t>Tortuous</t>
  </si>
  <si>
    <t>Tout</t>
  </si>
  <si>
    <t>Tractable</t>
  </si>
  <si>
    <t>Tranquil</t>
  </si>
  <si>
    <t>Transcend</t>
  </si>
  <si>
    <t>Transgression</t>
  </si>
  <si>
    <t>Transient</t>
  </si>
  <si>
    <t>Transitory</t>
  </si>
  <si>
    <t>Transparency</t>
  </si>
  <si>
    <t>Treatise</t>
  </si>
  <si>
    <t>Trenchant</t>
  </si>
  <si>
    <t>Trifling</t>
  </si>
  <si>
    <t>Triumph</t>
  </si>
  <si>
    <t>Truculent</t>
  </si>
  <si>
    <t>Turbid</t>
  </si>
  <si>
    <t>Turbulent</t>
  </si>
  <si>
    <t>Turgid</t>
  </si>
  <si>
    <t>Turpitude</t>
  </si>
  <si>
    <t>Tyrannical</t>
  </si>
  <si>
    <t>Ulterior</t>
  </si>
  <si>
    <t>Umbrage</t>
  </si>
  <si>
    <t>Unadorned</t>
  </si>
  <si>
    <t>Unaffected</t>
  </si>
  <si>
    <t>Unalloyed</t>
  </si>
  <si>
    <t>Unappealing</t>
  </si>
  <si>
    <t>Unappreciated</t>
  </si>
  <si>
    <t>Unattainable</t>
  </si>
  <si>
    <t>Uncharacteristically</t>
  </si>
  <si>
    <t>Uncontroversial</t>
  </si>
  <si>
    <t>Uncritical</t>
  </si>
  <si>
    <t>Uncultivated</t>
  </si>
  <si>
    <t>Undemonstrative</t>
  </si>
  <si>
    <t>Undercut</t>
  </si>
  <si>
    <t>Underlying</t>
  </si>
  <si>
    <t>Undermine</t>
  </si>
  <si>
    <t>Underreport</t>
  </si>
  <si>
    <t>Underscore</t>
  </si>
  <si>
    <t>Understate</t>
  </si>
  <si>
    <t>Undertake</t>
  </si>
  <si>
    <t>Undetectable</t>
  </si>
  <si>
    <t>Undiminished</t>
  </si>
  <si>
    <t>Undisturbed</t>
  </si>
  <si>
    <t>Undo</t>
  </si>
  <si>
    <t>Unexampled</t>
  </si>
  <si>
    <t>Unexceptionable</t>
  </si>
  <si>
    <t>Unexceptional</t>
  </si>
  <si>
    <t>Unfathomable</t>
  </si>
  <si>
    <t>Unformed</t>
  </si>
  <si>
    <t>Unfounded</t>
  </si>
  <si>
    <t>Uninformed</t>
  </si>
  <si>
    <t>Unintelligible</t>
  </si>
  <si>
    <t>Universal</t>
  </si>
  <si>
    <t>Unmistakable</t>
  </si>
  <si>
    <t>Unobjectionable</t>
  </si>
  <si>
    <t>Unorthodox</t>
  </si>
  <si>
    <t>Unprecedented</t>
  </si>
  <si>
    <t>Unpremeditated</t>
  </si>
  <si>
    <t>Unpretentious</t>
  </si>
  <si>
    <t>Unprincipled</t>
  </si>
  <si>
    <t>Unpropitious</t>
  </si>
  <si>
    <t>Unquantifiable</t>
  </si>
  <si>
    <t>Unresolved</t>
  </si>
  <si>
    <t>Unrestrained</t>
  </si>
  <si>
    <t>Unscrupulous</t>
  </si>
  <si>
    <t>Unseemly</t>
  </si>
  <si>
    <t>Unsettle</t>
  </si>
  <si>
    <t>Unsound</t>
  </si>
  <si>
    <t>Untapped</t>
  </si>
  <si>
    <t>Unverifiable</t>
  </si>
  <si>
    <t>Unwittingly</t>
  </si>
  <si>
    <t>Upbraid</t>
  </si>
  <si>
    <t>Urbane</t>
  </si>
  <si>
    <t>Utilitarian</t>
  </si>
  <si>
    <t>Utterly</t>
  </si>
  <si>
    <t>Vacillate</t>
  </si>
  <si>
    <t>Vacuous</t>
  </si>
  <si>
    <t>Valedictory</t>
  </si>
  <si>
    <t>Valor</t>
  </si>
  <si>
    <t>Vanquish</t>
  </si>
  <si>
    <t>Vapid</t>
  </si>
  <si>
    <t>Venal</t>
  </si>
  <si>
    <t>Venerate</t>
  </si>
  <si>
    <t>Veracious</t>
  </si>
  <si>
    <t>Verbose</t>
  </si>
  <si>
    <t>Verisimilitude</t>
  </si>
  <si>
    <t>Veritable</t>
  </si>
  <si>
    <t>Versatile</t>
  </si>
  <si>
    <t>Verve</t>
  </si>
  <si>
    <t>Vestigial</t>
  </si>
  <si>
    <t>Vexation</t>
  </si>
  <si>
    <t>Viable</t>
  </si>
  <si>
    <t>Vigilant</t>
  </si>
  <si>
    <t>Vigorous</t>
  </si>
  <si>
    <t>Vilify</t>
  </si>
  <si>
    <t>Vindicate</t>
  </si>
  <si>
    <t>Virtue</t>
  </si>
  <si>
    <t>Virtuosity</t>
  </si>
  <si>
    <t>Virulent</t>
  </si>
  <si>
    <t>Visionary</t>
  </si>
  <si>
    <t>Vitality</t>
  </si>
  <si>
    <t>Vitiate</t>
  </si>
  <si>
    <t>Vivacious</t>
  </si>
  <si>
    <t>Vocal</t>
  </si>
  <si>
    <t>Vociferous</t>
  </si>
  <si>
    <t>Volatile</t>
  </si>
  <si>
    <t>Voluble</t>
  </si>
  <si>
    <t>Waggish</t>
  </si>
  <si>
    <t>Wane</t>
  </si>
  <si>
    <t>Waning</t>
  </si>
  <si>
    <t>Wanting</t>
  </si>
  <si>
    <t>Warranted</t>
  </si>
  <si>
    <t>Wary</t>
  </si>
  <si>
    <t>Wayward</t>
  </si>
  <si>
    <t>Wearisome</t>
  </si>
  <si>
    <t>Weary</t>
  </si>
  <si>
    <t>Wheedle</t>
  </si>
  <si>
    <t>Whimsical</t>
  </si>
  <si>
    <t>Wilful</t>
  </si>
  <si>
    <t>Wily</t>
  </si>
  <si>
    <t>Wistful</t>
  </si>
  <si>
    <t>Witty</t>
  </si>
  <si>
    <t>Woeful</t>
  </si>
  <si>
    <t>Woo</t>
  </si>
  <si>
    <t>Xenophobic</t>
  </si>
  <si>
    <t>zenəfoʊbɪk IPA Pronunciation Guide )
ADJECTIVE
If you describe someone as xenophobic, you disapprove of them because they show strong dislike or fear of people from other countries.
[formal, disapproval]
Xenophobic nationalism is on the rise. 
He was obsessively xenophobic.
Synonyms: racist, nationalist, bigoted, parochial</t>
  </si>
  <si>
    <t>Yield</t>
  </si>
  <si>
    <t>(jiːld IPA Pronunciation Guide )
Word forms: plural, 3rd person singular present tense yields , present participle yielding , past tense, past participle yielded
1. VERB
If you yield to someone or something, you stop resisting them.
[formal]
Will she yield to growing pressure for her to retire? [VERB + to] 
I yielded to an impulse. [VERB to noun] 
Men of courage faced down injustice and refused to yield. [VERB] 
2. VERB
If you yield something that you have control of or responsibility for, you allow someone else to have control or responsibility for it.
[formal]
He may yield control. [VERB noun] 
The Director is now under pressure to yield power to the shareholders. [VERB noun to noun] 
Synonyms: relinquish, resign, hand over, surrender   More Synonyms of yield
Yield up means the same as yield.
He yielded up the prime ministership last summer. [VERB PARTICLE noun (not pronoun)] 
3. VERB
If one thing yields to another thing, it is replaced by this other thing.
[formal]
Boston's traditional drab brick was slow to yield to the modern glass palaces of so many American urban areas. [VERB to noun]
4. VERB
If a moving person or a vehicle yields, they slow down or stop in order to allow other people or vehicles to pass in front of them.
[US]
When entering a trail or starting a descent, yield to other skiers. [VERB + to] 
...examples of common signs like No Smoking or Yield. [VERB] 
REGIONAL NOTE:  
in BRIT, usually use give way
5. VERB
If something yields, it breaks or moves position because force or pressure has been put on it.
The door yielded easily when he pushed it. [VERB] 
6. VERB
If an area of land yields a particular amount of a crop, this is the amount that is produced. You can also say that a number of animals yield a particular amount of meat.
Last year 400,000 acres of land yielded a crop worth $1.75 billion. [VERB noun] 
Synonyms: produce, give, provide, pay   More Synonyms of yield
Yield up means the same as yield.
The shallow sea bed yields up an abundance of food. [VERB PARTICLE noun (not pronoun)] 
7. COUNTABLE NOUN
A yield is the amount of food produced on an area of land or by a number of animals.
...improving the yield of the crop. 
Polluted water lessens crop yields. 
Synonyms: produce, crop, harvest, output   More Synonyms of yield
8. VERB
If a tax or investment yields an amount of money or profit, this money or profit is obtained from it.
[business]
It yielded a profit of at least $36 million. [VERB noun] 
9. COUNTABLE NOUN
A yield is the amount of money or profit produced by an investment.
[business]
...a yield of 4%. 
The high yields available on the dividend shares made them attractive to private investors. [+ on] 
...the yield on a bank's investments. [+ on]
Synonyms: profit, return, income, revenue</t>
  </si>
  <si>
    <t xml:space="preserve">(ziːl IPA Pronunciation Guide )
UNCOUNTABLE NOUN
Zeal is great enthusiasm, especially in connection with work, religion, or politics.
...his zeal for teaching. [+ for] 
Mr Lopez approached his task with a religious zeal. 
Synonyms: enthusiasm, passion, zest, fire </t>
  </si>
  <si>
    <t>Zealot</t>
  </si>
  <si>
    <t xml:space="preserve">(zelət IPA Pronunciation Guide )
Word forms: plural zealots
COUNTABLE NOUN
If you describe someone as a zealot, you think that their views and actions are very extreme, especially in following a particular political or religious belief.
[disapproval]
He was forceful, but by no means a zealot. 
Synonyms: fanatic, enthusiast, extremist, militant </t>
  </si>
  <si>
    <t>Zealous</t>
  </si>
  <si>
    <t>(zeləs IPA Pronunciation Guide )
ADJECTIVE
Someone who is zealous spends a lot of time or energy in supporting something that they believe in very strongly, especially a political or religious ideal.
She was a zealous worker for charitable bodies. 
He was a recent Catholic convert, and very zealous. 
Synonyms: enthusiastic, passionate, earnest, burning</t>
  </si>
  <si>
    <t>Zenith</t>
  </si>
  <si>
    <t>zenɪθ IPA Pronunciation Guide , US ziː- IPA Pronunciation Guide )
1. SINGULAR NOUN [usually with poss]
The zenith of something is the time when it is most successful or powerful.
His career is now at its zenith. 
The zenith of Perugia's influence came with the defeat of Siena in 1358. 
Synonyms: height, summit, peak, top   More Synonyms of zenith
2. SINGULAR NOUN
The zenith is the point at which the sun or moon is directly above you and seems to be at its highest. Compare nadir.
The sun rises, reaches its zenith and sets</t>
  </si>
  <si>
    <t>Flag</t>
  </si>
  <si>
    <t>Cope</t>
  </si>
  <si>
    <t>Examples</t>
  </si>
  <si>
    <t>Synonyms</t>
  </si>
  <si>
    <t>Antonyms</t>
  </si>
  <si>
    <t>Image URL</t>
  </si>
  <si>
    <t>Alt Text</t>
  </si>
  <si>
    <t>To leave completely and finally; to give up altogether</t>
  </si>
  <si>
    <t>"She abandoned her family and moved to a new city."</t>
  </si>
  <si>
    <t>desert, forsake, relinquish, renounce</t>
  </si>
  <si>
    <t>embrace, cling to, hold onto, maintain</t>
  </si>
  <si>
    <t>https://www.freepik.com/free-photos-vectors/loneliness</t>
  </si>
  <si>
    <t>Woman crying on the street</t>
  </si>
  <si>
    <t>To become less strong or intense</t>
  </si>
  <si>
    <t>"The storm abated by morning."</t>
  </si>
  <si>
    <t>subside, lessen, diminish, weaken, decrease</t>
  </si>
  <si>
    <t>intensify, strengthen, worsen, increase, escalate</t>
  </si>
  <si>
    <t>https://www.freepik.com/free-photos-vectors/storm-cloud</t>
  </si>
  <si>
    <t>Storm cloud over the city</t>
  </si>
  <si>
    <t>Deviating from the expected or normal course; abnormal</t>
  </si>
  <si>
    <t>"The scientist observed an aberrant behavior in the lab animals."</t>
  </si>
  <si>
    <t>abnormal, atypical, irregular, unusual, anomalous</t>
  </si>
  <si>
    <t>normal, typical, regular, usual, standard</t>
  </si>
  <si>
    <t>https://www.freepik.com/free-photos-vectors/surprised</t>
  </si>
  <si>
    <t>Person looking surprised and confused</t>
  </si>
  <si>
    <t>To give help or support to someone doing something wrong</t>
  </si>
  <si>
    <t>"He was arrested for abetting the criminals."</t>
  </si>
  <si>
    <t>assist, aid, help, incite, encourage</t>
  </si>
  <si>
    <t>oppose, hinder, obstruct, discourage, deter</t>
  </si>
  <si>
    <t>https://www.freepik.com/free-photos-vectors/criminal</t>
  </si>
  <si>
    <t>Person helping another person with a criminal activity</t>
  </si>
  <si>
    <t>A state of temporary suspension or inactivity</t>
  </si>
  <si>
    <t>"The project was put in abeyance due to lack of funding."</t>
  </si>
  <si>
    <t>suspension, hiatus, dormancy, inactivity, hold</t>
  </si>
  <si>
    <t>activation, resumption, continuation, progress, movement</t>
  </si>
  <si>
    <t>https://www.dreamstime.com/photos-images/man-sleeping-hammock.html</t>
  </si>
  <si>
    <t>Person sleeping in a hammock</t>
  </si>
  <si>
    <t>To hate or detest something intensely</t>
  </si>
  <si>
    <t>"She abhorred violence and cruelty."</t>
  </si>
  <si>
    <t>hate, detest, loathe, despise, abominate</t>
  </si>
  <si>
    <t>love, adore, cherish, admire, respect</t>
  </si>
  <si>
    <t>https://www.freepik.com/free-photos-vectors/disgusted</t>
  </si>
  <si>
    <t>Person looking angry and disgusted</t>
  </si>
  <si>
    <t>To tolerate or endure something unpleasant</t>
  </si>
  <si>
    <t>"He could not abide her constant criticism."</t>
  </si>
  <si>
    <t>tolerate, bear, endure, suffer, put up with</t>
  </si>
  <si>
    <t>enjoy, appreciate, like, relish, favor</t>
  </si>
  <si>
    <t>https://www.freepik.com/free-photos-vectors/holding-nose</t>
  </si>
  <si>
    <t>Person holding their nose</t>
  </si>
  <si>
    <t>Feeling or showing complete misery or despair</t>
  </si>
  <si>
    <t>"He was in an abject state after losing his job."</t>
  </si>
  <si>
    <t>miserable, despairing, hopeless, wretched, desolate</t>
  </si>
  <si>
    <t>happy, joyous, hopeful, optimistic, content</t>
  </si>
  <si>
    <t>https://www.pexels.com/photo/photo-of-a-person-sitting-on-the-floor-with-her-hands-on-her-head-6951513/</t>
  </si>
  <si>
    <t>Person sitting on the floor with their head in their hands</t>
  </si>
  <si>
    <t>To formally reject or renounce something</t>
  </si>
  <si>
    <t>"The priest abjured his faith and left the church."</t>
  </si>
  <si>
    <t>renounce, reject, disavow, repudiate, deny</t>
  </si>
  <si>
    <t>embrace, accept, endorse, support, advocate for</t>
  </si>
  <si>
    <t>https://www.freepik.com/free-photos-vectors/ripped-paper</t>
  </si>
  <si>
    <t>Person tearing a paper</t>
  </si>
  <si>
    <t>To be plentiful or to exist in large numbers</t>
  </si>
  <si>
    <t>"The forest abounded with wildlife."</t>
  </si>
  <si>
    <t>be plentiful, be abundant, be copious, be numerous, be teeming</t>
  </si>
  <si>
    <t>be scarce, be lacking, be rare, be few</t>
  </si>
  <si>
    <t>https://www.freepik.com/free-photos-vectors/forest: https://www.freepik.com/free-photos-vectors/forest</t>
  </si>
  <si>
    <t>A forest with many trees and animals</t>
  </si>
  <si>
    <t>Harsh or unpleasant in manner or tone</t>
  </si>
  <si>
    <t>"Her abrasive personality made it difficult to work with her."</t>
  </si>
  <si>
    <t>harsh, rough, rude, unpleasant, gruff</t>
  </si>
  <si>
    <t>gentle, kind, polite, pleasant, courteous</t>
  </si>
  <si>
    <t>https://www.freepik.com/free-photos-vectors/sandpaper: https://www.freepik.com/free-photos-vectors/sandpaper</t>
  </si>
  <si>
    <t>Rough sandpaper</t>
  </si>
  <si>
    <t>Informed or aware of the latest developments</t>
  </si>
  <si>
    <t>"She kept herself abreast of current events."</t>
  </si>
  <si>
    <t>informed, up-to-date, aware, knowledgeable, conversant</t>
  </si>
  <si>
    <t>ignorant, unaware, uninformed, out-of-date, oblivious</t>
  </si>
  <si>
    <t>https://www.freepik.com/free-photos-vectors/newspaper: https://www.freepik.com/free-photos-vectors/newspaper</t>
  </si>
  <si>
    <t>Person reading a newspaper</t>
  </si>
  <si>
    <t>To shorten or make briefer</t>
  </si>
  <si>
    <t>"The professor abridged the book for his students."</t>
  </si>
  <si>
    <t>shorten, condense, abbreviate, summarize, epitomize</t>
  </si>
  <si>
    <t>lengthen, extend, expand, elaborate, amplify</t>
  </si>
  <si>
    <t>https://www.freepik.com/free-photos-vectors/cut: https://www.freepik.com/free-photos-vectors/cut</t>
  </si>
  <si>
    <t>Person cutting a piece of paper</t>
  </si>
  <si>
    <t>To officially abolish or repeal</t>
  </si>
  <si>
    <t>"The government abrogated the treaty."</t>
  </si>
  <si>
    <t>abolish, repeal, revoke, annul, cancel</t>
  </si>
  <si>
    <t>enact, establish, institute, implement, pass</t>
  </si>
  <si>
    <t>https://www.freepik.com/free-photos-vectors/law: https://www.freepik.com/free-photos-vectors/law</t>
  </si>
  <si>
    <t>Torn-up legal document</t>
  </si>
  <si>
    <t>To leave secretly and suddenly, especially in order to avoid capture or unpleasantness</t>
  </si>
  <si>
    <t>"The thief absconded with the stolen money."</t>
  </si>
  <si>
    <t>flee, escape, run away, decamp, disappear</t>
  </si>
  <si>
    <t>stay, remain, stick around, linger, wait</t>
  </si>
  <si>
    <t>https://www.freepik.com/free-photos-vectors/thief: https://www.freepik.com/free-photos-vectors/thief</t>
  </si>
  <si>
    <t>Person running away with a bag of money</t>
  </si>
  <si>
    <t>To refrain from doing something</t>
  </si>
  <si>
    <t>"He abstained from voting on the controversial issue."</t>
  </si>
  <si>
    <t>refrain, forbear, desist, withhold, hold back</t>
  </si>
  <si>
    <t>participate, engage, partake, contribute, join in</t>
  </si>
  <si>
    <t>https://www.freepik.com/free-photos-vectors/thinking: https://www.freepik.com/free-photos-vectors/thinking</t>
  </si>
  <si>
    <t>Person thinking with their hand on their chin</t>
  </si>
  <si>
    <t>Not concrete or tangible; existing in thought or as an idea</t>
  </si>
  <si>
    <t>"Love and beauty are abstract concepts."</t>
  </si>
  <si>
    <t>theoretical, conceptual, intangible, non-physical, immaterial</t>
  </si>
  <si>
    <t>concrete, tangible, physical, material, real</t>
  </si>
  <si>
    <t>https://www.freepik.com/free-photos-vectors/brain: https://www.freepik.com/free-photos-vectors/brain</t>
  </si>
  <si>
    <t>Brain with lightbulbs coming out</t>
  </si>
  <si>
    <t>The process of extracting the essential features of something and ignoring the details</t>
  </si>
  <si>
    <t>"The artist used abstraction in his paintings."</t>
  </si>
  <si>
    <t>simplification, generalization, conceptualization, idealization</t>
  </si>
  <si>
    <t>concretization, specification, particularization, materialization</t>
  </si>
  <si>
    <t>https://www.freepik.com/free-photos-vectors/painting: https://www.freepik.com/free-photos-vectors/painting</t>
  </si>
  <si>
    <t>Abstract painting with different shapes and colors</t>
  </si>
  <si>
    <t>Difficult to understand; obscure</t>
  </si>
  <si>
    <t>"The professor's lecture was full of abstruse terminology."</t>
  </si>
  <si>
    <t>obscure, cryptic, recondite, esoteric, impenetrable</t>
  </si>
  <si>
    <t>clear, plain, understandable, straightforward, lucid</t>
  </si>
  <si>
    <t>https://www.freepik.com/free-photos-vectors/question-mark: https://www.freepik.com/free-photos-vectors/question-mark</t>
  </si>
  <si>
    <t>Person looking confused with a question mark above their head</t>
  </si>
  <si>
    <t>To emphasize or give prominence to something</t>
  </si>
  <si>
    <t>The singer accentuated the high notes in the song.</t>
  </si>
  <si>
    <t>emphasize, highlight, stress, underscore, accent</t>
  </si>
  <si>
    <t>downplay, minimize, de-emphasize, underplay, diminish</t>
  </si>
  <si>
    <t>https://www.freepik.com/free-photos-vectors/highlight</t>
  </si>
  <si>
    <t>A singer holding a microphone and singing into it</t>
  </si>
  <si>
    <t>Easy to reach or understand</t>
  </si>
  <si>
    <t>The information on the website was accessible to everyone.</t>
  </si>
  <si>
    <t>attainable, reachable, approachable, obtainable, available</t>
  </si>
  <si>
    <t>inaccessible, unreachable, unapproachable, unavailable, unattainable</t>
  </si>
  <si>
    <t>https://arrowlift.com/blog/how-to-make-stairs-handicap-accessible/</t>
  </si>
  <si>
    <t>A set of wide and open stairs</t>
  </si>
  <si>
    <t>Praise or public approval</t>
  </si>
  <si>
    <t>The film received critical acclaim.</t>
  </si>
  <si>
    <t>applause, praise, commendation, adulation, acclaim</t>
  </si>
  <si>
    <t>disapproval, criticism, condemnation, censure, blame</t>
  </si>
  <si>
    <t>https://www.freepik.com/free-photos-vectors/recognition-award</t>
  </si>
  <si>
    <t>A person holding an award</t>
  </si>
  <si>
    <t>An award or high honor</t>
  </si>
  <si>
    <t>She received numerous accolades for her work in science.</t>
  </si>
  <si>
    <t>award, honor, distinction, recognition, tribute</t>
  </si>
  <si>
    <t>criticism, censure, condemnation, disapproval, blame</t>
  </si>
  <si>
    <t>https://www.freepik.com/free-photos-vectors/trophy-award</t>
  </si>
  <si>
    <t>A trophy</t>
  </si>
  <si>
    <t>Agreement or harmony</t>
  </si>
  <si>
    <t>There was general accord on the need for action.</t>
  </si>
  <si>
    <t>agreement, concurrence, consensus, harmony, unity</t>
  </si>
  <si>
    <t>disagreement, discord, dissension, conflict, disharmony</t>
  </si>
  <si>
    <t>https://www.freepik.com/free-photos-vectors/handshake-agreement</t>
  </si>
  <si>
    <t>Two people shaking hands</t>
  </si>
  <si>
    <t>Harsh or biting in tone or manner</t>
  </si>
  <si>
    <t>Her acerbic wit could be quite cutting.</t>
  </si>
  <si>
    <t>harsh, biting, acrid, scathing, sardonic</t>
  </si>
  <si>
    <t>mild, gentle, kind, friendly, polite</t>
  </si>
  <si>
    <t>https://www.freepik.com/free-photos-vectors/angry-woman-face</t>
  </si>
  <si>
    <t>A woman with an angry expression on her face</t>
  </si>
  <si>
    <t>A devoted follower or supporter</t>
  </si>
  <si>
    <t>He was a devoted acolyte of the philosopher.</t>
  </si>
  <si>
    <t>disciple, follower, adherent, devotee, supporter</t>
  </si>
  <si>
    <t>adversary, antagonist, opponent, enemy, critic</t>
  </si>
  <si>
    <t>https://www.freepik.com/free-photos-vectors/student-learning</t>
  </si>
  <si>
    <t>A student sitting at a desk with a book open in front of them</t>
  </si>
  <si>
    <t>To submit or agree to something reluctantly</t>
  </si>
  <si>
    <t>She finally acquiesced to his demands.</t>
  </si>
  <si>
    <t>submit, consent, agree, yield, comply</t>
  </si>
  <si>
    <t>resist, oppose, refuse, disagree, defy</t>
  </si>
  <si>
    <t>https://www.freepik.com/free-photos-vectors/person-shrugging</t>
  </si>
  <si>
    <t>A person shrugging their shoulders</t>
  </si>
  <si>
    <t>Having a strong desire to acquire possessions</t>
  </si>
  <si>
    <t>He was an acquisitive man who always wanted more.</t>
  </si>
  <si>
    <t>greedy, covetous, avaricious, materialistic, grasping</t>
  </si>
  <si>
    <t>generous, unattached, disinterested, selfless, altruistic</t>
  </si>
  <si>
    <t>https://www.freepik.com/free-photos-vectors/people-holding-money</t>
  </si>
  <si>
    <t>A person holding a large amount of money</t>
  </si>
  <si>
    <t>Marked by bitter hostility or anger</t>
  </si>
  <si>
    <t>The debate between the two politicians was acrimonious.</t>
  </si>
  <si>
    <t>bitter, hostile, angry, rancorous, vitriolic</t>
  </si>
  <si>
    <t>amicable, friendly, agreeable, pleasant, cordial</t>
  </si>
  <si>
    <t>https://www.freepik.com/free-photos-vectors/people-arguing</t>
  </si>
  <si>
    <t>Two people arguing with each other</t>
  </si>
  <si>
    <t>The practice of engaging in direct action to bring about social or political change.</t>
  </si>
  <si>
    <t>"The civil rights movement was a successful example of activism."</t>
  </si>
  <si>
    <t>advocacy, campaign, crusade, engagement, mobilization</t>
  </si>
  <si>
    <t>apathy, indifference, passiveness, resignation, acquiescence</t>
  </si>
  <si>
    <t>https://www.freepik.com/free-photos-vectors/protestors-holding-signs</t>
  </si>
  <si>
    <t>A group of people holding signs and chanting slogans at a protest</t>
  </si>
  <si>
    <t>Keenness of judgment or insight.</t>
  </si>
  <si>
    <t>"He had a keen acumen for business and was always able to spot a good deal."</t>
  </si>
  <si>
    <t>shrewdness, sagacity, insight, discernment, perspicacity</t>
  </si>
  <si>
    <t>foolishness, dullness, stupidity, obtuseness, lack of insight</t>
  </si>
  <si>
    <t>https://www.istockphoto.com/illustrations/light-bulb-white-background</t>
  </si>
  <si>
    <t>A light bulb</t>
  </si>
  <si>
    <t>Sharp, intense, or severe.</t>
  </si>
  <si>
    <t>"He was suffering from acute pain in his abdomen."</t>
  </si>
  <si>
    <t>sharp, intense, severe, critical, serious</t>
  </si>
  <si>
    <t>mild, moderate, slight, gentle, benign</t>
  </si>
  <si>
    <t>https://www.freepik.com/free-photos-vectors/high-temperature</t>
  </si>
  <si>
    <t>A thermometer with a high reading</t>
  </si>
  <si>
    <t>Skillful or proficient.</t>
  </si>
  <si>
    <t>"She is an adept musician and can play several instruments."</t>
  </si>
  <si>
    <t>skilled, proficient, expert, master, virtuoso</t>
  </si>
  <si>
    <t>unskilled, unproficient, clumsy, awkward, inept</t>
  </si>
  <si>
    <t>https://www.freepik.com/free-photos-vectors/woman-playing-violin</t>
  </si>
  <si>
    <t>A person playing a musical instrument</t>
  </si>
  <si>
    <t>A person who adheres to a particular belief or system.</t>
  </si>
  <si>
    <t>"He was a devout adherent of the religion."</t>
  </si>
  <si>
    <t>follower, devotee, supporter, disciple, believer</t>
  </si>
  <si>
    <t>opponent, adversary, critic, enemy, nonbeliever</t>
  </si>
  <si>
    <t>https://www.freepik.com/free-photos-vectors/praying-hands</t>
  </si>
  <si>
    <t>A group of people wearing religious clothing</t>
  </si>
  <si>
    <t>Ad hoc</t>
  </si>
  <si>
    <t>Formed or done for a particular purpose or occasion.</t>
  </si>
  <si>
    <t>"We formed an ad hoc committee to deal with the crisis."</t>
  </si>
  <si>
    <t>improvised, temporary, impromptu, makeshift, expediential</t>
  </si>
  <si>
    <t>planned, prearranged, permanent, established, regular</t>
  </si>
  <si>
    <t>https://www.freepik.com/free-photos-vectors/brainstorming-ideas</t>
  </si>
  <si>
    <t>A group of people brainstorming ideas</t>
  </si>
  <si>
    <t>To warn or reprove someone in a gentle or serious way.</t>
  </si>
  <si>
    <t>"He was admonished by the teacher for his disruptive behavior."</t>
  </si>
  <si>
    <t>warn, reprove, caution, reprimand, censure</t>
  </si>
  <si>
    <t>praise, commend, compliment, flatter, approve</t>
  </si>
  <si>
    <t>https://www.freepik.com/vectors/upset-child</t>
  </si>
  <si>
    <t>A parent talking to their child seriously</t>
  </si>
  <si>
    <t>Skillful or adept in the use of one's hands or mind.</t>
  </si>
  <si>
    <t>"He was an adroit surgeon with a steady hand."</t>
  </si>
  <si>
    <t>skillful, adept, dexterous, nimble, clever</t>
  </si>
  <si>
    <t>clumsy, awkward, inept, uncoordinated, slow</t>
  </si>
  <si>
    <t>https://www.freepik.com/free-photos-vectors/surgery-room</t>
  </si>
  <si>
    <t>A surgeon performing surgery</t>
  </si>
  <si>
    <t>Excessive or flattering praise or admiration.</t>
  </si>
  <si>
    <t>"The singer was showered with adulation by his fans."</t>
  </si>
  <si>
    <t>praise, admiration, worship, reverence, idolatry</t>
  </si>
  <si>
    <t>criticism, disapproval, contempt, scorn, derision</t>
  </si>
  <si>
    <t>https://www.freepik.com/free-photos-vectors/cheering-crowd</t>
  </si>
  <si>
    <t>A crowd cheering for a celebrity</t>
  </si>
  <si>
    <t>To make something impure by adding a foreign substance to it.</t>
  </si>
  <si>
    <t>The food was adulterated with harmful chemicals.</t>
  </si>
  <si>
    <t>contaminate, pollute, taint, defile, corrupt</t>
  </si>
  <si>
    <t>purify, cleanse, refine, decontaminate, disinfect</t>
  </si>
  <si>
    <t>https://www.istockphoto.com/photos/warning-label-bottle</t>
  </si>
  <si>
    <t>A bottle of water with a warning label</t>
  </si>
  <si>
    <t>Unfavorable or harmful.</t>
  </si>
  <si>
    <t>The adverse weather conditions forced us to cancel the game.</t>
  </si>
  <si>
    <t>negative, detrimental, harmful, injurious, unfavorable</t>
  </si>
  <si>
    <t>favorable, beneficial, advantageous, helpful, positive</t>
  </si>
  <si>
    <t>https://pixabay.com/images/search/storm%20clouds/</t>
  </si>
  <si>
    <t>A dark cloud with rain pouring down</t>
  </si>
  <si>
    <t>A person who publicly supports or recommends a particular cause or policy.</t>
  </si>
  <si>
    <t>She is a strong advocate for women's rights.</t>
  </si>
  <si>
    <t>supporter, champion, proponent, defender, spokesperson</t>
  </si>
  <si>
    <t>opponent, critic, adversary, antagonist, detractor</t>
  </si>
  <si>
    <t>https://www.freepik.com/free-photos-vectors/people-rally</t>
  </si>
  <si>
    <t>A person standing on a podium speaking to a crowd of people</t>
  </si>
  <si>
    <t>Relating to beauty or good taste.</t>
  </si>
  <si>
    <t>The room had a very pleasing aesthetic.</t>
  </si>
  <si>
    <t>beautiful, attractive, pleasing, elegant, artistic</t>
  </si>
  <si>
    <t>ugly, unattractive, displeasing, inelegant, unartistic</t>
  </si>
  <si>
    <t>https://pixabay.com/images/search/sunset/</t>
  </si>
  <si>
    <t>A colorful sunset over a calm ocean</t>
  </si>
  <si>
    <t>Friendly and approachable.</t>
  </si>
  <si>
    <t>He is a very affable person who always has a smile on his face.</t>
  </si>
  <si>
    <t>friendly, approachable, pleasant, agreeable, sociable</t>
  </si>
  <si>
    <t>unfriendly, unapproachable, unpleasant, disagreeable, unsociable</t>
  </si>
  <si>
    <t>https://www.freepik.com/free-photos-vectors/smiling-people</t>
  </si>
  <si>
    <t>A person with a warm smile and open arms</t>
  </si>
  <si>
    <t>To have an effect on something or someone.</t>
  </si>
  <si>
    <t>The new law will have a significant impact on the economy.</t>
  </si>
  <si>
    <t>influence, impact, affect, bear upon, have an effect on</t>
  </si>
  <si>
    <t>remain unaffected, have no effect on, leave unchanged</t>
  </si>
  <si>
    <t>https://pixabay.com/images/search/butterfly%20wings/</t>
  </si>
  <si>
    <t>A butterfly flapping its wings, symbolizing the ripple effect of small actions</t>
  </si>
  <si>
    <t>A pretense of having qualities or feelings one does not possess.</t>
  </si>
  <si>
    <t>His affected mannerisms annoyed everyone who met him.</t>
  </si>
  <si>
    <t>pretense, artificiality, unnaturalness, insincerity, disingenuousness</t>
  </si>
  <si>
    <t>sincerity, genuineness, naturalness, authenticity, straightforwardness</t>
  </si>
  <si>
    <t>https://www.freepik.com/free-photos-vectors/person-posing</t>
  </si>
  <si>
    <t>A person trying to look perfect and glamorous</t>
  </si>
  <si>
    <t>A natural liking or attraction for something or someone.</t>
  </si>
  <si>
    <t>She has a great affinity for music.</t>
  </si>
  <si>
    <t>liking, attraction, fondness, rapport, connection</t>
  </si>
  <si>
    <t>dislike, aversion, antipathy, repulsion, disconnection</t>
  </si>
  <si>
    <t>https://www.istockphoto.com/photos/dog-and-cat-cuddling</t>
  </si>
  <si>
    <t>A cat and dog cuddling, symbolizing the bond between two different species</t>
  </si>
  <si>
    <t>Wealth and abundance.</t>
  </si>
  <si>
    <t>The family lived in affluence, with a large house and servants.</t>
  </si>
  <si>
    <t>wealth, abundance, prosperity, richness, luxury</t>
  </si>
  <si>
    <t>poverty, scarcity, lack, need, deprivation</t>
  </si>
  <si>
    <t>https://pixabay.com/images/search/pool%20house/</t>
  </si>
  <si>
    <t>A large and luxurious mansion</t>
  </si>
  <si>
    <t>An insult or a rude remark.</t>
  </si>
  <si>
    <t>He considered her comments to be an affront to his intelligence.</t>
  </si>
  <si>
    <t>insult, offense, rudeness, disrespect, slight</t>
  </si>
  <si>
    <t>compliment, praise, respect, courtesy, kindness</t>
  </si>
  <si>
    <t>https://www.freepik.com/free-photos-vectors/crossed-arms</t>
  </si>
  <si>
    <t>A person looking offended and angry</t>
  </si>
  <si>
    <t>To make something or someone appear larger or more important than they really are.</t>
  </si>
  <si>
    <t>He spent a lot of money on clothes and possessions in an attempt to aggrandize himself.</t>
  </si>
  <si>
    <t>inflate, exaggerate, magnify, amplify, overstate</t>
  </si>
  <si>
    <t>diminish, belittle, minimize, downplay, understate</t>
  </si>
  <si>
    <t>https://www.dreamstime.com/photos-images/person-standing-pedestal.html</t>
  </si>
  <si>
    <t>A person standing on a high platform, looking down at others</t>
  </si>
  <si>
    <t>Filled with sudden horror or shock.</t>
  </si>
  <si>
    <t>He was aghast at the sight of the burning building.</t>
  </si>
  <si>
    <t>horrified, shocked, appalled, stunned, terrified</t>
  </si>
  <si>
    <t>pleased, delighted, thrilled, excited, happy</t>
  </si>
  <si>
    <t>https://www.dreamstime.com/photos-images/surprised-shocked-woman-face-open-mouth.html</t>
  </si>
  <si>
    <t>A woman with her mouth open in shock</t>
  </si>
  <si>
    <t>To stir up or make someone feel excited or anxious.</t>
  </si>
  <si>
    <t>The news of the war agitated the people.</t>
  </si>
  <si>
    <t>excite, worry, disturb, trouble, upset</t>
  </si>
  <si>
    <t>calm, soothe, reassure, pacify, appease</t>
  </si>
  <si>
    <t>https://www.freepik.com/free-photos-vectors/people-shouting</t>
  </si>
  <si>
    <t>A person shouting at a political rally</t>
  </si>
  <si>
    <t>Willing to agree to something or to do something that someone else wants.</t>
  </si>
  <si>
    <t>She was an agreeable person who was always happy to help others.</t>
  </si>
  <si>
    <t>pleasant, good-natured, amenable, accommodating, easygoing</t>
  </si>
  <si>
    <t>disagreeable, unpleasant, bad-tempered, stubborn, argumentative</t>
  </si>
  <si>
    <t>https://www.freepik.com/free-photos-vectors/two-people-shaking-hands</t>
  </si>
  <si>
    <t>Two people shaking hands after reaching an agreement</t>
  </si>
  <si>
    <t>Not concerned with or based on historical fact.</t>
  </si>
  <si>
    <t>The movie was ahistorical in its portrayal of the events.</t>
  </si>
  <si>
    <t>unrealistic, inaccurate, fictional, fabricated, invented</t>
  </si>
  <si>
    <t>historical, factual, accurate, true, authentic</t>
  </si>
  <si>
    <t>https://www.dreamstime.com/photos-images/dusty-books-shelf.html</t>
  </si>
  <si>
    <t>An old book covered in dust on a shelf</t>
  </si>
  <si>
    <t>Cheerful willingness or eagerness.</t>
  </si>
  <si>
    <t>He completed his tasks with alacrity and a smile.</t>
  </si>
  <si>
    <t>eagerness, enthusiasm, readiness, promptitude, briskness</t>
  </si>
  <si>
    <t>reluctance, hesitation, indifference, apathy, sloth</t>
  </si>
  <si>
    <t>https://www.freepik.com/premium-vector/happy-man-running-park_4868015.htm</t>
  </si>
  <si>
    <t>A man running with a happy expression on his face</t>
  </si>
  <si>
    <t>To cause someone to feel hostile or unfriendly.</t>
  </si>
  <si>
    <t>His arrogance and rudeness alienated him from his friends.</t>
  </si>
  <si>
    <t>estrange, distance, antagonize, turn off, put off</t>
  </si>
  <si>
    <t>endear, attract, win over, charm, engage</t>
  </si>
  <si>
    <t>https://www.freepik.com/free-photos-vectors/two-people-standing</t>
  </si>
  <si>
    <t>Two people standing far apart with their backs to each other</t>
  </si>
  <si>
    <t>Including everything; comprehensive.</t>
  </si>
  <si>
    <t>The book is an all-encompassing guide to the subject.</t>
  </si>
  <si>
    <t>comprehensive, exhaustive, complete, thorough, inclusive</t>
  </si>
  <si>
    <t>limited, restricted, partial, incomplete, exclusive</t>
  </si>
  <si>
    <t>https://pixabay.com/images/search/world%20globe/</t>
  </si>
  <si>
    <t>A globe showing the entire world</t>
  </si>
  <si>
    <t>Using symbols or metaphors to represent something else.</t>
  </si>
  <si>
    <t>Aesop's fables are allegorical tales that teach moral lessons.</t>
  </si>
  <si>
    <t>symbolic, metaphorical, figurative, representative, emblematic</t>
  </si>
  <si>
    <t>literal, direct, straightforward, unambiguous, plain</t>
  </si>
  <si>
    <t>https://en.wikipedia.org/wiki/August_Leu</t>
  </si>
  <si>
    <t>A painting of a lion and a lamb lying down together, symbolizing peace and harmony</t>
  </si>
  <si>
    <t>To make something less painful or severe.</t>
  </si>
  <si>
    <t>The medication helped to alleviate her pain.</t>
  </si>
  <si>
    <t>relieve, lessen, ease, mitigate, diminish</t>
  </si>
  <si>
    <t>worsen, aggravate, exacerbate, intensify, increase</t>
  </si>
  <si>
    <t>https://www.freepik.com/free-photos-vectors/doctor-and-patient</t>
  </si>
  <si>
    <t>A doctor giving a patient a pill and a glass of water</t>
  </si>
  <si>
    <t>Referring indirectly to something else.</t>
  </si>
  <si>
    <t>The poem is full of allusions to Greek mythology.</t>
  </si>
  <si>
    <t>indirect, suggestive, veiled, cryptic, metaphorical</t>
  </si>
  <si>
    <t>direct, explicit, straightforward, unambiguous, literal</t>
  </si>
  <si>
    <t>https://www.freepik.com/free-photos-vectors/question-mark</t>
  </si>
  <si>
    <t>A question mark, symbolizing the idea of something being unclear or mysterious</t>
  </si>
  <si>
    <t>Distant and unapproachable.</t>
  </si>
  <si>
    <t>She had an aloof air about her that made it difficult to get to know her.</t>
  </si>
  <si>
    <t>reserved, distant, cold, unapproachable, detached</t>
  </si>
  <si>
    <t>friendly, warm, approachable, outgoing, sociable</t>
  </si>
  <si>
    <t>https://www.freepik.com/free-photos-vectors/thinking-man: https://www.freepik.com/free-photos-vectors/thinking-man</t>
  </si>
  <si>
    <t>A person sitting alone on a park bench looking away from the camera</t>
  </si>
  <si>
    <t>Unconcerned with one's own benefit; selfless.</t>
  </si>
  <si>
    <t>She volunteered her time to help the homeless, showing her altruistic nature.</t>
  </si>
  <si>
    <t>selfless, generous, charitable, philanthropic, humanitarian</t>
  </si>
  <si>
    <t>selfish, self-serving, narcissistic, egocentric, egotistical</t>
  </si>
  <si>
    <t>https://www.freepik.com/free-photos-vectors/charity-illustration: https://www.freepik.com/free-photos-vectors/charity-illustration</t>
  </si>
  <si>
    <t>A person holding a donation box and smiling</t>
  </si>
  <si>
    <t>To combine or unite to form one entity.</t>
  </si>
  <si>
    <t>The two companies amalgamated to create a new market leader.</t>
  </si>
  <si>
    <t>combine, merge, unite, fuse, consolidate</t>
  </si>
  <si>
    <t>separate, divide, split, disband, dissolve</t>
  </si>
  <si>
    <t>https://www.freepik.com/free-photos-vectors/merger-acquisition: https://www.freepik.com/free-photos-vectors/merger-acquisition</t>
  </si>
  <si>
    <t>Two puzzle pieces fitting together to form a whole picture</t>
  </si>
  <si>
    <t>An unclear or indefinite meaning.</t>
  </si>
  <si>
    <t>The instructions were full of ambiguity, leaving the reader confused.</t>
  </si>
  <si>
    <t>uncertainty, vagueness, unclarity, obscurity, ambiguity</t>
  </si>
  <si>
    <t>clarity, certainty, precision, explicitness, directness</t>
  </si>
  <si>
    <t>A large question mark on a blackboard</t>
  </si>
  <si>
    <t>Having mixed feelings about something; uncertain.</t>
  </si>
  <si>
    <t>She was ambivalent about taking the new job.</t>
  </si>
  <si>
    <t>indecisive, uncertain, conflicted, hesitant, lukewarm</t>
  </si>
  <si>
    <t>decisive, certain, confident, unwavering, enthusiastic</t>
  </si>
  <si>
    <t>https://www.freepik.com/free-photos-vectors/confused-person: https://www.freepik.com/free-photos-vectors/confused-person</t>
  </si>
  <si>
    <t>A person with a furrowed brow and a confused expression</t>
  </si>
  <si>
    <t>To improve or make something better.</t>
  </si>
  <si>
    <t>The new management team took steps to ameliorate the company's financial situation.</t>
  </si>
  <si>
    <t>improve, better, reform, rectify, mend</t>
  </si>
  <si>
    <t>worsen, deteriorate, decline, decay, regress</t>
  </si>
  <si>
    <t>https://www.freepik.com/free-photos-vectors/upward-arrow: https://www.freepik.com/free-photos-vectors/upward-arrow</t>
  </si>
  <si>
    <t>A green arrow pointing upwards</t>
  </si>
  <si>
    <t>He was an amenable person who was always happy to help others.</t>
  </si>
  <si>
    <t>agreeable, compliant, cooperative, willing, accommodating</t>
  </si>
  <si>
    <t>disagreeable, uncooperative, resistant, stubborn, unwilling</t>
  </si>
  <si>
    <t>https://www.freepik.com/free-photos-vectors/two-people-shaking-hands: https://www.freepik.com/free-photos-vectors/two-people-shaking-hands</t>
  </si>
  <si>
    <t>Two people shaking hands, signifying agreement</t>
  </si>
  <si>
    <t>To make small changes to improve something.</t>
  </si>
  <si>
    <t>The government amended the law to address the concerns of the public.</t>
  </si>
  <si>
    <t>revise, modify, alter, adjust, correct</t>
  </si>
  <si>
    <t>leave unchanged, maintain, perpetuate, conserve, preserve</t>
  </si>
  <si>
    <t>https://www.freepik.com/free-photos-vectors/pencil-and-paper: https://www.freepik.com/free-photos-vectors/pencil-and-paper</t>
  </si>
  <si>
    <t>A pencil erasing a mistake on a piece of paper</t>
  </si>
  <si>
    <t>Friendly and likeable.</t>
  </si>
  <si>
    <t>She had an amiable personality that drew people to her.</t>
  </si>
  <si>
    <t>friendly, likeable, agreeable, pleasant, personable</t>
  </si>
  <si>
    <t>unfriendly, unpleasant, disagreeable, abrasive, unlikeable</t>
  </si>
  <si>
    <t>https://www.freepik.com/free-photos-vectors/people-smiling: https://www.freepik.com/free-photos-vectors/people-smiling</t>
  </si>
  <si>
    <t>A group of people laughing and smiling together</t>
  </si>
  <si>
    <t>Friendly and peaceful; without conflict.</t>
  </si>
  <si>
    <t>They reached an amicable agreement after a long negotiation.</t>
  </si>
  <si>
    <t>friendly, peaceful, harmonious, cordial, civil</t>
  </si>
  <si>
    <t>hostile, unfriendly, acrimonious, antagonistic, belligerent</t>
  </si>
  <si>
    <t>https://www.freepik.com/free-photos-vectors/two-people-laughing</t>
  </si>
  <si>
    <t>Two people laughing and smiling together</t>
  </si>
  <si>
    <t>Without a definite form or shape.</t>
  </si>
  <si>
    <t>The amoeba had an amorphous blob-like shape.</t>
  </si>
  <si>
    <t>shapeless, formless, indefinite, indistinct, vague</t>
  </si>
  <si>
    <t>definite, distinct, clear, precise, well-defined</t>
  </si>
  <si>
    <t>https://www.microscopemaster.com/amoeba-under-the-microscope.html</t>
  </si>
  <si>
    <t>A microscopic image of an amoeba</t>
  </si>
  <si>
    <t>To provide entertainment or enjoyment.</t>
  </si>
  <si>
    <t>The comedian's jokes amused the audience.</t>
  </si>
  <si>
    <t>entertain, divert, delight, please, tickle</t>
  </si>
  <si>
    <t>bore, tire, disappoint, anger, irritate</t>
  </si>
  <si>
    <t>https://www.freepik.com/free-photos-vectors/audience-laughing</t>
  </si>
  <si>
    <t>A crowd of people laughing at a comedian on stage</t>
  </si>
  <si>
    <t>Something placed out of its proper historical context.</t>
  </si>
  <si>
    <t>The film was full of anachronisms, such as characters using modern slang in medieval times.</t>
  </si>
  <si>
    <t>historical inaccuracy, misplacement in time, anachronistic element</t>
  </si>
  <si>
    <t>historical accuracy, factual representation, temporally appropriate depiction</t>
  </si>
  <si>
    <t>https://pixabay.com/images/search/medieval%20knights/</t>
  </si>
  <si>
    <t>Knights in armor riding horses in a medieval setting</t>
  </si>
  <si>
    <t>Belonging to a period other than that in which it is found.</t>
  </si>
  <si>
    <t>The old-fashioned typewriter was an anachronistic sight in the modern office.</t>
  </si>
  <si>
    <t>outdated, antiquated, obsolete, old-fashioned, outmoded</t>
  </si>
  <si>
    <t>modern, contemporary, current, up-to-date, fashionable</t>
  </si>
  <si>
    <t>https://pixabay.com/images/search/typewriter/</t>
  </si>
  <si>
    <t>An old-fashioned typewriter on a desk</t>
  </si>
  <si>
    <t>Similar in some way; comparable.</t>
  </si>
  <si>
    <t>The relationship between a parent and child is analogous to that of a shepherd and his sheep.</t>
  </si>
  <si>
    <t>similar, comparable, parallel, corresponding, akin</t>
  </si>
  <si>
    <t>dissimilar, different, unlike, non-comparable, contrasting</t>
  </si>
  <si>
    <t>https://pixabay.com/images/search/shepherd%20sheep/</t>
  </si>
  <si>
    <t>A shepherd watching over a flock of sheep</t>
  </si>
  <si>
    <t>A short, amusing or interesting story about a particular incident or person.</t>
  </si>
  <si>
    <t>He told an anecdote about the time he met a famous musician.</t>
  </si>
  <si>
    <t>story, tale, incident, episode, narrative</t>
  </si>
  <si>
    <t>detailed account, full description, comprehensive report, extended analysis, elaborate explanation</t>
  </si>
  <si>
    <t>https://www.freepik.com/free-photos-vectors/storytelling</t>
  </si>
  <si>
    <t>A person sitting in a circle and telling a story to a group of people who are listening attentively</t>
  </si>
  <si>
    <t>Strong dislike or hatred.</t>
  </si>
  <si>
    <t>There was a lot of animosity between the two rival teams.</t>
  </si>
  <si>
    <t>hostility, hatred, dislike, bitterness, acrimony</t>
  </si>
  <si>
    <t>friendship, love, affection, goodwill, kindness</t>
  </si>
  <si>
    <t>https://www.freepik.com/free-photos-vectors/two-people-arguing</t>
  </si>
  <si>
    <t>Two people standing face-to-face, arguing and looking angry</t>
  </si>
  <si>
    <t>Hostile feeling or attitude; animosity.</t>
  </si>
  <si>
    <t>He harbored animus towards his former employer.</t>
  </si>
  <si>
    <t>hostility, hatred, ill will, resentment, malice</t>
  </si>
  <si>
    <t>https://www.freepik.com/free-photos-vectors/angry-yelling</t>
  </si>
  <si>
    <t>A person with a clenched fist and an angry expression on their face</t>
  </si>
  <si>
    <t>To apply a liquid, especially oil, to someone or something as a religious or ceremonial act.</t>
  </si>
  <si>
    <t>The priest anointed the king before his coronation.</t>
  </si>
  <si>
    <t>consecrate, bless, sanctify, ordain, dedicate</t>
  </si>
  <si>
    <t>desecrate, profane, blaspheme, debase, defile</t>
  </si>
  <si>
    <t>https://www.freepik.com/free-photos-vectors/anointing: https://www.freepik.com/free-photos-vectors/anointing</t>
  </si>
  <si>
    <t>A priest anointing a king with oil</t>
  </si>
  <si>
    <t>Deviating from what is standard, normal, or expected.</t>
  </si>
  <si>
    <t>The scientists observed several anomalous readings in their data.</t>
  </si>
  <si>
    <t>abnormal, atypical, irregular, unusual, aberrant</t>
  </si>
  <si>
    <t>https://www.freepik.com/free-photos-vectors/outlier: https://www.freepik.com/free-photos-vectors/outlier</t>
  </si>
  <si>
    <t>A data point that is far away from the rest of the data points</t>
  </si>
  <si>
    <t>Something that deviates from what is standard, normal, or expected.</t>
  </si>
  <si>
    <t>The birth of identical twins was an anomaly.</t>
  </si>
  <si>
    <t>abnormality, deviation, irregularity, exception, oddity</t>
  </si>
  <si>
    <t>norm, standard, expectation, regularity, conformity</t>
  </si>
  <si>
    <t>https://www.freepik.com/free-photos-vectors/anomaly-detection: https://www.freepik.com/free-photos-vectors/anomaly-detection</t>
  </si>
  <si>
    <t>A computer screen showing a graph with an anomaly</t>
  </si>
  <si>
    <t>Showing or feeling active opposition or hostility.</t>
  </si>
  <si>
    <t>The two countries have been in an antagonistic relationship for decades.</t>
  </si>
  <si>
    <t>hostile, adversarial, unfriendly, belligerent, aggressive</t>
  </si>
  <si>
    <t>friendly, amicable, peaceful, cooperative, conciliatory</t>
  </si>
  <si>
    <t>https://www.freepik.com/free-photos-vectors/two-people-arguing: https://www.freepik.com/free-photos-vectors/two-people-arguing</t>
  </si>
  <si>
    <t>Two people arguing and looking angry at each other</t>
  </si>
  <si>
    <t>To make someone angry or hostile.</t>
  </si>
  <si>
    <t>His aggressive behavior antagonized everyone around him.</t>
  </si>
  <si>
    <t>provoke, irritate, annoy, anger, upset</t>
  </si>
  <si>
    <t>appease, pacify, placate, soothe, calm</t>
  </si>
  <si>
    <t>https://www.freepik.com/free-photos-vectors/angry-yelling: https://www.freepik.com/free-photos-vectors/angry-yelling</t>
  </si>
  <si>
    <t>To be older than something else; to precede in time.</t>
  </si>
  <si>
    <t>The pyramids of Giza antedate all other major stone structures.</t>
  </si>
  <si>
    <t>predate, precede, predate, be older than, come before</t>
  </si>
  <si>
    <t>postdate, succeed, come after, be newer than</t>
  </si>
  <si>
    <t>https://www.freepik.com/free-photos-vectors/pyramid-giza: https://www.freepik.com/free-photos-vectors/pyramid-giza</t>
  </si>
  <si>
    <t>The pyramids of Giza</t>
  </si>
  <si>
    <t>A strong dislike or aversion.</t>
  </si>
  <si>
    <t>She felt an antipathy towards people who were rude and arrogant.</t>
  </si>
  <si>
    <t>dislike, aversion, hostility, hatred, repugnance</t>
  </si>
  <si>
    <t>sympathy, empathy, liking, affection, fondness</t>
  </si>
  <si>
    <t>A person with a disgusted expression on their face</t>
  </si>
  <si>
    <t>The great age of something; the ancient times.</t>
  </si>
  <si>
    <t>The ruins of the city stood as a testament to its antiquity.</t>
  </si>
  <si>
    <t>oldness, age, ancientness, archaism, decrepitude</t>
  </si>
  <si>
    <t>newness, modernity, youthfulness, currency, contemporaneity</t>
  </si>
  <si>
    <t>https://www.freepik.com/free-photos-vectors/ancient-ruins: https://www.freepik.com/free-photos-vectors/ancient-ruins</t>
  </si>
  <si>
    <t>Ancient ruins in the middle of a desert</t>
  </si>
  <si>
    <t>The complete opposite of something; a direct contrast.</t>
  </si>
  <si>
    <t>War is the antithesis of peace.</t>
  </si>
  <si>
    <t>opposite, inverse, converse, contrary, contradiction</t>
  </si>
  <si>
    <t>similarity, likeness, resemblance, agreement, congruence</t>
  </si>
  <si>
    <t>https://www.freepik.com/free-photos-vectors/yin-yang: https://www.freepik.com/free-photos-vectors/yin-yang</t>
  </si>
  <si>
    <t>The yin-yang symbol, representing the balance of opposing forces</t>
  </si>
  <si>
    <t>Lack of interest, enthusiasm, or concern.</t>
  </si>
  <si>
    <t>He felt a growing sense of apathy towards his work.</t>
  </si>
  <si>
    <t>indifference, listlessness, lethargy, insouciance, boredom</t>
  </si>
  <si>
    <t>interest, enthusiasm, concern, passion, excitement</t>
  </si>
  <si>
    <t>https://www.freepik.com/free-photos-vectors/bored-person: https://www.freepik.com/free-photos-vectors/bored-person</t>
  </si>
  <si>
    <t>A person staring blankly into space with a bored expression</t>
  </si>
  <si>
    <t>A concise statement expressing a general truth or principle.</t>
  </si>
  <si>
    <t>An eye for an eye, a tooth for a tooth, is a famous aphorism.</t>
  </si>
  <si>
    <t>proverb, maxim, saying, adage, aphoristic statement</t>
  </si>
  <si>
    <t>contradiction, fallacy, error, misconception, falsehood</t>
  </si>
  <si>
    <t>https://www.freepik.com/free-photos-vectors/quote: https://www.freepik.com/free-photos-vectors/quote</t>
  </si>
  <si>
    <t>A quotation mark symbol</t>
  </si>
  <si>
    <t>Confident and assured self-possession.</t>
  </si>
  <si>
    <t>She delivered her speech with aplomb, even though she was nervous.</t>
  </si>
  <si>
    <t>poise, assurance, self-confidence, composure, self-possession</t>
  </si>
  <si>
    <t>timidity, shyness, insecurity, nervousness, self-doubt</t>
  </si>
  <si>
    <t>https://www.freepik.com/free-photos-vectors/confident-woman-speaking: https://www.freepik.com/free-photos-vectors/confident-woman-speaking</t>
  </si>
  <si>
    <t>A woman speaking confidently in public</t>
  </si>
  <si>
    <t>The highest point; the peak.</t>
  </si>
  <si>
    <t>His career reached its apogee when he won the Nobel Prize.</t>
  </si>
  <si>
    <t>zenith, apex, peak, pinnacle, culmination</t>
  </si>
  <si>
    <t>nadir, low point, trough, bottom, abyss</t>
  </si>
  <si>
    <t>https://www.freepik.com/free-photos-vectors/mountain-peak: https://www.freepik.com/free-photos-vectors/mountain-peak</t>
  </si>
  <si>
    <t>A mountain peak reaching up to the sky</t>
  </si>
  <si>
    <t>Someone who defends or speaks in favor of a particular cause or person.</t>
  </si>
  <si>
    <t>He was a vocal apologist for the government's policies.</t>
  </si>
  <si>
    <t>advocate, champion, defender, proponent, supporter</t>
  </si>
  <si>
    <t>critic, adversary, opponent, detractor, antagonist</t>
  </si>
  <si>
    <t>https://www.freepik.com/free-photos-vectors/lawyer-court: https://www.freepik.com/free-photos-vectors/lawyer-court</t>
  </si>
  <si>
    <t>A lawyer defending their client in court</t>
  </si>
  <si>
    <t>To calm or pacify someone by giving them what they want.</t>
  </si>
  <si>
    <t>He tried to appease the angry crowd by making promises he couldn't keep.</t>
  </si>
  <si>
    <t>placate, pacify, mollify, soothe, conciliate</t>
  </si>
  <si>
    <t>provoke, antagonize, anger, infuriate, enrage</t>
  </si>
  <si>
    <t>https://www.freepik.com/free-photos-vectors/handshake-agreement: https://www.freepik.com/free-photos-vectors/handshake-agreement</t>
  </si>
  <si>
    <t>Two people shaking hands and smiling</t>
  </si>
  <si>
    <t>Appropriate or relevant to a particular situation.</t>
  </si>
  <si>
    <t>The speaker made several apposite comments that resonated with the audience.</t>
  </si>
  <si>
    <t>appropriate, relevant, pertinent, fitting, germane</t>
  </si>
  <si>
    <t>inappropriate, irrelevant, inconsequential, extraneous, immaterial</t>
  </si>
  <si>
    <t>https://www.freepik.com/free-photos-vectors/check-mark: https://www.freepik.com/free-photos-vectors/check-mark</t>
  </si>
  <si>
    <t>A green check mark</t>
  </si>
  <si>
    <t>A feeling of anxiety or dread about something that might happen.</t>
  </si>
  <si>
    <t>She felt a growing sense of apprehension as she approached the haunted house.</t>
  </si>
  <si>
    <t>anxiety, dread, fear, nervousness, trepidation</t>
  </si>
  <si>
    <t>confidence, calmness, serenity, peace, composure</t>
  </si>
  <si>
    <t>https://www.freepik.com/free-photos-vectors/person-worried: https://www.freepik.com/free-photos-vectors/person-worried</t>
  </si>
  <si>
    <t>A person biting their nails and looking worried</t>
  </si>
  <si>
    <t>To inform someone of something.</t>
  </si>
  <si>
    <t>I will keep you apprised of any developments.</t>
  </si>
  <si>
    <t>inform, notify, update, advise, acquaint</t>
  </si>
  <si>
    <t>withhold information, keep in the dark, conceal, hide, obscure</t>
  </si>
  <si>
    <t>https://www.freepik.com/free-photos-vectors/notification-bell: https://www.freepik.com/free-photos-vectors/notification-bell</t>
  </si>
  <si>
    <t>A notification bell icon</t>
  </si>
  <si>
    <t>Approval or praise.</t>
  </si>
  <si>
    <t>She received the approbation of her colleagues for her excellent work.</t>
  </si>
  <si>
    <t>praise, approval, commendation, endorsement, acclaim</t>
  </si>
  <si>
    <t>disapproval, censure, criticism, condemnation, denunciation</t>
  </si>
  <si>
    <t>https://www.freepik.com/free-photos-vectors/award-trophy: https://www.freepik.com/free-photos-vectors/award-trophy</t>
  </si>
  <si>
    <t>A trophy being awarded to a winner</t>
  </si>
  <si>
    <t>Suitable or fitting for a particular purpose or occasion.</t>
  </si>
  <si>
    <t>The dress was appropriate for the formal event.</t>
  </si>
  <si>
    <t>suitable, fitting, proper, appropriate, relevant</t>
  </si>
  <si>
    <t>inappropriate, unsuitable, unfit, unbecoming, irrelevant</t>
  </si>
  <si>
    <t>To the point; relevant.</t>
  </si>
  <si>
    <t>Your comment was very apropos to the discussion.</t>
  </si>
  <si>
    <t>relevant, pertinent, germane, appropriate, opportune</t>
  </si>
  <si>
    <t>irrelevant, inappropriate, inconsequential, extraneous, immaterial</t>
  </si>
  <si>
    <t>https://www.freepik.com/free-photos-vectors/light-bulb-idea: https://www.freepik.com/free-photos-vectors/light-bulb-idea</t>
  </si>
  <si>
    <t>A light bulb lit up, representing a good idea</t>
  </si>
  <si>
    <t>Suitable or appropriate for a particular purpose or occasion.</t>
  </si>
  <si>
    <t>He used an apt metaphor to illustrate his point.</t>
  </si>
  <si>
    <t>suitable, appropriate, fitting, proper, relevant</t>
  </si>
  <si>
    <t>https://www.freepik.com/free-photos-vectors/puzzle-pieces: https://www.freepik.com/free-photos-vectors/puzzle-pieces</t>
  </si>
  <si>
    <t>Two puzzle pieces fitting together perfectly</t>
  </si>
  <si>
    <t>Based on random choice or personal whim, rather than any reason or principle.</t>
  </si>
  <si>
    <t>The manager made an arbitrary decision without consulting with his team.</t>
  </si>
  <si>
    <t>capricious, whimsical, unreasonable, groundless, unjustifiable</t>
  </si>
  <si>
    <t>reasoned, logical, rational, well-founded, justifiable</t>
  </si>
  <si>
    <t>https://www.freepik.com/free-photos-vectors/dice: https://www.freepik.com/free-photos-vectors/dice</t>
  </si>
  <si>
    <t>Dice rolling, signifying randomness</t>
  </si>
  <si>
    <t>Mysterious or secret; known only to a few.</t>
  </si>
  <si>
    <t>The ancient texts contained arcane symbols and rituals.</t>
  </si>
  <si>
    <t>mysterious, secret, hidden, obscure, cryptic</t>
  </si>
  <si>
    <t>known, public, open, transparent, clear</t>
  </si>
  <si>
    <t>https://www.freepik.com/free-photos-vectors/magic: https://www.freepik.com/free-photos-vectors/magic</t>
  </si>
  <si>
    <t>A wizard performing a magic trick</t>
  </si>
  <si>
    <t>Belonging to or characteristic of a former period; outdated.</t>
  </si>
  <si>
    <t>The building had an archaic design with gargoyles and stone arches.</t>
  </si>
  <si>
    <t>outdated, old-fashioned, antiquated, obsolete, outmoded</t>
  </si>
  <si>
    <t>https://www.freepik.com/free-photos-vectors/castle: https://www.freepik.com/free-photos-vectors/castle</t>
  </si>
  <si>
    <t>A medieval castle</t>
  </si>
  <si>
    <t>The original model or pattern from which all others are made; a prototype.</t>
  </si>
  <si>
    <t>The hero's journey is a common archetype found in many myths and stories.</t>
  </si>
  <si>
    <t>model, prototype, pattern, template, ideal</t>
  </si>
  <si>
    <t>copy, imitation, replica, derivative, duplicate</t>
  </si>
  <si>
    <t>https://www.freepik.com/free-photos-vectors/concept: https://www.freepik.com/free-photos-vectors/concept</t>
  </si>
  <si>
    <t>A light bulb lit up, representing an idea</t>
  </si>
  <si>
    <t>Having or showing great warmth of feeling; passionate.</t>
  </si>
  <si>
    <t>She was an ardent supporter of the environmental movement.</t>
  </si>
  <si>
    <t>passionate, fervent, enthusiastic, zealous, devoted</t>
  </si>
  <si>
    <t>indifferent, apathetic, lukewarm, unenthusiastic, unconcerned</t>
  </si>
  <si>
    <t>https://www.freepik.com/free-photos-vectors/heart: https://www.freepik.com/free-photos-vectors/heart</t>
  </si>
  <si>
    <t>A heart symbol, representing love and passion</t>
  </si>
  <si>
    <t>Requiring great effort or endurance; difficult.</t>
  </si>
  <si>
    <t>The climb to the summit was a long and arduous journey.</t>
  </si>
  <si>
    <t>difficult, challenging, demanding, strenuous, taxing</t>
  </si>
  <si>
    <t>easy, effortless, simple, straightforward, undemanding</t>
  </si>
  <si>
    <t>https://www.freepik.com/free-photos-vectors/mountain-climbing: https://www.freepik.com/free-photos-vectors/mountain-climbing</t>
  </si>
  <si>
    <t>People climbing a mountain, representing a difficult challenge</t>
  </si>
  <si>
    <t>Captivating attention; striking.</t>
  </si>
  <si>
    <t>The painting was an arresting image of a lone figure against a vast landscape.</t>
  </si>
  <si>
    <t>captivating, striking, impressive, compelling, eye-catching</t>
  </si>
  <si>
    <t>dull, boring, uninteresting, bland, unimpressive</t>
  </si>
  <si>
    <t>https://www.freepik.com/free-photos-vectors/eye-catching-design: https://www.freepik.com/free-photos-vectors/eye-catching-design</t>
  </si>
  <si>
    <t>An eye-catching design with bold colors and shapes</t>
  </si>
  <si>
    <t>Showing skill or cleverness; cunning.</t>
  </si>
  <si>
    <t>The politician used artful language to avoid answering the question.</t>
  </si>
  <si>
    <t>skillful, clever, cunning, crafty, ingenious</t>
  </si>
  <si>
    <t>unskilful, clumsy, awkward, inept, bungling</t>
  </si>
  <si>
    <t>https://www.freepik.com/free-photos-vectors/creative-idea: https://www.freepik.com/free-photos-vectors/creative-idea</t>
  </si>
  <si>
    <t>A person with a light bulb over their head, representing a creative idea</t>
  </si>
  <si>
    <t>Able to express oneself clearly and effectively.</t>
  </si>
  <si>
    <t>The speaker was articulate and held the audience's attention.</t>
  </si>
  <si>
    <t>eloquent, fluent, well-spoken, expressive, persuasive</t>
  </si>
  <si>
    <t>inarticulate, tongue-tied, hesitant, stammering, mumbling</t>
  </si>
  <si>
    <t>https://www.freepik.com/free-photos-vectors/microphone-speech: https://www.freepik.com/free-photos-vectors/microphone-speech</t>
  </si>
  <si>
    <t>A person speaking into a microphone</t>
  </si>
  <si>
    <t>Lacking skill or sophistication; simple.</t>
  </si>
  <si>
    <t>The song had a simple, artless beauty that touched the hearts of listeners.</t>
  </si>
  <si>
    <t>simple, naive, unsophisticated, unpretentious, genuine</t>
  </si>
  <si>
    <t>artful, sophisticated, complex, intricate, elaborate</t>
  </si>
  <si>
    <t>https://www.freepik.com/free-photos-vectors/child-drawing: https://www.freepik.com/free-photos-vectors/child-drawing</t>
  </si>
  <si>
    <t>A child drawing a picture with crayons</t>
  </si>
  <si>
    <t>To find out something with certainty.</t>
  </si>
  <si>
    <t>The detective needed to ascertain the suspect's alibi.</t>
  </si>
  <si>
    <t>find out, determine, discover, establish, confirm</t>
  </si>
  <si>
    <t>doubt, question, be uncertain about, remain unsure of, be skeptical of</t>
  </si>
  <si>
    <t>https://www.freepik.com/free-photos-vectors/detective: https://www.freepik.com/free-photos-vectors/detective</t>
  </si>
  <si>
    <t>A detective with a magnifying glass looking for clues</t>
  </si>
  <si>
    <t>Practicing strict self-denial and abstention from worldly pleasures.</t>
  </si>
  <si>
    <t>The monks led an ascetic life of prayer and meditation.</t>
  </si>
  <si>
    <t>austere, spartan, self-denying, abstinent, mortified</t>
  </si>
  <si>
    <t>indulgent, luxurious, hedonistic, self-indulgent, extravagant</t>
  </si>
  <si>
    <t>https://www.freepik.com/free-photos-vectors/monk: https://www.freepik.com/free-photos-vectors/monk</t>
  </si>
  <si>
    <t>A monk meditating in a temple</t>
  </si>
  <si>
    <t>To attribute something to a particular person or cause.</t>
  </si>
  <si>
    <t>The scientist ascribed the invention to a team effort.</t>
  </si>
  <si>
    <t>attribute, credit, assign, impute, lay the blame on</t>
  </si>
  <si>
    <t>deny, disclaim, exonerate, absolve, acquit</t>
  </si>
  <si>
    <t>https://www.freepik.com/free-photos-vectors/attribution: https://www.freepik.com/free-photos-vectors/attribution</t>
  </si>
  <si>
    <t>A person receiving an award for their work</t>
  </si>
  <si>
    <t>A damaging or critical remark; a slander.</t>
  </si>
  <si>
    <t>He cast aspersions on the character of his opponent.</t>
  </si>
  <si>
    <t>slander, slur, defamation, calumny, smear</t>
  </si>
  <si>
    <t>praise, compliment, commendation, laud, acclaim</t>
  </si>
  <si>
    <t>https://www.freepik.com/free-photos-vectors/bad-comment: https://www.freepik.com/free-photos-vectors/bad-comment</t>
  </si>
  <si>
    <t>A person speaking negatively about another person</t>
  </si>
  <si>
    <t>To attack fiercely; to criticize harshly.</t>
  </si>
  <si>
    <t>The critics assailed the film for its lack of originality.</t>
  </si>
  <si>
    <t>attack, criticize, denounce, condemn, lambaste</t>
  </si>
  <si>
    <t>praise, commend, acclaim, endorse, support</t>
  </si>
  <si>
    <t>https://www.freepik.com/free-photos-vectors/protest: https://www.freepik.com/free-photos-vectors/protest</t>
  </si>
  <si>
    <t>People protesting against something they disagree with</t>
  </si>
  <si>
    <t>Confident and self-assured; able to express oneself clearly and forcefully.</t>
  </si>
  <si>
    <t>She was an assertive leader who wasn't afraid to speak her mind.</t>
  </si>
  <si>
    <t>confident, self-assured, outspoken, direct, forthright</t>
  </si>
  <si>
    <t>timid, shy, hesitant, diffident, passive</t>
  </si>
  <si>
    <t>https://www.freepik.com/free-photos-vectors/assertive</t>
  </si>
  <si>
    <t>Person standing tall with arms crossed, looking confident</t>
  </si>
  <si>
    <t>Marked by care and persistent effort; diligent.</t>
  </si>
  <si>
    <t>The scientist worked with assiduity for years to find a cure for the disease.</t>
  </si>
  <si>
    <t>diligent, industrious, hardworking, dedicated, conscientious</t>
  </si>
  <si>
    <t>lazy, indolent, slothful, apathetic, unmotivated</t>
  </si>
  <si>
    <t>https://www.shutterstock.com/search/assiduous</t>
  </si>
  <si>
    <t>Person working at a desk with focus and determination</t>
  </si>
  <si>
    <t>To make something less severe or painful; to soothe.</t>
  </si>
  <si>
    <t>The doctor's words did little to assuage the patient's anxiety.</t>
  </si>
  <si>
    <t>soothe, alleviate, calm, mitigate, lessen</t>
  </si>
  <si>
    <t>exacerbate, worsen, intensify, aggravate, magnify</t>
  </si>
  <si>
    <t>https://www.freepik.com/free-photos-vectors/assent</t>
  </si>
  <si>
    <t>Person holding a comforting hand and offering support</t>
  </si>
  <si>
    <t>To surprise or amaze greatly.</t>
  </si>
  <si>
    <t>The magician's illusions astonished the audience.</t>
  </si>
  <si>
    <t>surprise, amaze, astound, dumbfound, stun</t>
  </si>
  <si>
    <t>bore, disappoint, disillusion, disenchant, underwhelm</t>
  </si>
  <si>
    <t>https://www.freepik.com/free-photos-vectors/astonished</t>
  </si>
  <si>
    <t>Person with eyes wide open and mouth agape in surprise</t>
  </si>
  <si>
    <t>The beauty of the Grand Canyon astounded me.</t>
  </si>
  <si>
    <t>surprise, amaze, astonish, dumbfound, stun</t>
  </si>
  <si>
    <t>https://www.freepik.com/free-photos-vectors/astounded</t>
  </si>
  <si>
    <t>Having a harsh or bitter taste; causing a puckering sensation in the mouth.</t>
  </si>
  <si>
    <t>The unripe fruit had an astringent taste.</t>
  </si>
  <si>
    <t>bitter, harsh, tart, puckering, acerbic</t>
  </si>
  <si>
    <t>sweet, mellow, mild, bland, smooth</t>
  </si>
  <si>
    <t>https://www.gettyimages.com/photos/astringent-fruit</t>
  </si>
  <si>
    <t>Person tasting a fruit and making a face due to its bitterness</t>
  </si>
  <si>
    <t>Having or showing an ability to accurately assess situations or people and turn this to one's advantage.</t>
  </si>
  <si>
    <t>The businesswoman made an astute investment that doubled her money.</t>
  </si>
  <si>
    <t>shrewd, insightful, discerning, perspicacious, sagacious</t>
  </si>
  <si>
    <t>foolish, unwise, naive, gullible, credulous</t>
  </si>
  <si>
    <t>https://www.freepik.com/free-photos-vectors/astute</t>
  </si>
  <si>
    <t>Person with a thoughtful expression, looking into the distance</t>
  </si>
  <si>
    <t>The achievement of something desired, planned, or attempted.</t>
  </si>
  <si>
    <t>Graduating from college was a major attainment for her.</t>
  </si>
  <si>
    <t>achievement, accomplishment, success, fulfillment, realization</t>
  </si>
  <si>
    <t>failure, disappointment, setback, misstep, shortcoming</t>
  </si>
  <si>
    <t>https://www.freepik.com/free-photos-vectors/placeholder-person</t>
  </si>
  <si>
    <t>Person holding a diploma and smiling proudly</t>
  </si>
  <si>
    <t>To make something thinner or weaker.</t>
  </si>
  <si>
    <t>The doctor prescribed medication to attenuate the patient's pain.</t>
  </si>
  <si>
    <t>weaken, lessen, diminish, reduce, mitigate</t>
  </si>
  <si>
    <t>strengthen, intensify, augment, amplify, exacerbate</t>
  </si>
  <si>
    <t>https://www.merriam-webster.com/dictionary/attenuate</t>
  </si>
  <si>
    <t>Doctor using a syringe to inject medicine</t>
  </si>
  <si>
    <t>To regard something as being caused by someone or something.</t>
  </si>
  <si>
    <t>The scientist attributed the discovery to years of research.</t>
  </si>
  <si>
    <t>credit, ascribe, assign, impute, lay the blame on</t>
  </si>
  <si>
    <t>https://support.freepik.com/s/article/Attribution-How-when-and-where?language=en_US</t>
  </si>
  <si>
    <t>Scientist pointing to a scientific discovery and taking credit for it</t>
  </si>
  <si>
    <t>Her artistic style was atypical for the period.</t>
  </si>
  <si>
    <t>abnormal, unusual, irregular, unconventional, unorthodox</t>
  </si>
  <si>
    <t>typical, normal, conventional, standard, orthodox</t>
  </si>
  <si>
    <t>Boldly confident; daring.</t>
  </si>
  <si>
    <t>The young entrepreneur launched a daring and audacious business venture.</t>
  </si>
  <si>
    <t>bold, daring, adventurous, intrepid, fearless</t>
  </si>
  <si>
    <t>timid, cautious, hesitant, apprehensive, afraid</t>
  </si>
  <si>
    <t>https://www.freepik.com/free-photos-vectors/confidence: https://www.freepik.com/free-photos-vectors/confidence</t>
  </si>
  <si>
    <t>The quality of being bold or daring.</t>
  </si>
  <si>
    <t>She had the audacity to confront the CEO directly.</t>
  </si>
  <si>
    <t>boldness, daring, nerve, intrepidity, fearlessness</t>
  </si>
  <si>
    <t>timidity, caution, hesitation, apprehension, fear</t>
  </si>
  <si>
    <t>https://www.freepik.com/free-photos-vectors/audacity: https://www.freepik.com/free-photos-vectors/audacity</t>
  </si>
  <si>
    <t>Person standing in front of a large crowd, speaking their mind</t>
  </si>
  <si>
    <t>To make something larger or greater.</t>
  </si>
  <si>
    <t>He augmented his income by taking on a second job.</t>
  </si>
  <si>
    <t>increase, enlarge, expand, amplify, magnify</t>
  </si>
  <si>
    <t>decrease, diminish, reduce, shrink, lessen</t>
  </si>
  <si>
    <t>https://www.shutterstock.com/search/augment: https://www.shutterstock.com/search/augment</t>
  </si>
  <si>
    <t>Person climbing a ladder, reaching for something higher</t>
  </si>
  <si>
    <t>(of a person or their achievements) impressive and imposing.</t>
  </si>
  <si>
    <t>He was an august figure in the world of politics.</t>
  </si>
  <si>
    <t>impressive, imposing, majestic, grand, noble</t>
  </si>
  <si>
    <t>unimpressive, insignificant, petty, trivial, ordinary</t>
  </si>
  <si>
    <t>https://www.freepik.com/free-photos-vectors/business-man: https://www.freepik.com/free-photos-vectors/business-man</t>
  </si>
  <si>
    <t>Person dressed in a formal suit, looking successful</t>
  </si>
  <si>
    <t>Marked by favorable signs or omens; promising success.</t>
  </si>
  <si>
    <t>The new year began on an auspicious note.</t>
  </si>
  <si>
    <t>favorable, promising, lucky, propitious, fortunate</t>
  </si>
  <si>
    <t>unfavorable, unpromising, unlucky, inauspicious, unfortunate</t>
  </si>
  <si>
    <t>https://www.freepik.com/free-photos-vectors/celebration: https://www.freepik.com/free-photos-vectors/celebration</t>
  </si>
  <si>
    <t>People celebrating a new year with fireworks</t>
  </si>
  <si>
    <t>Severely simple and plain in appearance or design; lacking unnecessary embellishment.</t>
  </si>
  <si>
    <t>The monastery had an austere atmosphere.</t>
  </si>
  <si>
    <t>simple, plain, unpretentious, bare, Spartan</t>
  </si>
  <si>
    <t>ornate, extravagant, luxurious, opulent, lavish</t>
  </si>
  <si>
    <t>https://www.freepik.com/free-photos-vectors/church: https://www.freepik.com/free-photos-vectors/church</t>
  </si>
  <si>
    <t>Simple church building with plain walls and no decorations</t>
  </si>
  <si>
    <t>The practice of avoiding waste and unnecessary spending.</t>
  </si>
  <si>
    <t>The government implemented austerity measures to reduce the budget deficit.</t>
  </si>
  <si>
    <t>frugality, thrift, economy, parsimony, tightness</t>
  </si>
  <si>
    <t>extravagance, luxury, wastefulness, prodigality, lavishness</t>
  </si>
  <si>
    <t>https://www.freepik.com/free-photos-vectors/economic-crisis: https://www.freepik.com/free-photos-vectors/economic-crisis</t>
  </si>
  <si>
    <t>Person holding a piggy bank and looking worried</t>
  </si>
  <si>
    <t>Having the freedom to act independently; self-governing.</t>
  </si>
  <si>
    <t>The small island nation was a newly independent and autonomous state.</t>
  </si>
  <si>
    <t>independent, self-governing, self-sufficient, autonomous, free</t>
  </si>
  <si>
    <t>dependent, subject, subordinate, controlled, governed</t>
  </si>
  <si>
    <t>https://www.freepik.com/free-photos-vectors/autonomous-car: https://www.freepik.com/free-photos-vectors/autonomous-car</t>
  </si>
  <si>
    <t>Self-driving car driving down a road</t>
  </si>
  <si>
    <t>Providing additional help or support.</t>
  </si>
  <si>
    <t>The teacher hired an auxiliary to help with the large class.</t>
  </si>
  <si>
    <t>supporting, supplementary, additional, ancillary, subsidiary</t>
  </si>
  <si>
    <t>primary, main, principal, leading, central</t>
  </si>
  <si>
    <t>https://www.sefe-mt.com/careers/blog/how-to-form-a-workplace-support-system-advice-and-benefits/</t>
  </si>
  <si>
    <t>An image of people working together to support one another</t>
  </si>
  <si>
    <t>Excessive desire for wealth or possessions.</t>
  </si>
  <si>
    <t>The king's avarice led him to oppress his people.</t>
  </si>
  <si>
    <t>greed, covetousness, cupidity, rapacity, venality</t>
  </si>
  <si>
    <t>generosity, selflessness, altruism, philanthropy, munificence</t>
  </si>
  <si>
    <t>https://www.freepik.com/free-photos-vectors/greed</t>
  </si>
  <si>
    <t>An image of a person hoarding money and other valuables</t>
  </si>
  <si>
    <t>Having or showing avarice.</t>
  </si>
  <si>
    <t>The miser was avaricious and unwilling to share his wealth.</t>
  </si>
  <si>
    <t>greedy, covetous, grasping, rapacious, venal</t>
  </si>
  <si>
    <t>generous, selfless, altruistic, philanthropic, munificent</t>
  </si>
  <si>
    <t>https://www.freepik.com/free-photos-vectors/stingy</t>
  </si>
  <si>
    <t>An image of a cartoon character with a greedy expression</t>
  </si>
  <si>
    <t>To declare or affirm positively.</t>
  </si>
  <si>
    <t>The witness averred that he saw the crime being committed.</t>
  </si>
  <si>
    <t>declare, affirm, assert, state, maintain</t>
  </si>
  <si>
    <t>deny, contradict, disclaim, refute, dispute</t>
  </si>
  <si>
    <t>https://www.freepik.com/free-photos-vectors/courtroom</t>
  </si>
  <si>
    <t>An image of a person speaking in a courtroom</t>
  </si>
  <si>
    <t>A strong dislike or distaste for something.</t>
  </si>
  <si>
    <t>She had an aversion to spiders.</t>
  </si>
  <si>
    <t>dislike, distaste, loathing, antipathy, abhorrence</t>
  </si>
  <si>
    <t>liking, enjoyment, fondness, affection, preference</t>
  </si>
  <si>
    <t>https://www.freepik.com/free-photos-vectors/spider</t>
  </si>
  <si>
    <t>An image of a person looking disgusted at a spider</t>
  </si>
  <si>
    <t>To turn away from; to prevent from happening.</t>
  </si>
  <si>
    <t>The quick-thinking firefighter averted a disaster.</t>
  </si>
  <si>
    <t>turn away, prevent, avoid, forestall, ward off</t>
  </si>
  <si>
    <t>allow, permit, enable, facilitate, encourage</t>
  </si>
  <si>
    <t>https://www.freepik.com/free-photos-vectors/firefighter</t>
  </si>
  <si>
    <t>An image of a firefighter extinguishing a fire</t>
  </si>
  <si>
    <t>Having or showing a strong desire or enthusiasm for something.</t>
  </si>
  <si>
    <t>An avid reader, she devoured book after book.</t>
  </si>
  <si>
    <t>enthusiastic, passionate, keen, eager, fervent</t>
  </si>
  <si>
    <t>https://www.freepik.com/vectors/person-reading-book</t>
  </si>
  <si>
    <t>An image of a person engrossed in a book</t>
  </si>
  <si>
    <t>Self-evidently true; requiring no proof.</t>
  </si>
  <si>
    <t>The concept of gravity is axiomatic in physics.</t>
  </si>
  <si>
    <t>self-evident, indisputable, undeniable, irrefutable, unquestionable</t>
  </si>
  <si>
    <t>doubtful, debatable, questionable, ambiguous, uncertain</t>
  </si>
  <si>
    <t>https://www.freepik.com/free-photos-vectors/science-equations</t>
  </si>
  <si>
    <t>An image of a scientific equation written on a whiteboard</t>
  </si>
  <si>
    <t>Group</t>
  </si>
  <si>
    <t>Aberration</t>
  </si>
  <si>
    <t>Ambiguous Concepts</t>
  </si>
  <si>
    <t>Negative Traits</t>
  </si>
  <si>
    <t>Positive Traits</t>
  </si>
  <si>
    <t>Able</t>
  </si>
  <si>
    <t>Intellectual Traits</t>
  </si>
  <si>
    <t>Abundant</t>
  </si>
  <si>
    <t>Social Behavior</t>
  </si>
  <si>
    <t>Adversary</t>
  </si>
  <si>
    <t>Ethical Concepts</t>
  </si>
  <si>
    <t>Ambivalence</t>
  </si>
  <si>
    <t>Amity</t>
  </si>
  <si>
    <t>Anathema</t>
  </si>
  <si>
    <t>Anguish</t>
  </si>
  <si>
    <t>Emotional States</t>
  </si>
  <si>
    <t>Anodyne</t>
  </si>
  <si>
    <t>Antiquated</t>
  </si>
  <si>
    <t>Apocryphal</t>
  </si>
  <si>
    <t>Apostate</t>
  </si>
  <si>
    <t>Apotheosis</t>
  </si>
  <si>
    <t>Ascendancy</t>
  </si>
  <si>
    <t>Autonomy</t>
  </si>
  <si>
    <t>Awe</t>
  </si>
  <si>
    <t>Bellicose</t>
  </si>
  <si>
    <t>Bequeath</t>
  </si>
  <si>
    <t>Bizarre</t>
  </si>
  <si>
    <t>Blatant</t>
  </si>
  <si>
    <t>Celestial</t>
  </si>
  <si>
    <t>Clairvoyant</t>
  </si>
  <si>
    <t>Clement</t>
  </si>
  <si>
    <t>Compassion</t>
  </si>
  <si>
    <t>Complacency</t>
  </si>
  <si>
    <t>Concede</t>
  </si>
  <si>
    <t>Concomitant</t>
  </si>
  <si>
    <t>Confluence</t>
  </si>
  <si>
    <t>Credence</t>
  </si>
  <si>
    <t>Cryptic</t>
  </si>
  <si>
    <t>Debilitate</t>
  </si>
  <si>
    <t>Debonair</t>
  </si>
  <si>
    <t>Deception</t>
  </si>
  <si>
    <t>Defiance</t>
  </si>
  <si>
    <t>Defunct</t>
  </si>
  <si>
    <t>Delight</t>
  </si>
  <si>
    <t>Desecrate</t>
  </si>
  <si>
    <t>Despondent</t>
  </si>
  <si>
    <t>Despot</t>
  </si>
  <si>
    <t>Dilapidated</t>
  </si>
  <si>
    <t>Diligent</t>
  </si>
  <si>
    <t>Divisive</t>
  </si>
  <si>
    <t>Eloquence</t>
  </si>
  <si>
    <t>Emaciated</t>
  </si>
  <si>
    <t>Embark</t>
  </si>
  <si>
    <t>Encompass</t>
  </si>
  <si>
    <t>Endeavor</t>
  </si>
  <si>
    <t>Endure</t>
  </si>
  <si>
    <t>Enrapture</t>
  </si>
  <si>
    <t>Envision</t>
  </si>
  <si>
    <t>Epiphany</t>
  </si>
  <si>
    <t>Epitome</t>
  </si>
  <si>
    <t>Euphoria</t>
  </si>
  <si>
    <t>Execrable</t>
  </si>
  <si>
    <t>Exemplar</t>
  </si>
  <si>
    <t>Exemplary</t>
  </si>
  <si>
    <t>Existential</t>
  </si>
  <si>
    <t>Expunge</t>
  </si>
  <si>
    <t>Exuberant</t>
  </si>
  <si>
    <t>Facile</t>
  </si>
  <si>
    <t>Fatuous</t>
  </si>
  <si>
    <t>Felicity</t>
  </si>
  <si>
    <t>Flippant</t>
  </si>
  <si>
    <t>Fluctuate</t>
  </si>
  <si>
    <t>Forbearance</t>
  </si>
  <si>
    <t>Formidable</t>
  </si>
  <si>
    <t>Geniality</t>
  </si>
  <si>
    <t>Gesticulate</t>
  </si>
  <si>
    <t>Grandiose</t>
  </si>
  <si>
    <t>Gratitude</t>
  </si>
  <si>
    <t>Hedonism</t>
  </si>
  <si>
    <t>Hedonist</t>
  </si>
  <si>
    <t>Heedless</t>
  </si>
  <si>
    <t>Heinous</t>
  </si>
  <si>
    <t>Heretic</t>
  </si>
  <si>
    <t>Hilarity</t>
  </si>
  <si>
    <t>Holistic</t>
  </si>
  <si>
    <t>Hubris</t>
  </si>
  <si>
    <t>Humility</t>
  </si>
  <si>
    <t>Ignominious</t>
  </si>
  <si>
    <t>Illicit</t>
  </si>
  <si>
    <t>Immerse</t>
  </si>
  <si>
    <t>Implore</t>
  </si>
  <si>
    <t>Incandescent</t>
  </si>
  <si>
    <t>Ineffable</t>
  </si>
  <si>
    <t>Inefficacy</t>
  </si>
  <si>
    <t>Inexorable</t>
  </si>
  <si>
    <t>Infamy</t>
  </si>
  <si>
    <t>Inimitable</t>
  </si>
  <si>
    <t>Inure</t>
  </si>
  <si>
    <t>Invincible</t>
  </si>
  <si>
    <t>Iridescent</t>
  </si>
  <si>
    <t>Jubilant</t>
  </si>
  <si>
    <t>Juxtapose</t>
  </si>
  <si>
    <t>Kinetic</t>
  </si>
  <si>
    <t>Legacy</t>
  </si>
  <si>
    <t>Lenient</t>
  </si>
  <si>
    <t>Lethargic</t>
  </si>
  <si>
    <t>Licentious</t>
  </si>
  <si>
    <t>Lithe</t>
  </si>
  <si>
    <t>Luminous</t>
  </si>
  <si>
    <t>Meander</t>
  </si>
  <si>
    <t>Melancholy</t>
  </si>
  <si>
    <t>Mendacious</t>
  </si>
  <si>
    <t>Mentor</t>
  </si>
  <si>
    <t>Mesmerize</t>
  </si>
  <si>
    <t>Metamorphose</t>
  </si>
  <si>
    <t>Mirth</t>
  </si>
  <si>
    <t>Misanthrope</t>
  </si>
  <si>
    <t>Modicum</t>
  </si>
  <si>
    <t>Nebulous</t>
  </si>
  <si>
    <t>Nefarious</t>
  </si>
  <si>
    <t>Nostalgia</t>
  </si>
  <si>
    <t>Notorious</t>
  </si>
  <si>
    <t>Novice</t>
  </si>
  <si>
    <t>Nuance</t>
  </si>
  <si>
    <t>Obliterate</t>
  </si>
  <si>
    <t>Oblivion</t>
  </si>
  <si>
    <t>Obtuse</t>
  </si>
  <si>
    <t>Palatable</t>
  </si>
  <si>
    <t>Pathos</t>
  </si>
  <si>
    <t>Persevere</t>
  </si>
  <si>
    <t>Philanthropy</t>
  </si>
  <si>
    <t>Pique</t>
  </si>
  <si>
    <t>Plenitude</t>
  </si>
  <si>
    <t>Prelude</t>
  </si>
  <si>
    <t>Progeny</t>
  </si>
  <si>
    <t>Prosperity</t>
  </si>
  <si>
    <t>Pungent</t>
  </si>
  <si>
    <t>Quaint</t>
  </si>
  <si>
    <t>Quell</t>
  </si>
  <si>
    <t>Querulous</t>
  </si>
  <si>
    <t>Rapture</t>
  </si>
  <si>
    <t>Rectify</t>
  </si>
  <si>
    <t>Redolent</t>
  </si>
  <si>
    <t>Regale</t>
  </si>
  <si>
    <t>Rekindle</t>
  </si>
  <si>
    <t>Reminisce</t>
  </si>
  <si>
    <t>Reprehensible</t>
  </si>
  <si>
    <t>Resplendent</t>
  </si>
  <si>
    <t>Revitalize</t>
  </si>
  <si>
    <t>Salient</t>
  </si>
  <si>
    <t>Sapient</t>
  </si>
  <si>
    <t>Sardonic</t>
  </si>
  <si>
    <t>Serendipity</t>
  </si>
  <si>
    <t>Serenity</t>
  </si>
  <si>
    <t>Solace</t>
  </si>
  <si>
    <t>Somber</t>
  </si>
  <si>
    <t>Sophisticated</t>
  </si>
  <si>
    <t>Spontaneity</t>
  </si>
  <si>
    <t>Stagnant</t>
  </si>
  <si>
    <t>Sublime</t>
  </si>
  <si>
    <t>Unveil</t>
  </si>
  <si>
    <t>Vibrant</t>
  </si>
  <si>
    <t>Vitriolic</t>
  </si>
  <si>
    <t>Vocation</t>
  </si>
  <si>
    <t>Wrath</t>
  </si>
  <si>
    <t>Set</t>
  </si>
  <si>
    <t>Etymology</t>
  </si>
  <si>
    <t>Bucket</t>
  </si>
  <si>
    <t>length</t>
  </si>
  <si>
    <t xml:space="preserve"> </t>
  </si>
  <si>
    <t>Pron</t>
  </si>
  <si>
    <t>Mnemonics</t>
  </si>
  <si>
    <t>Starts with</t>
  </si>
  <si>
    <t>Kannada</t>
  </si>
  <si>
    <t>Set done?</t>
  </si>
  <si>
    <t>Letter done?</t>
  </si>
  <si>
    <t>Latin Origin</t>
  </si>
  <si>
    <t>Things that are contemporary are either happening at the same time or happening now. Contemporary art is recent art.</t>
  </si>
  <si>
    <t>Disseminate means to spread information, knowledge, opinions widely. Semin- derives from the Latin word for seed; the idea with disseminate is that information travels like seeds sown by a farmer.</t>
  </si>
  <si>
    <t>Spatial</t>
  </si>
  <si>
    <t>Greek Origin</t>
  </si>
  <si>
    <t xml:space="preserve">1. Ecological means involved with or concerning ecology. 
2. Ecological groups, movements, and people are concerned with preserving the environment and natural resources, so that they can be used in a sensible way, rather than being wasted. </t>
  </si>
  <si>
    <t xml:space="preserve">To exalt someone or something means to praise them very highly. </t>
  </si>
  <si>
    <t>Old French Origin</t>
  </si>
  <si>
    <t xml:space="preserve">If someone feigns a particular feeling, attitude, or physical condition, they try to make other people think that they have it or are experiencing it, although this is not true. </t>
  </si>
  <si>
    <t>Physical Sensation</t>
  </si>
  <si>
    <t>Middle English Origin</t>
  </si>
  <si>
    <t>physical weakness; lack of health or strength OR moral weakness</t>
  </si>
  <si>
    <t>1. pleasant, kind, and polite: "You’re a gracious host."
2. having the qualities great comfort and luxury made possible by wealth: "He was used to gracious living"</t>
  </si>
  <si>
    <t>1. closely in a personal or sexual way
2. in a very detailed way</t>
  </si>
  <si>
    <t>If you describe a person or their feelings as misanthropic, you mean that they do not like other people.</t>
  </si>
  <si>
    <t xml:space="preserve">If you say that something mortifies you, you mean that it offends or embarrasses you a great deal. </t>
  </si>
  <si>
    <t xml:space="preserve">1. If someone's way of speaking, writing, or behaving is portentous, they speak, write, or behave more seriously than necessary because they want to impress other people. 
2. Something that is portentous is important in indicating or affecting future events. </t>
  </si>
  <si>
    <t>not securely held or in position; dangerously likely to fall or collapse.</t>
  </si>
  <si>
    <t>If you are in a quandary, you have to make a decision but cannot decide what to do</t>
  </si>
  <si>
    <t>Old English Origin</t>
  </si>
  <si>
    <t xml:space="preserve">You can describe something as sluggish if it moves, works, or reacts much slower than you would like or is normal. </t>
  </si>
  <si>
    <t xml:space="preserve">1. tendency to anger
2. one’s mood in general
3. To temper something means to make it less extreme. </t>
  </si>
  <si>
    <t>French Origin</t>
  </si>
  <si>
    <t xml:space="preserve">Someone who is adroit is quick and skilful in their thoughts, behaviour, or actions. </t>
  </si>
  <si>
    <t xml:space="preserve">If you are amenable to something, you are willing to do it or accept it. </t>
  </si>
  <si>
    <t xml:space="preserve">Calumny or a calumny is an untrue statement made about someone in order to reduce other people's respect and admiration for them. </t>
  </si>
  <si>
    <t>kæləmni</t>
  </si>
  <si>
    <t xml:space="preserve">1. If you describe someone as chauvinistic, you believe that they think their own country is more important and morally better than any other. 
2. If you describe a man or his behaviour as chauvinistic, you disapprove of him for believing that men are naturally better and more important than women. </t>
  </si>
  <si>
    <t>ʃoʊvɪnɪstɪk</t>
  </si>
  <si>
    <t xml:space="preserve">Compliance with something, for example a law, treaty, or agreement means doing what you are required or expected to do. </t>
  </si>
  <si>
    <t xml:space="preserve">Someone who is deferential is polite and respectful towards someone else. </t>
  </si>
  <si>
    <t xml:space="preserve">If you divulge a piece of secret or private information, you tell it to someone. </t>
  </si>
  <si>
    <t>Unknown Origin</t>
  </si>
  <si>
    <t>so confused that you do not know what to do</t>
  </si>
  <si>
    <t>same as forego; to give up or do without</t>
  </si>
  <si>
    <t xml:space="preserve">1. If you describe someone or something as peculiar, you think that they are strange or unusual, sometimes in an unpleasant way. 
2. If something is peculiar to a particular thing, person, or situation, it belongs or relates only to that thing, person, or situation. 
3. If you say that you feel peculiar, you mean that you feel slightly ill or unsteady. </t>
  </si>
  <si>
    <t xml:space="preserve">Someone who is pertinacious continues trying to do something difficult rather than giving up quickly. </t>
  </si>
  <si>
    <t>fake/nor real, like your attitude, a gigantic diamond, or that obnoxious guy's claims that he knows everything about quantum physics
also "phoney", also n</t>
  </si>
  <si>
    <t xml:space="preserve">Pragmatism means thinking of or dealing with problems in a practical way, rather than by using theory or abstract principles. </t>
  </si>
  <si>
    <t>Philosophical</t>
  </si>
  <si>
    <t xml:space="preserve">If you abjure something such as a belief or way of life, you state publicly that you will give it up or that you reject it. </t>
  </si>
  <si>
    <t xml:space="preserve">1. Something that is appropriate is suitable or acceptable for a particular situation. 
2. If someone appropriates something which does not belong to them, they take it, usually without the right to do so. 
3. If a government or organization appropriates an amount of money for a particular purpose, it reserves it for that purpose. </t>
  </si>
  <si>
    <t xml:space="preserve">Something that is auspicious indicates that success is likely. </t>
  </si>
  <si>
    <t>Something that is buoyant floats in water. Since floating is happier than sinking, buoyant also refers to things are fun and upbeat.(Ex: buoyant mood, buoyant economy)</t>
  </si>
  <si>
    <t>To cherish something is to care for it deeply, to treasure it, like the way you cherish the time you spend with a favorite person you don't see often.</t>
  </si>
  <si>
    <t xml:space="preserve">If something is compounded of different things, it is a mixture of those things. </t>
  </si>
  <si>
    <t>1. in perfect detail; complete and correct
2. Exact is sometimes used to increase emphasis on the following word
3. to demand and obtain something, sometimes using threats or force: Ex: exact revenge, exact $$</t>
  </si>
  <si>
    <t>Anything that sparks your interest or makes you wonder has the ability to fascinate.</t>
  </si>
  <si>
    <t xml:space="preserve">If you say that someone or something is flamboyant, you mean that they are very noticeable, stylish, and exciting. </t>
  </si>
  <si>
    <t xml:space="preserve">Something that is momentary lasts for a very short period of time, for example for a few seconds or less. </t>
  </si>
  <si>
    <t>something that will solve all problems or cure all illnesses</t>
  </si>
  <si>
    <t xml:space="preserve">1. Someone who is pious is very religious and moral. 
2. If you describe someone's words as pious, you think that their words are full of good intentions but do not lead to anything useful being done. 
3. If you describe someone as pious, you disapprove of the fact that they pretend to be very religious without being sincere. </t>
  </si>
  <si>
    <t xml:space="preserve">If you redouble your efforts, you try much harder to achieve something. If something redoubles, it increases in volume or intensity. </t>
  </si>
  <si>
    <t>Something that's startling is so unexpected that it shocks or surprises you. It would be startling to open your front door and see a clown standing there.</t>
  </si>
  <si>
    <t>Utterly is an intensifying word: something utterly delicious is very, very delicious.</t>
  </si>
  <si>
    <t xml:space="preserve">1. Something that is viable is capable of doing what it is intended to do. 
2.  Foetuses, seeds, or eggs are described as viable if they are capable of developing into living beings without outside help. </t>
  </si>
  <si>
    <t>1. to end a law, agreement, or custom formally (ex: "The treaty was abrogated in 1929.")
2. to avoid something that you should do (ex: "Companies are really abrogating responsibility for safety")</t>
  </si>
  <si>
    <t>Emotional</t>
  </si>
  <si>
    <t>Scottish Origin</t>
  </si>
  <si>
    <t>impossible to understand; perplexing; bewildering; puzzling</t>
  </si>
  <si>
    <t xml:space="preserve">1. If something ceases, it stops happening or existing. 
2. If you cease to do something, you stop doing it. 
3. If you cease something, you stop it happening or working. </t>
  </si>
  <si>
    <t xml:space="preserve">1. examine 
2. If you check on someone or something, you make sure they are in a safe or satisfactory condition. 
3. tick
4. To check something, usually something bad, means to stop it from spreading or continuing. 
5. If you check yourself or if something checks you, you suddenly stop what you are doing or saying. 
6. When you check your luggage at an airport, you give it to an official so that it can be taken on to your plane. 
7. The check in a restaurant is a piece of paper on which the price of your meal is written and which you are given before you pay. 
8. In a game of chess, you say check when you are attacking your opponent's king.
9. A pattern of squares, usually of two colours, can be referred to as checks or a check. 
10. A check is the same as a cheque. </t>
  </si>
  <si>
    <t xml:space="preserve">If you deprecate something, you criticize it. </t>
  </si>
  <si>
    <t>entranced, enthusiastic</t>
  </si>
  <si>
    <t xml:space="preserve">Enmity is a feeling of hatred towards someone that lasts for a long time. </t>
  </si>
  <si>
    <t>Something so unusual that it must be from some unfamiliar place is exotic. An exotic pet might be a panda, instead of a hamster. An exotic trip might be a journey to the Galapagos Islands, instead of to Orlando's Sea World.</t>
  </si>
  <si>
    <t>An impediment is anything that slows or blocks progress. It can refer to a physical thing, like a fallen tree in the road, or something more intangible, like how your short stature is an impediment to becoming a professional basketball player.</t>
  </si>
  <si>
    <t>Impenetrable describes something that's impossible to get through. Whether it's a brick wall or a difficult reading passage, something impenetrable won't let you in.</t>
  </si>
  <si>
    <t>The adjective implausible breaks down into im, meaning “not,” and plausible, meaning "likely." So it simply means "not likely."</t>
  </si>
  <si>
    <t>extremely angry</t>
  </si>
  <si>
    <t>If someone comments that you are very industrious, they are complimenting you for working hard and tirelessly. You can have the evening to yourself if you're industrious enough during the afternoon to get your homework and chores done.</t>
  </si>
  <si>
    <t>Someone who is ingenuous shows a childlike innocence, trust, and openness.</t>
  </si>
  <si>
    <t>If you describe a guarantee or plan as ironclad, you are emphasizing that it has been carefully put together, and that you think it is absolutely certain to work or be successful</t>
  </si>
  <si>
    <t>Call a word or phrase pejorative if it is used as a disapproving expression or a term of abuse. Tree-hugger is a pejorative term for an environmentalist.</t>
  </si>
  <si>
    <t xml:space="preserve">A perfunctory action is done quickly and carelessly, and shows a lack of interest in what you are doing. </t>
  </si>
  <si>
    <t>A sharp, steep drop — whether it's in a stock price, a roller coaster, or a star's popularity — could be described as a precipitous one. Put simply, precipitous means perilously steep.</t>
  </si>
  <si>
    <t xml:space="preserve">Someone who is profligate spends too much money or uses too much of something. </t>
  </si>
  <si>
    <t xml:space="preserve">If you repudiate something or someone, you show that you strongly disagree with them and do not want to be connected with them in any way. </t>
  </si>
  <si>
    <t>1. If you describe the cost of something as ruinous, you mean that it costs far more money than you can afford or than is reasonable
2. A ruinous process or course of action is one that is likely to lead to ruin</t>
  </si>
  <si>
    <t>not deep</t>
  </si>
  <si>
    <t>Old Norse Origin</t>
  </si>
  <si>
    <t xml:space="preserve">If you thwart someone or thwart their plans, you prevent them from doing or getting what they want. </t>
  </si>
  <si>
    <t>ˈθwɔrtəd</t>
  </si>
  <si>
    <t>Vexation is a feeling of being annoyed, puzzled, and frustrated</t>
  </si>
  <si>
    <t>to make a bad or unpleasant situation better</t>
  </si>
  <si>
    <t xml:space="preserve">Someone who is amiable is friendly and pleasant to be with. </t>
  </si>
  <si>
    <t xml:space="preserve">1. The antithesis of something is its exact opposite. 
2. If there is an antithesis between two things, there is a contrast between them. </t>
  </si>
  <si>
    <t xml:space="preserve">An ascetic person has a way of life that is simple and strict, usually because of their religious beliefs. </t>
  </si>
  <si>
    <t xml:space="preserve">doing or inclined to do good; kindly; charitable </t>
  </si>
  <si>
    <t xml:space="preserve">If someone's power or freedom is circumscribed, it is limited or restricted. </t>
  </si>
  <si>
    <t>When you work together on shared goal, you collaborate. If you don't just split a project up evenly but work together on creating solutions, you collaborate.</t>
  </si>
  <si>
    <t>co labor = work together</t>
  </si>
  <si>
    <t>If someone or something confounds you, they make you feel surprised or confused, often by showing you that your opinions or expectations of them were wrong. "The singer confounded her critics with a remarkable follow-up album"
confounding variable influences both the dependent variable and independent variable; Ex: coffee and cancer - smoking</t>
  </si>
  <si>
    <t xml:space="preserve">Detente is a state of friendly relations between two countries when previously there had been problems between them. </t>
  </si>
  <si>
    <t>Gratuitous can be used to refer to something that’s unnecessary and mildly annoying/inappropriate; "If a friend frequently gives you fashion tips, even though you’ve expressed no interest in receiving them, you’d be correct in labeling her advice as gratuitous."</t>
  </si>
  <si>
    <t>grəˈtuədəs</t>
  </si>
  <si>
    <t xml:space="preserve">If you use something as an illustrative example, or for illustrative purposes, you use it to show that what you are saying is true or to make your meaning clearer. </t>
  </si>
  <si>
    <t>causing or susceptible to irritation</t>
  </si>
  <si>
    <t>Spanish Origin</t>
  </si>
  <si>
    <t xml:space="preserve">Peccadilloes are small, unimportant sins or faults. </t>
  </si>
  <si>
    <t xml:space="preserve">Probity is a high standard of correct moral behaviour. </t>
  </si>
  <si>
    <t xml:space="preserve">If a person or thing is supplanted, another person or thing takes their place. </t>
  </si>
  <si>
    <t xml:space="preserve">1. A supple object or material bends or changes shape easily without cracking or breaking. 
2. A supple person can move and bend their body very easily. 
3. If you describe something such as a flavour or a sound as supple, you like it because it is smooth and rich. </t>
  </si>
  <si>
    <t xml:space="preserve">If you say that someone is truculent, you mean that they are bad-tempered and aggressive. </t>
  </si>
  <si>
    <t>trʌkjʊlənt</t>
  </si>
  <si>
    <t xml:space="preserve">1. If one person abets another, they help or encourage them to do something criminal or wrong. Abet is often used in the legal expression ' aid and abet'. 
2. To abet something, especially something bad or undesirable, means to make it possible. </t>
  </si>
  <si>
    <t xml:space="preserve">1. If you assuage an unpleasant feeling that someone has, you make them feel it less strongly. 
2. If you assuage a need or desire for something, you satisfy it. </t>
  </si>
  <si>
    <t xml:space="preserve">When you are conciliatory in your actions or behaviour, you show that you are willing to end a disagreement with someone. </t>
  </si>
  <si>
    <t>Delusion is the state of believing things that are not true</t>
  </si>
  <si>
    <t>There is a discrepancy when there is a difference between two things that should be alike. For example, there can be a wide discrepancy or a slight discrepancy between two objects, stories, or facts.</t>
  </si>
  <si>
    <t>extremely happy and excited</t>
  </si>
  <si>
    <t>Your genealogy is the story of your ancestry, sometimes referred to as your family tree.</t>
  </si>
  <si>
    <t>When you grumble, you complain about something clearly but quietly, in a low mutter.</t>
  </si>
  <si>
    <t xml:space="preserve">If you describe someone as gullible, you mean they are easily tricked because they are too trusting. </t>
  </si>
  <si>
    <t>Linguistic</t>
  </si>
  <si>
    <t>exaggeration for effect and not meant to be taken literally (Ex: He's as strong as an ox.)</t>
  </si>
  <si>
    <t>hyper bolna</t>
  </si>
  <si>
    <t>having or seeming to have complete authority</t>
  </si>
  <si>
    <t>outdated</t>
  </si>
  <si>
    <t>to block something</t>
  </si>
  <si>
    <t xml:space="preserve">If you describe someone as omniscient, you mean they know or seem to know everything. </t>
  </si>
  <si>
    <t>extremely careful and correct, and involving a lot of effort</t>
  </si>
  <si>
    <t xml:space="preserve">1. You use partial to refer to something that is not complete or whole. 
2. If you are partial to something, you like it. 
3. Someone who is partial supports a particular person or thing, for example in a competition or dispute, instead of being completely fair. </t>
  </si>
  <si>
    <t xml:space="preserve">1. If something precludes an event or action, it prevents the event or action from happening. 
2. If something precludes you from doing something or going somewhere, it prevents you from doing it or going there. </t>
  </si>
  <si>
    <t xml:space="preserve">1. If you provoke someone, you deliberately annoy them and try to make them behave aggressively. 
2. If something provokes a reaction, it causes it. </t>
  </si>
  <si>
    <t xml:space="preserve">If a person or organization retrenches, they spend less money. </t>
  </si>
  <si>
    <t xml:space="preserve">Aberrant means unusual and not socially acceptable. </t>
  </si>
  <si>
    <t>Taste</t>
  </si>
  <si>
    <t>1. sour or bitter in taste
2. (of a person or what they say) critical in a direct and rather cruel way</t>
  </si>
  <si>
    <t xml:space="preserve">The apogee of something such as a culture or a business is its highest or its greatest point. </t>
  </si>
  <si>
    <t>Italian Origin</t>
  </si>
  <si>
    <t>unexpected action or decision which has no strong reason or purpose</t>
  </si>
  <si>
    <t xml:space="preserve">When something commences or you commence it, it begins. </t>
  </si>
  <si>
    <t>Intellectual</t>
  </si>
  <si>
    <t>To enlighten someone means to give them more knowledge and greater understanding about something</t>
  </si>
  <si>
    <t>a social blunder</t>
  </si>
  <si>
    <t>Imagine a giraffe (gaffe) clumsily tripping and making a big scene</t>
  </si>
  <si>
    <t xml:space="preserve">If you describe someone or their words or ideas as iconoclastic, you mean that they contradict established beliefs. </t>
  </si>
  <si>
    <t xml:space="preserve">If you describe something as idyllic, you mean that it is extremely pleasant, simple, and peaceful without any difficulties or dangers. </t>
  </si>
  <si>
    <t>If you describe someone or something as illiberal, you are critical of them because they do not allow or approve of much freedom or choice of action</t>
  </si>
  <si>
    <t>extremely brave and showing no fear of dangerous situations</t>
  </si>
  <si>
    <t xml:space="preserve">To marginalize a group of people means to make them feel isolated and unimportant. </t>
  </si>
  <si>
    <t xml:space="preserve">To obviate something such as a problem or a need means to remove it or make it unnecessary. </t>
  </si>
  <si>
    <t>If someone is ousted from a position of power, job, or place, they are forced to leave it</t>
  </si>
  <si>
    <t>1. extremely poor
2. general dislike of spending money</t>
  </si>
  <si>
    <t>Strife is strong disagreement or fighting</t>
  </si>
  <si>
    <t xml:space="preserve">A surfeit of something is an amount which is too large. </t>
  </si>
  <si>
    <t>If you say that a person, problem, or device is tractable, you mean that they can be easily controlled or dealt with</t>
  </si>
  <si>
    <t xml:space="preserve">1. An accord between countries or groups of people is a formal agreement, for example to end a war. 
2. If one fact, idea, or condition accords with another, they are in agreement and there is no conflict between them. 
3. If you are accorded a particular kind of treatment, people act towards you or treat you in that way. </t>
  </si>
  <si>
    <t xml:space="preserve">If you admonish someone, you tell them very seriously that they have done something wrong. </t>
  </si>
  <si>
    <t xml:space="preserve">1. If you are complimentary about something, you express admiration for it. 
2. A complimentary seat, ticket, or book is given to you free. </t>
  </si>
  <si>
    <t>There are many different meanings of the word craft, but most of them involve skill, whether it's the craft of cheese making or crafting tiny dollhouse furniture or being crafty — good at fooling people. Another meaning of the noun craft is "vehicle," especially a boat or an airplane.</t>
  </si>
  <si>
    <t>Something that's debilitating seriously affects someone or something's strength or ability to carry on with regular activities, like a debilitating illness.</t>
  </si>
  <si>
    <t xml:space="preserve">If you describe someone as gauche, you mean that they are awkward and uncomfortable in the company of other people. </t>
  </si>
  <si>
    <t>goʊʃ</t>
  </si>
  <si>
    <t xml:space="preserve">If you describe an action or decision as judicious, you approve of it because you think that it shows good judgment and sense. </t>
  </si>
  <si>
    <t>remember judgement</t>
  </si>
  <si>
    <t>misinterpret</t>
  </si>
  <si>
    <t xml:space="preserve">1. If something or someone penetrates a physical object or an area, they succeed in getting into it or passing through it. 
2. If someone penetrates an organization, a group, or a profession, they succeed in entering it although it is difficult to do so. 
3. If someone penetrates an enemy group or a rival organization, they succeed in joining it in order to get information or cause trouble. 
3. If a company or country penetrates a market or area, they succeed in selling their products there. 
5. If you penetrate something that is difficult to understand, you succeed in understanding it. </t>
  </si>
  <si>
    <t xml:space="preserve">If you describe a person or their remarks or thoughts as perceptive, you think that they are good at noticing or realizing things, especially things that are not obvious. </t>
  </si>
  <si>
    <t xml:space="preserve">1. If you renounce a belief or a way of behaving, you decide and declare publicly that you no longer have that belief or will no longer behave in that way. 
2. If you renounce a claim, rank, or title, you officially give it up. </t>
  </si>
  <si>
    <t xml:space="preserve">A serendipitous event is one that is not planned but has a good result. </t>
  </si>
  <si>
    <t xml:space="preserve">1. If you are subservient, you do whatever someone wants you to do. 
2. If you treat one thing as subservient to another, you treat it as less important than the other thing. </t>
  </si>
  <si>
    <t>1. outdo, beat
2. If something surpasses understanding, it is too difficult to understand</t>
  </si>
  <si>
    <t>1. (of speech, writing, style, etc.) boring and too serious about its subject matter: 
2. (of water) not flowing easily: 
3. (of an organ or living tissue) swollen or firm, usually because of being full of liquid</t>
  </si>
  <si>
    <t xml:space="preserve">If you venerate someone or something, you value them or feel great respect for them. </t>
  </si>
  <si>
    <t>Acrimonious words or quarrels are bitter and angry</t>
  </si>
  <si>
    <t>The adjective amicable means "friendly" — but in particular, use it when describing relations one might otherwise expect to be unfriendly. The end of a romantic relationship that's less than amicable might involve broken dishes or broken bones.</t>
  </si>
  <si>
    <t xml:space="preserve">Deference is a polite and respectful attitude towards someone, especially because they have an important position. </t>
  </si>
  <si>
    <t>When you dictate something, you are giving orders — acting a bit like a dictator.
Dictate can also be used in a broader sense. Weather often dictates how many layers of clothes you wear, and the school rules dictate how you behave in and out of class. In a very different meaning, dictate means to say something out loud to a person or into a machine so it can be recorded. Up until fairly recently, bosses dictated letters and reports to secretaries who wrote them down.</t>
  </si>
  <si>
    <t xml:space="preserve">1. You say that someone is endowed with a particular desirable ability, characteristic, or possession when they have it by chance or by birth. 
2. If you endow something with a particular feature or quality, you provide it with that feature or quality. 
3. If someone endows an institution, scholarship, or project, they provide a large amount of money which will produce the income needed to pay for it. </t>
  </si>
  <si>
    <t xml:space="preserve">1. If you describe food or drink as insipid, you dislike it because it has very little taste. 
2. If you describe someone or something as insipid, you mean they are dull and boring. </t>
  </si>
  <si>
    <t>To integrate is to make parts of something into a whole. It also means to become one unit, or to make a place (like a school) open to people of all races and ethnic groups.</t>
  </si>
  <si>
    <t xml:space="preserve">To jeopardize a situation or activity means to do something that may destroy it or cause it to fail. </t>
  </si>
  <si>
    <t xml:space="preserve">If you are magnanimous, you behave kindly and generously towards someone, especially after defeating them or being treated badly by them. </t>
  </si>
  <si>
    <t>If a person or animal is in quarantine, they are being kept separate from other people or animals for a set period of time, usually because they have or may have a disease; also v</t>
  </si>
  <si>
    <t xml:space="preserve">A recluse is a person who lives alone and deliberately avoids other people. </t>
  </si>
  <si>
    <t xml:space="preserve">Things which are simultaneous happen or exist at the same time. </t>
  </si>
  <si>
    <t xml:space="preserve">You use surrogate to describe a person or thing that is given a particular role because the person or thing that should have the role is not available. </t>
  </si>
  <si>
    <t xml:space="preserve">Tailored clothes are designed to fit close to the body, rather than being loose. </t>
  </si>
  <si>
    <t xml:space="preserve">If you upbraid someone, you tell them that they have done something wrong and criticize them for doing it. </t>
  </si>
  <si>
    <t xml:space="preserve">If a person or their decisions, actions, or ideas are vindicated, they are proved to be correct, after people have said that they were wrong. </t>
  </si>
  <si>
    <t xml:space="preserve">If you ascertain the truth about something, you find out what it is, especially by making a deliberate effort to do so. </t>
  </si>
  <si>
    <t>If you describe something as banal, you do not like it because you think that it is so ordinary that it is not at all effective or interesting</t>
  </si>
  <si>
    <t xml:space="preserve">A callous person or action is very cruel and shows no concern for other people or their feelings. </t>
  </si>
  <si>
    <t xml:space="preserve">If someone decries an idea or action, they criticize it strongly. </t>
  </si>
  <si>
    <t xml:space="preserve">If one thing is eclipsed by a second thing that is bigger, newer, or more important than it, the first thing is no longer noticed because the second thing gets all the attention. </t>
  </si>
  <si>
    <t>same as egotism; the tendency to think only about yourself and consider yourself better and more important than other people</t>
  </si>
  <si>
    <t xml:space="preserve">If you describe an experience or feeling as exhilarating, you mean that it makes you feel very happy and excited. </t>
  </si>
  <si>
    <t xml:space="preserve">If someone is incredulous, they are unable to believe something because it is very surprising or shocking. </t>
  </si>
  <si>
    <t>Indiscernible things can't be seen or sensed clearly. A black cat is indiscernible in the dark, and the tiny amount of gray in your hair might also be indiscernible.</t>
  </si>
  <si>
    <t xml:space="preserve">If you describe the value, benefit, or importance of something as inestimable, you mean that it is extremely great and cannot be calculated. </t>
  </si>
  <si>
    <t>If something is slowly and secretly causing harm, it's insidious — like the rumors no one seems to listen to until suddenly someone's reputation is ruined.</t>
  </si>
  <si>
    <t xml:space="preserve">1. If you have an intimate friendship with someone, you know them very well and like them a lot. 
2. If two people are in an intimate relationship, they are involved with each other in a loving or sexual way. 
3. An intimate conversation or detail, for example, is very personal and private. 
4. If you use intimate to describe an occasion or the atmosphere of a place, you like it because it is quiet and pleasant, and seems suitable for close conversations between friends. 
5. An intimate connection between ideas or organizations, for example, is a very strong link between them. 
6. An intimate knowledge of something is a deep and detailed knowledge of it. 
7. If you intimate something, you say it in an indirect way. </t>
  </si>
  <si>
    <t>Use the adjective pretentious as a way to criticize people who try to act like they are more important or knowledgeable than they really are.</t>
  </si>
  <si>
    <t>odd/unusual in an attractive and interesting way</t>
  </si>
  <si>
    <t>If you describe someone as redoubtable, you respect them because they have a very strong character, even though you are slightly afraid of them. 
But it isn't the redoubtable person that you doubt — it's yourself or your ability to compete against or be compared to him or her. That's where the dread comes in. But you can learn a lot from and be inspired by redoubtable people, if you can just get over being afraid of them.</t>
  </si>
  <si>
    <t>The verb refute is to prove that something is wrong. When the kids you're babysitting swear they brushed their teeth, you can refute their claim by presenting the dry toothbrushes.</t>
  </si>
  <si>
    <t xml:space="preserve">If you describe someone as a reprobate, you mean that they behave in a way that is not respectable or morally correct. </t>
  </si>
  <si>
    <t>n: A subordinate is someone who works for someone else. 
v: to subordinate means to place or rank one thing below another. When you're doing a group project, sometimes you have to subordinate your ideas to the desires of the larger group.</t>
  </si>
  <si>
    <t xml:space="preserve">Someone who is undemonstrative does not often show affection. </t>
  </si>
  <si>
    <t>If you insult someone or dismiss them in a hateful way, you're being contemptuous. The difference between being hateful and contemptuous is subtle. It involves disdain.</t>
  </si>
  <si>
    <t>1. If you foster a child, you take it into your family for a period of time, without becoming its legal parent
2. To foster something such as an activity or idea means to help it to develop</t>
  </si>
  <si>
    <t>If something is inchoate, it is recent or new, and vague or not yet properly developed. 
Inchoate means just beginning to form. You can have an inchoate idea, like the earliest flickers of images for your masterpiece, or an inchoate feeling, like your inchoate sense of annoyance toward your sister's new talking parrot.</t>
  </si>
  <si>
    <t>anger</t>
  </si>
  <si>
    <t>narrow-minded, short-sighted</t>
  </si>
  <si>
    <t>Perspicacity comes from the Latin word for penetrating sight. If you have perspicacity, you are good at discerning what is really going on where others might only see surface clues.</t>
  </si>
  <si>
    <t>You use resurgent to say that something is becoming stronger and more popular after a period when it has been weak and unimportant. 
"An old song's popularity might be resurgent after it's featured on the soundtrack of a popular new movie."</t>
  </si>
  <si>
    <t xml:space="preserve">A soliloquy is a speech in a play in which an actor speaks to himself or herself and to the audience, rather than to another actor. </t>
  </si>
  <si>
    <t>real and able to be shown or touched</t>
  </si>
  <si>
    <t>When something is tantalizing, it makes you want it, even if it's totally out of reach. An exciting movie trailer could be tantalizing if it makes you want to see the movie. A little part of a song can be tantalizing if it tempts you to hear more. Smells — when they're good smells — can be very tantalizing. Just walking through a good restaurant, smelling and looking at the food, is a tantalizing experience.</t>
  </si>
  <si>
    <t>Use vigilant to describe someone who keeps awake and alert in order to avoid danger or problems. When taking the subway, be vigilant about your wallet — always know where it is, or someone might steal it from you.</t>
  </si>
  <si>
    <t xml:space="preserve">strong or deep-rooted dislike; aversion </t>
  </si>
  <si>
    <t xml:space="preserve">A consensus is general agreement among a group of people. </t>
  </si>
  <si>
    <t>When you distill something, you are boiling it down to its essence — its most important part. Whether it's alcohol or ideas, the distilled part is the most powerful.</t>
  </si>
  <si>
    <t xml:space="preserve">Something that is elementary is very simple and basic. </t>
  </si>
  <si>
    <t xml:space="preserve">An ideologue is someone who has very strong beliefs or opinions and stubbornly sticks to them no matter what. An ideologue will insist they're right even when evidence suggests they might be wrong.
An ideologue is the same as an ideologist. </t>
  </si>
  <si>
    <t>Something numinous has a strong religious quality, suggesting the presence of a divine power. When you enter a temple, church, or mosque, you might feel as though you've entered a numinous space.</t>
  </si>
  <si>
    <t xml:space="preserve">If you describe people or things as odious, you think that they are extremely unpleasant. </t>
  </si>
  <si>
    <t>literally means "overflowing": super ("over") + fluere ("to flow"); surplus;
When something is so unnecessary that it could easily be done away with, like a fifth wheel on a car or a fifth person on a double date, call it superfluous.</t>
  </si>
  <si>
    <t xml:space="preserve">If you describe someone or something as unappealing, you find them unpleasant and unattractive. </t>
  </si>
  <si>
    <t xml:space="preserve">If you describe someone as uninformed, you mean that they have very little knowledge or information about a particular situation or subject. </t>
  </si>
  <si>
    <t>energy and strength</t>
  </si>
  <si>
    <t xml:space="preserve">If you describe something as wearisome, you mean that it is very tiring and boring or frustrating. </t>
  </si>
  <si>
    <t xml:space="preserve">Something that is anomalous is different from what is usual or expected. </t>
  </si>
  <si>
    <t>1. n: creek/small stream
2. v: put up with; "I will brook no trespassing on my land."</t>
  </si>
  <si>
    <t xml:space="preserve">If you describe a sentence, idea, or system as convoluted, you mean that it is complicated and difficult to understand. </t>
  </si>
  <si>
    <t xml:space="preserve">Your deportment is the way you behave, especially the way you walk and move. </t>
  </si>
  <si>
    <t xml:space="preserve">If you emulate something or someone, you imitate them because you admire them a great deal. </t>
  </si>
  <si>
    <t>The adjective entitled means you have a legal right to something.
Entitled is often used in a more casual way, to mean "allowed." For example, volunteers at the park clean-up are entitled to the water and snacks at the pavilion. Sometimes, though, people feel they are entitled to special treatment because they think they are more worthy than others.</t>
  </si>
  <si>
    <t>To be evasive is to avoid something</t>
  </si>
  <si>
    <t>1. If you describe someone as frivolous, you mean they behave in a silly or light-hearted way, rather than being serious and sensible. 
2. If you describe an activity as frivolous, you disapprove of it because it is not useful and wastes time or money. "stop wasting public money on frivolous projects"</t>
  </si>
  <si>
    <t>A narrative is a story that you write or tell to someone, usually in great detail. A narrative can be a work of poetry or prose, or even song, theater, or dance.</t>
  </si>
  <si>
    <t xml:space="preserve">1. You describe a situation as a paradox when it involves two or more facts or qualities which seem to contradict each other. 
2. A paradox is a statement in which it seems that if one part of it is true, the other part of it cannot be true. </t>
  </si>
  <si>
    <t xml:space="preserve">Something that is potent is very effective and powerful. </t>
  </si>
  <si>
    <t>Thrift is the quality and practice of being careful with money and not wasting things</t>
  </si>
  <si>
    <t>If you describe something or someone as ubiquitous, you mean that they seem to be everywhere</t>
  </si>
  <si>
    <t>If you describe someone as xenophobic, you disapprove of them because they show strong dislike or fear of people from other countries</t>
  </si>
  <si>
    <t>If your behaviour or motives are altruistic, you show concern for the happiness and welfare of other people rather than for yourself</t>
  </si>
  <si>
    <t>annoy, anger, insult, offend</t>
  </si>
  <si>
    <t>1. Apropos or apropos of is used to introduce something that you are going to say which is related to the subject you have just been talking about. 
"Apropos what you said yesterday, I think you made the right decision"
2. Something which is apropos, or apropos of, a subject or event, is connected with it or relevant to it. 
3. Something that is apropos is very suitable in a particular situation. 
"clothes that are apropos to the occasion"</t>
  </si>
  <si>
    <t xml:space="preserve">If you befriend someone, especially someone who is lonely or far from home, you make friends with them. </t>
  </si>
  <si>
    <t xml:space="preserve">If you describe a person or their behaviour as brazen, you mean that they are very bold and do not care what other people think about them or their behaviour. </t>
  </si>
  <si>
    <t>If you describe an event or situation as calamitous, you mean it is very unfortunate or serious. 
" ...the calamitous state of the country"</t>
  </si>
  <si>
    <t xml:space="preserve">Speech or writing that is defamatory is likely to damage someone's good reputation by saying something bad and untrue about them. </t>
  </si>
  <si>
    <t xml:space="preserve">Something that has a deleterious effect on something has a harmful effect on it. </t>
  </si>
  <si>
    <t xml:space="preserve">1. If you do something that is deliberate, you planned or decided to do it beforehand, and so it happens on purpose rather than by chance. 
2. If a movement or action is deliberate, it is done slowly and carefully. 
3. If you deliberate, you think about something carefully, especially before making a very important decision. </t>
  </si>
  <si>
    <t xml:space="preserve">You use exacting to describe something or someone that demands hard work and a great deal of care. </t>
  </si>
  <si>
    <t>changeable or unstable in affection, interest, loyalty, etc.; capricious</t>
  </si>
  <si>
    <t>taking unnecessary or foolish risks
If you decide you are going to scale Mt. Everest next weekend without any training or experience, that would be a foolhardy decision.</t>
  </si>
  <si>
    <t>having many different parts or sides</t>
  </si>
  <si>
    <t>Use negligent when you want to describe someone who just doesn't give a hoot. You can be negligent at work if you let the work pile up while you play computer games, or you can be negligent at home if you haven't fed your fish for six days straight.</t>
  </si>
  <si>
    <t xml:space="preserve">1. If you describe someone as obstinate, you are being critical of them because they are very determined to do what they want, and refuse to change their mind or be persuaded to do something else. 
2. You can describe things as obstinate when they are difficult to move, change, or destroy. </t>
  </si>
  <si>
    <t>1. A patent is an official right to be the only person or company allowed to make or sell a new product for a certain period of time. 
2. If you patent something, you obtain a patent for it. 
3. You use patent to describe something, especially something bad, in order to indicate in an emphatic way that you think its nature or existence is clear and obvious. "patent nonsense", "patent lie"</t>
  </si>
  <si>
    <t>using something or someone as a way of getting help, especially in a difficult or dangerous situation
"The public believes its only recourse is to take to the streets"
"It enabled its members to settle their differences without recourse to war"</t>
  </si>
  <si>
    <t xml:space="preserve">1. Something bad that is relentless never stops or never becomes less intense. 
2. Someone who is relentless is determined to do something and refuses to give up, even if what they are doing is unpleasant or cruel. </t>
  </si>
  <si>
    <t xml:space="preserve">1. A showcase is a glass container with valuable objects inside it, for example at an exhibition or in a museum. 
2. You use showcase to refer to a situation or setting in which something is displayed or presented to its best advantage. 
3. If something is showcased, it is displayed or presented to its best advantage. </t>
  </si>
  <si>
    <t>in a way that is not typical of someone</t>
  </si>
  <si>
    <t xml:space="preserve">Someone or something that is witty is amusing in a clever way. </t>
  </si>
  <si>
    <t>1. eager to own and collect things: 
2. used to describe a person or company that buys other companies</t>
  </si>
  <si>
    <t xml:space="preserve">Coercion is the act or process of persuading someone forcefully to do something that they do not want to do. </t>
  </si>
  <si>
    <t>Conspicuous can mean either very obvious to the eye (like something that is conspicuous from a distance) or attracting attention (like conspicuous consumption). If you are doing something wrong, it's wise not to be conspicuous about it!</t>
  </si>
  <si>
    <t>untidy mixture of different types of things; BRIT: hotch-potch</t>
  </si>
  <si>
    <t>rude and not showing respect, especially towards someone older or in a higher position than you</t>
  </si>
  <si>
    <t xml:space="preserve">If you describe something that is written or said as long-winded, you are critical of it because it is longer than necessary. </t>
  </si>
  <si>
    <t>To overuse something is to use it too much; also n</t>
  </si>
  <si>
    <t xml:space="preserve">1. An explanation or statement that is plausible seems likely to be true or valid. 
2. If you say that someone is plausible, you mean that they seem to be telling the truth and to be sincere and honest. </t>
  </si>
  <si>
    <t>To regress is to return to a former state or condition, and not usually in a good way. It often means "relapse" or "get worse."</t>
  </si>
  <si>
    <t xml:space="preserve">A sagacious person is intelligent and has the ability to make good decisions. </t>
  </si>
  <si>
    <t xml:space="preserve">If you describe someone as self-serving, you are critical of them because they are only interested in what they can get for themselves. </t>
  </si>
  <si>
    <t xml:space="preserve">A sinecure is a job for which you receive payment but which does not involve much work or responsibility. </t>
  </si>
  <si>
    <t>Tangent is mainly a mathematical term, meaning a line or plane that intersects a curved surface at exactly one point. The non-mathematical meaning of tangent comes from this sense of barely touching something: when a conversation heads off on a tangent, it's hard to see how or why it came up. When talking about history, someone suddenly brings last night's basketball game? Definitely a tangent.</t>
  </si>
  <si>
    <t>1. to try to persuade someone to support you or to use your business
2. To woo someone is to try to persuade them to marry you</t>
  </si>
  <si>
    <t>To belie means to contradict. If you are 93 but look like you are 53, then your young looks belie your age.</t>
  </si>
  <si>
    <t>Use cordial to describe a relationship that is friendly and sincere but not overly close. A cordial greeting is perfectly pleasant but doesn't involve lots of hugging or excessive emotion.</t>
  </si>
  <si>
    <t>to control or limit something that is not wanted</t>
  </si>
  <si>
    <t>Diminutive means small. A diminutive person is short and small. A diminutive word is a "cute" version of a word or name: for example, "duckling" is a diminutive of "duck" and Billy is a diminutive form of the name William.</t>
  </si>
  <si>
    <t>If you feel that something isn't worthy of your consideration, you may disdain it (or treat it with disdain).</t>
  </si>
  <si>
    <t>deceitfulness in speech or conduct; speaking or acting in two different ways concerning the same matter with intent to deceive; double-dealing</t>
  </si>
  <si>
    <t xml:space="preserve">If you flout something such as a law, an order, or an accepted way of behaving, you deliberately do not obey it or follow it. </t>
  </si>
  <si>
    <t>flaʊt</t>
  </si>
  <si>
    <t xml:space="preserve">If you describe something such as a saying or an image as hackneyed, you think it is no longer likely to interest, amuse, or affect people because it has been used, seen, or heard many times before. </t>
  </si>
  <si>
    <t>Something that is a harbinger of something else, especially something bad, is a sign that it is going to happen</t>
  </si>
  <si>
    <t>The lion is the king of beasts. To lionize someone is to see them as important as a lion. Republicans continue to lionize Ronald Reagan as their ultimate hero.</t>
  </si>
  <si>
    <t>Something, especially something bad, that is pervasive is present or felt throughout a place or thing. 
If you're sick of seeing something because you're seeing it again and again, it must be pervasive.</t>
  </si>
  <si>
    <t>If you re-examined the meaning of something and found something new or different, you reinterpreted it. You thought that when Brian said, "I love you," he meant as a friend, but you may want to reinterpret the meaning of those words since he bought you a diamond ring.</t>
  </si>
  <si>
    <t>1. strict, severe, harsh, unforgiving
2. The stern of a boat is the back part of it</t>
  </si>
  <si>
    <t>Verisimilitude is the quality of seeming to be true or real. 
"She has included photographs in the book to lend verisimilitude to the story."</t>
  </si>
  <si>
    <t xml:space="preserve">If something wanes, it becomes gradually weaker or less, often so that it eventually disappears. </t>
  </si>
  <si>
    <t>Whimsical means full of or characterized by whims, which are odd ideas that usually occur to you very suddenly. If you decide at the last minute to fly to Europe, you could say you went there on a whim.</t>
  </si>
  <si>
    <t xml:space="preserve">If someone is given an accolade, something is done or said about them which shows how much people admire them. </t>
  </si>
  <si>
    <t>An ad hoc activity or organization is done or formed only because a situation has made it necessary and is not planned in advance</t>
  </si>
  <si>
    <t xml:space="preserve">If you have an aversion to someone or something, you dislike them very much. </t>
  </si>
  <si>
    <t>Portuguese Origin</t>
  </si>
  <si>
    <t>Anything with a complicated design can be baroque but it also refers to a style of art, music, and architecture from 17th Century Italy; anything extravagantly ornamented</t>
  </si>
  <si>
    <t>Visual</t>
  </si>
  <si>
    <t>1. A caricature of someone is a drawing or description of them that exaggerates their appearance or behaviour in a humorous or critical way
2. If you caricature someone, you draw or describe them in an exaggerated way in order to be humorous or critical</t>
  </si>
  <si>
    <t>feeling of disappointment, upset, or annoyance, perhaps because of your own failure</t>
  </si>
  <si>
    <t>1. The gloom is a state of near darkness
2. Gloom is a feeling of sadness and lack of hope</t>
  </si>
  <si>
    <t xml:space="preserve">If you describe someone or something as humdrum, you mean that they are ordinary, dull, or boring. </t>
  </si>
  <si>
    <t xml:space="preserve">If you describe someone as meticulous, you mean that they do things very carefully and with great attention to detail. </t>
  </si>
  <si>
    <t xml:space="preserve">If you have a premonition, you have a feeling that something is going to happen, often something unpleasant. </t>
  </si>
  <si>
    <t>1. When people or things sway, they lean or swing slowly from one side to the other
2. If you are swayed by someone or something, you are influenced by them</t>
  </si>
  <si>
    <t xml:space="preserve">If you describe someone as venal, you disapprove of them because they are prepared to do almost anything in return for money, even things which are dishonest or immoral. </t>
  </si>
  <si>
    <t xml:space="preserve">1. A conjecture is a conclusion that is based on information that is not certain or complete. 
2. When you conjecture, you form an opinion or reach a conclusion on the basis of information that is not certain or complete. </t>
  </si>
  <si>
    <t>Someone who is detached is not personally involved in something or has no emotional interest in it</t>
  </si>
  <si>
    <t>n and adj: a person who publicly disagrees with and criticizes their government</t>
  </si>
  <si>
    <t>You can serve as a foil to someone if you show them to be better than you by contrast. If you can't dance but your friend Lisa can, you can be a foil to Lisa's grace.
If you're having trouble remembering this definition, think about a shiny piece of tin foil. It reflects an image back to you, so if you're a foil to someone, their image is reflected off of you in a positive light. Your brother's mediocre grades might serve as a foil to your intelligence. As a verb, if you foil someone's plans or attempts to do something, you cause them to fail. Your brother will be really mad if you foil his plans to hide his mediocre report card from your parents.</t>
  </si>
  <si>
    <t xml:space="preserve">Something that is omnipresent is present everywhere or seems to be always present. </t>
  </si>
  <si>
    <t>Use the adjective opaque either for something that doesn't allow light to pass through (like a heavy curtain) or for something difficult to understand (like bureaucratic gobbledygook)</t>
  </si>
  <si>
    <t>1. You can use this verb in a very literal way, to mean "cast a shadow over something smaller," like the enormous oak tree in your yard that overshadows your small house. 
2. It's also possible to figuratively overshadow, like when your worry about next week's math test overshadows the happiness you feel waking up to a snow day. 
3. One person can overshadow another too, when they appear more interesting, successful, or attractive.</t>
  </si>
  <si>
    <t xml:space="preserve">1. Ponderous writing or speech is very serious, uses more words than necessary, and is rather dull. 
2. A movement or action that is ponderous is very slow or clumsy. </t>
  </si>
  <si>
    <t xml:space="preserve">1. If you relent, you allow someone to do something that you had previously refused to allow them to do. 
2. If bad weather relents, it improves. </t>
  </si>
  <si>
    <t xml:space="preserve">1. To resolve a problem, argument, or difficulty means to find a solution to it. 
2. If you resolve to do something, you make a firm decision to do it. 
3. Resolve is determination to do what you have decided to do. 
4. If you resolve something into a clearer form, or if it resolves into a clearer form, its shape or the different parts it contains become clear. </t>
  </si>
  <si>
    <t xml:space="preserve">1. You use slavish to describe things that copy or imitate something exactly, without any attempt to be original. 
2. If you describe someone as slavish, you are critical of the fact that they behave like a slave, for example by always doing what another person wants. </t>
  </si>
  <si>
    <t>sleep-inducing</t>
  </si>
  <si>
    <t>brief/using few words, sometimes in a way that seems unfriendly</t>
  </si>
  <si>
    <t>If you're verbose, you use far more words than you need to. 
If a friend asks, "Did you have fun at the party?" you can simply answer, "No." Or you can provide a verbose reply that describes just how much you hated the party, who was and wasn't there, the fact that you got lost on the way, the terrible food that was served, and the awful music that was played.</t>
  </si>
  <si>
    <t xml:space="preserve">1. Byzantine means related to or connected with the Byzantine Empire. 
2. If you describe a system or process as byzantine, you are criticizing it because it seems complicated or secretive. </t>
  </si>
  <si>
    <t xml:space="preserve">When things such as blood vessels or the pupils of your eyes dilate or when something dilates them, they become wider or bigger. </t>
  </si>
  <si>
    <t>not based on or affected by something</t>
  </si>
  <si>
    <t>If something exacerbates a problem or bad situation, it makes it worse</t>
  </si>
  <si>
    <t xml:space="preserve">To excoriate a person or organization means to criticize them severely, usually in public. </t>
  </si>
  <si>
    <t xml:space="preserve">If you say that there are extenuating circumstances for a bad situation or wrong action, you mean that there are reasons or factors which partly excuse it. </t>
  </si>
  <si>
    <t xml:space="preserve">Fervor for something is a very strong feeling for or belief in it. </t>
  </si>
  <si>
    <t>If you describe what someone says as glib, you disapprove of it because it implies that something is simple or easy, or that there are no problems involved, when this is not the case
"that sounds a little glib"</t>
  </si>
  <si>
    <t xml:space="preserve">If you refer to someone's behaviour as histrionic, you are critical of it because it is very dramatic, exaggerated, and insincere. </t>
  </si>
  <si>
    <t xml:space="preserve">Someone who is impartial is not directly involved in a particular situation, and is therefore able to give a fair opinion or decision about it. </t>
  </si>
  <si>
    <t xml:space="preserve">If you intercept someone or something that is travelling from one place to another, you stop them before they get to their destination. </t>
  </si>
  <si>
    <t xml:space="preserve">1. If you say that you are inundated with things such as letters, demands, or requests, you are emphasizing that you receive so many of them that you cannot deal with them all. 
2. If an area of land is inundated, it becomes covered with water. </t>
  </si>
  <si>
    <t xml:space="preserve">If you say that someone is a martinet, you are criticizing them because they are very strict and demand that people obey their rules and orders. </t>
  </si>
  <si>
    <t xml:space="preserve">If you are oblivious to something or oblivious of it, you are not aware of it. </t>
  </si>
  <si>
    <t xml:space="preserve">Something that is prosaic is dull and uninteresting. </t>
  </si>
  <si>
    <t xml:space="preserve">When there is a schism, a group or organization divides into two groups as a result of differences in thinking and beliefs. </t>
  </si>
  <si>
    <t>able to judge a situation accurately and turn it to your own advantage</t>
  </si>
  <si>
    <t xml:space="preserve">Sovereignty is the power that a country has to govern itself or another country or state. </t>
  </si>
  <si>
    <t>1. A toll is a small sum of money that you have to pay in order to use a particular bridge or road
2. a high degree of suffering or damage; "emotional toll on the victims"
3. When a bell tolls or when someone tolls it, it rings slowly and repeatedly, often as a sign that someone has died
4. A toll is a total number of deaths, accidents, or disasters that occur in a particular period of time</t>
  </si>
  <si>
    <t xml:space="preserve">Something that is clandestine is hidden or kept secret, often because it is illegal. </t>
  </si>
  <si>
    <t xml:space="preserve">If a situation, a rule, or a person compels you to do something, they force you to do it. </t>
  </si>
  <si>
    <t xml:space="preserve">A statement that is conjectural is based on information that is not certain or complete. </t>
  </si>
  <si>
    <t>If something daunts you, it makes you feel slightly afraid or worried about dealing with it</t>
  </si>
  <si>
    <t xml:space="preserve">If something is deceptive, it encourages you to believe something which is not true. </t>
  </si>
  <si>
    <t>1. refuse to obey
2. If you defy someone to do something, you challenge them to do it when you think that they will be unable to do it or too frightened to do it
3. If something defies description or understanding, it is so strange, extreme, or surprising that it is almost impossible to understand or explain</t>
  </si>
  <si>
    <t xml:space="preserve">If you demur, you say that you do not agree with something or will not do something that you have been asked to do. </t>
  </si>
  <si>
    <t>1. Something that is didactic is intended to teach people something, especially a moral lesson. 
2. Someone who is didactic tells people things rather than letting them find things out.</t>
  </si>
  <si>
    <t>Religious</t>
  </si>
  <si>
    <t>A disciple is a follower or a fan of someone.</t>
  </si>
  <si>
    <t>gradually becoming smaller in size or amount, or fewer in number</t>
  </si>
  <si>
    <t xml:space="preserve">If you describe someone as ebullient, you mean that they are lively and full of enthusiasm or excitement about something. </t>
  </si>
  <si>
    <t>the fact that something is not suitable or correct in a situation</t>
  </si>
  <si>
    <t>To languish is to become pitiful or weak because you're sick, in love, or stuck somewhere. A prisoner might languish in jail, longing for her freedom.</t>
  </si>
  <si>
    <t>Anything multitudinous is countless, infinite, innumerable, and, myriad: you couldn't count it if you tried.</t>
  </si>
  <si>
    <t>state of being passive — passivity applies to someone who accepts the actions or opinions of others without speaking up</t>
  </si>
  <si>
    <t xml:space="preserve">Someone who is perspicacious notices, realizes, and understands things quickly. </t>
  </si>
  <si>
    <t>a person who enjoys only popular entertainment but does not appreciate art, literature, or music of high quality</t>
  </si>
  <si>
    <t>behaviour or speech that is intended to attract attention and interest, or to make people believe something that is not true</t>
  </si>
  <si>
    <t>If you describe someone or their behaviour as presumptuous, you disapprove of them because they are doing something that they have no right or authority to do</t>
  </si>
  <si>
    <t xml:space="preserve">Someone who is reticent does not tell people about things. </t>
  </si>
  <si>
    <t xml:space="preserve">If you refer to someone's tacit agreement or approval, you mean they are agreeing to something or approving it without actually saying so, often because they are unwilling to admit to doing so. </t>
  </si>
  <si>
    <t xml:space="preserve">If you understate something, you describe it in a way that suggests that it is less important or serious than it really is. </t>
  </si>
  <si>
    <t xml:space="preserve">1. Austerity is a situation in which people's living standards are reduced because of economic difficulties. 
2. If you refer to something as showing austerity, you like its plain and simple appearance. </t>
  </si>
  <si>
    <t xml:space="preserve">1. If you avert something unpleasant, you prevent it from happening. 
2. If you avert your eyes or gaze from someone or something, you look away from them. </t>
  </si>
  <si>
    <t xml:space="preserve">If two or more things coalesce, they come together and form a larger group or system. </t>
  </si>
  <si>
    <t>NA</t>
  </si>
  <si>
    <t>A hybrid is a mixture of two different things, resulting in something that has a little bit of both — like the rare zedonk, a hybrid of a donkey and a zebra.</t>
  </si>
  <si>
    <t>If words or actions are impolitic, they are unwise and likely to cause offence or problems, especially in social situations</t>
  </si>
  <si>
    <t xml:space="preserve">If you are indignant, you are shocked and angry, because you think that something is unjust or unfair. </t>
  </si>
  <si>
    <t>Inertia is resistance to change. You hate looking at people's feet and yet you stay in your job as a shoe salesman year after year. Why? Inertia.</t>
  </si>
  <si>
    <t>Lavish means "generous and extravagant" as an adjective and "to give generously" as a verb. If you don't like it when people lavish you with attention, you might appreciate a lavish spread of excellent food instead.</t>
  </si>
  <si>
    <t xml:space="preserve">to move, talk, or act aimlessly or idly </t>
  </si>
  <si>
    <t>remember wander aimlessly</t>
  </si>
  <si>
    <t>Myriad means having a large number or great variety</t>
  </si>
  <si>
    <t xml:space="preserve">If you describe something as ominous, you mean that it worries you because it makes you think that something unpleasant is going to happen. </t>
  </si>
  <si>
    <t>slow, continuous, and not exciting
"I'll try not to bore you with lots of plodding details"</t>
  </si>
  <si>
    <t xml:space="preserve">A prognosis is an estimate of the future of someone or something, especially about whether a patient will recover from an illness. </t>
  </si>
  <si>
    <t>Repertoire refers to the full supply of what you can do. A singer's repertoire is all the songs he can sing. A chef's repertoire is what she knows how to cook.</t>
  </si>
  <si>
    <t xml:space="preserve">If someone is steadfast in something that they are doing, they are convinced that what they are doing is right and they refuse to change it or to give up. </t>
  </si>
  <si>
    <t xml:space="preserve">1. You use thoroughgoing to emphasize that someone or something is fully or completely the type of person or thing specified. 
2. If you describe a piece of work as thoroughgoing, you approve of it because it has been carefully and thoroughly put together. </t>
  </si>
  <si>
    <t>1. If you describe someone as wilful, you mean that they are determined to do what they want to do, even if it is wrong
2. used to describe a bad or harmful action done deliberately, although the person doing it knows that it is wrong</t>
  </si>
  <si>
    <t xml:space="preserve">1. If you describe someone as articulate, you mean that they are able to express their thoughts and ideas easily and well. 
2. When you articulate your ideas or feelings, you express them clearly in words. </t>
  </si>
  <si>
    <t xml:space="preserve">1. Happening as a direct result of an event or situation
2. Something that is consequential is important or significant. </t>
  </si>
  <si>
    <t>1. A coy person is shy, or pretends to be shy, about love and sex
2. intentionally keeping something secret</t>
  </si>
  <si>
    <t>decode, crack, solve, understand</t>
  </si>
  <si>
    <t>1. of or on the right-hand side
2. Dexterity is skill in using your hands, or sometimes your mind</t>
  </si>
  <si>
    <t>to become weaker or be destroyed by breaking into small pieces</t>
  </si>
  <si>
    <t>If you describe someone's actions as dogged, you mean that they are determined to continue with something even if it becomes difficult or dangerous</t>
  </si>
  <si>
    <t xml:space="preserve">If you exhort someone to do something, you try hard to persuade or encourage them to do it. </t>
  </si>
  <si>
    <t xml:space="preserve">A fervent person has or shows strong feelings about something, and is very sincere and enthusiastic about it. </t>
  </si>
  <si>
    <t xml:space="preserve">If you describe someone as impetuous, you mean that they are likely to act quickly and suddenly without thinking or being careful. </t>
  </si>
  <si>
    <t xml:space="preserve">1. Something that is implicit is understood but not clearly stated
2. If a quality or element is implicit in something, it is involved in it or is shown by it. 
3. If you say that someone has an implicit belief or faith in something, you mean that they have complete faith in it and no doubts at all. </t>
  </si>
  <si>
    <t>Jettison means to push to the side or toss away. If a boat is leaking or an airplane is running out of fuel, you can buy more time by jettisoning cargo, or throwing it overboard.</t>
  </si>
  <si>
    <t>remember throwing a stone from a jetty</t>
  </si>
  <si>
    <t xml:space="preserve">1. Lucid writing or speech is clear and easy to understand. 
2. If someone is lucid, they are thinking clearly again after a period of illness or confusion. </t>
  </si>
  <si>
    <t>Ludicrous things are funny, absurd, or nonsensical. If someone says something silly or far-fetched, you could say "That's ludicrous!"</t>
  </si>
  <si>
    <t xml:space="preserve">Overly means more than is normal, necessary, or reasonable. </t>
  </si>
  <si>
    <t xml:space="preserve">A precocious child is very clever, mature, or good at something, often in a way that you usually only expect to find in an adult. </t>
  </si>
  <si>
    <t xml:space="preserve">If you describe someone or something as puerile, you mean that they are silly and childish. </t>
  </si>
  <si>
    <t xml:space="preserve">1. If you try to rationalize attitudes or actions that are difficult to accept, you think of reasons to justify or explain them. 
2. When a company, system, or industry is rationalized, it is made more efficient, usually by getting rid of staff and equipment that are not essential. </t>
  </si>
  <si>
    <t xml:space="preserve">If you describe someone as resolute, you approve of them because they are very determined not to change their mind or not to give up a course of action. </t>
  </si>
  <si>
    <t xml:space="preserve">As a noun, a tarnish is the dull layer of corrosion that sometimes forms on metal items. Metals are most likely to tarnish, but so can anything that once felt sparkly and bright but has lost its luster — even you. If the new kid just beat you in chess, your reputation as the best chess player in your class has started to tarnish. </t>
  </si>
  <si>
    <t>A transgression is something that is against a command or law. Whether you are cheating on a test, or cheating on a spouse, you are committing transgressions that are not easily forgiven.
A transgression can be a failure to do your duty. A sin is a transgression against God.</t>
  </si>
  <si>
    <t>If you say that someone has an ulterior motive for doing something, you believe that they have a hidden reason for doing it</t>
  </si>
  <si>
    <t>1. If something such as an action or an event underscores another, it draws attention to the other thing and emphasizes its importance
2. If you underscore something such as a word or a sentence, you draw a line underneath it in order to make people notice it or give it extra importance</t>
  </si>
  <si>
    <t xml:space="preserve">An aphorism is a short witty sentence which expresses a general truth or comment. </t>
  </si>
  <si>
    <t xml:space="preserve">An axiom is a self-evident truth. If something is axiomatic, it seems to be obviously true. </t>
  </si>
  <si>
    <t xml:space="preserve">to scold harshly </t>
  </si>
  <si>
    <t>characterized by great knowledge; learned or scholarly</t>
  </si>
  <si>
    <t>poor/broke</t>
  </si>
  <si>
    <t>An itinerant is a person who moves from place to place, typically for work, like the itinerant preacher who moves to a new community every few years.</t>
  </si>
  <si>
    <t>Arabic Origin</t>
  </si>
  <si>
    <t>1. In astronomy, the nadir is the point at which the sun or moon is directly below you, on the other side of the earth. Opposite to zenith
2. The nadir of something such as someone's career or the history of an organization is its worst time/lowest point.</t>
  </si>
  <si>
    <t>neɪdər</t>
  </si>
  <si>
    <t xml:space="preserve">If you describe someone as officious, you are critical of them because they are eager to tell people what to do when you think they should not. </t>
  </si>
  <si>
    <t>a person of great and varied learning</t>
  </si>
  <si>
    <t xml:space="preserve">1. A snare is a trap for catching birds or small animals. It consists of a loop of wire or rope which pulls tight around the animal. 
2. If you describe a situation as a snare, you mean that it is a trap from which it is difficult to escape. 
3. If someone snares an animal, they catch it using a snare. 
4. If someone is snared, they are caught in a trap. 
5. If someone snares something, they get it in a clever way, perhaps by deceiving people. </t>
  </si>
  <si>
    <t>To subside is to die down or become less violent, like rough ocean waves after a storm has passed, or noise, or fighting, or building collapsing, etc.</t>
  </si>
  <si>
    <t>Choose the adjective tentative to describe something you are unsure or hesitant about. On Monday, you can make tentative plans for the weekend, but it's too early to commit to one party or another.</t>
  </si>
  <si>
    <t xml:space="preserve">If someone is thrilled, they are extremely pleased about something. </t>
  </si>
  <si>
    <t>not given or shown thanks or gratitude</t>
  </si>
  <si>
    <t xml:space="preserve">If you describe someone or something as unformed, you mean that they are in an early stage of development and are not fully formed or matured. </t>
  </si>
  <si>
    <t xml:space="preserve">not propitious;
If something is propitious, it is likely to lead to success. </t>
  </si>
  <si>
    <t>persuade by flattery/coax</t>
  </si>
  <si>
    <t xml:space="preserve">You can use flagrant to describe an action, situation, or someone's behaviour that you find extremely bad or shocking in a very obvious way. </t>
  </si>
  <si>
    <t>an illegal copy of a document, painting, etc. or the crime of making such illegal copies</t>
  </si>
  <si>
    <t xml:space="preserve">Idiosyncratic means unique to an individual. </t>
  </si>
  <si>
    <t xml:space="preserve">If you describe someone as irascible, you mean that they become angry very easily. </t>
  </si>
  <si>
    <t>ɪræsɪbəl</t>
  </si>
  <si>
    <t>to deviate from the truth</t>
  </si>
  <si>
    <t>Something that is seductive is very attractive or makes you want to do something that you would not otherwise do</t>
  </si>
  <si>
    <t xml:space="preserve">1. Vigorous physical activities involve using a lot of energy, usually to do short and repeated actions. 
2. A vigorous person does things with great energy and enthusiasm. A vigorous campaign or activity is done with great energy and enthusiasm. 
3. A vigorous person is strong and healthy and full of energy. </t>
  </si>
  <si>
    <t>Camaraderie is a feeling of trust and friendship among a group of people who have usually known each other for a long time or gone through some kind of experience together. 
syn:  comradeship</t>
  </si>
  <si>
    <t>1. If you coin a word or a phrase, you are the first person to say it
2. If you say that someone is coining it or is coining money, you are emphasizing that they are making a lot of money very quickly, often without really earning it</t>
  </si>
  <si>
    <t>to do something very slowly, as if you do not want to finish it.
Dawdle implies not only taking extra time but actually wasting it. A leisurely walk in the woods is one thing, but if you have to get to the theater on time, don't dawdle along the way: you'll miss the curtain!</t>
  </si>
  <si>
    <t>Dislocation has something to do with displacement, moving something from its proper place. A joint dislocation happens when a bone is moved (painfully) out of its normal spot. Human dislocation can occur during war, or after a natural disaster forces people to move away from their homes.</t>
  </si>
  <si>
    <t>If you fixate on something, you become overly focused on it or attached to it. Don't fixate on your grades — try to enjoy the process of learning!</t>
  </si>
  <si>
    <t>Hidebound things — or people — are stuck in the past, unable to change. Your grandmother's hidebound ideas about fashion mean she never leaves the house without a hat and matching purse.</t>
  </si>
  <si>
    <t>An impervious surface is one that can't be penetrated. The word is often followed by "to," as in "His steely personality made him impervious to jokes about his awful haircut."</t>
  </si>
  <si>
    <t xml:space="preserve">If you internalize something such as a belief or a set of values, you make it become part of your attitude or way of thinking. </t>
  </si>
  <si>
    <t>Funerals are lugubrious. So are rainy days and Mondays. Anything that makes you sad, gloomy, or mournful can be called lugubrious.</t>
  </si>
  <si>
    <t xml:space="preserve">If you describe someone as naive, you think they lack experience and so expect things to be easy or people to be honest or kind. </t>
  </si>
  <si>
    <t xml:space="preserve">Ornamental things have no practical function but are put in a place because they look attractive. </t>
  </si>
  <si>
    <t>1. If you do something by proxy, you arrange for someone else to do it for you
2. A proxy is a person or thing that is acting or being used in the place of someone or something else</t>
  </si>
  <si>
    <t>The ramifications of a decision, plan, or event are all its consequences and effects, especially ones which are not obvious at first</t>
  </si>
  <si>
    <t xml:space="preserve">Something that is subjective is based on personal opinions and feelings rather than on facts. </t>
  </si>
  <si>
    <t xml:space="preserve">Someone who is sullen is bad-tempered and does not speak much. </t>
  </si>
  <si>
    <t>To talk carefully without hurting anyone’s feelings, that’s tact. Politicians have tact, which makes them good at speaking about sensitive matters without making fools of themselves. At least, sometimes they have tact.</t>
  </si>
  <si>
    <t>great energy and enthusiasm</t>
  </si>
  <si>
    <t>the quality of being extremely skilled at something</t>
  </si>
  <si>
    <t>An archetype is a perfect example or model of something. If you have long blonde hair, a sparkly ball gown, and a fairy godmother hovering over your head, you're the archetype of a fairytale princess.</t>
  </si>
  <si>
    <t xml:space="preserve">1. A barrage is continuous firing on an area with large guns and tanks. 
2. A barrage of something such as criticism or complaints is a large number of them directed at someone, often in an aggressive way. 
3. If you are barraged by people or things, you have to deal with a great number of people or things you would rather avoid. 
4. A barrage is a structure that is built across a river to control the level of the water. </t>
  </si>
  <si>
    <t>kind, gentle, harmless</t>
  </si>
  <si>
    <t>Deceit is behaviour that is deliberately intended to make people believe something which is not true</t>
  </si>
  <si>
    <t xml:space="preserve">The detractors of a person or thing are people who criticize that person or thing. </t>
  </si>
  <si>
    <t>free from enchantment or illusion</t>
  </si>
  <si>
    <t xml:space="preserve">extreme rudeness without any ability to understand that your behaviour is not acceptable to other people: </t>
  </si>
  <si>
    <t>Something extempore is spontaneous and unscripted. An extempore dance party on the city bus might be fun, while an extempore speech in front of the whole school could be terrifying.</t>
  </si>
  <si>
    <t xml:space="preserve">1. The foreground of a picture or scene you are looking at is the part or area of it that appears nearest to you. 
2. If something or someone is in the foreground, or comes to the foreground, they receive a lot of attention. 
3. To foreground certain features of a situation means to make them the most important part of a description or account. </t>
  </si>
  <si>
    <t>1. A fulcrum is the supporting point of a lever. The first fulcrum you encountered was probably on the playground — right underneath the see-saw.
2. use fulcrum to describe something that plays an essential role or serves as the center of an activity or situation, such as "the fulcrum of the debate."</t>
  </si>
  <si>
    <t>Something that gives a process impetus or an impetus makes it happen or progress more quickly. 
"The grant for building the opera house gave impetus to the city's cultural life"</t>
  </si>
  <si>
    <t xml:space="preserve">If you say that someone is obstreperous, you think that they are noisy and difficult to control. </t>
  </si>
  <si>
    <t xml:space="preserve">If you say that someone overreaches themselves, you mean that they fail at something because they are trying to do more than they are able to. </t>
  </si>
  <si>
    <t>1. Something that is redundant is no longer needed because its job is being done by something else or because its job is no longer necessary or useful
2. If you are made redundant, your employer tells you to leave because your job is no longer necessary or because your employer cannot afford to keep paying you</t>
  </si>
  <si>
    <t>Call a person sentimental if he or she is led more by emotions than by reason. If you have a sentimental attachment to a favorite stuffed animal, you'll probably even bring it to college with you.</t>
  </si>
  <si>
    <t xml:space="preserve">Unintelligible language is impossible to understand, for example because it is not written or pronounced clearly, or because its meaning is confused or complicated. </t>
  </si>
  <si>
    <t xml:space="preserve">To aggrandize someone means to make them seem richer, more powerful, and more important than they really are. To aggrandize a building means to make it more impressive. </t>
  </si>
  <si>
    <t>In sports you compete against the opposing team. At work you compete for a promotion. With siblings, you compete for everything. Compete means to vie for a goal.</t>
  </si>
  <si>
    <t xml:space="preserve">A debacle is an event or attempt that is a complete failure. </t>
  </si>
  <si>
    <t>Someone who is disinterested is not involved in a particular situation or not likely to benefit from it and is therefore able to act in a fair and unselfish way;
disinterested most often means "not biased," whereas uninterested simply means "not interested."</t>
  </si>
  <si>
    <t xml:space="preserve">If something ensues, it happens immediately after another event, usually as a result of it. </t>
  </si>
  <si>
    <t>Fervid can be used to describe something that is physically hot such as “a fervid day in August,” but it is more often used to describe heated emotions like anger, love, or desire.</t>
  </si>
  <si>
    <t>excessive or insincere praise</t>
  </si>
  <si>
    <t xml:space="preserve">If one thing is incidental to another, it is less important than the other thing or is not a major part of it. </t>
  </si>
  <si>
    <t>Use the word latitude to describe how much freedom you have in making choices</t>
  </si>
  <si>
    <t>1. freedom to act within particular limits
2. an amount or period of time that has been lost or wasted
3. Leeway is also additional time or money</t>
  </si>
  <si>
    <t>stingy</t>
  </si>
  <si>
    <t xml:space="preserve">If you have a predilection for something, you have a strong liking for it. </t>
  </si>
  <si>
    <t>Profuse is a word for a lot of something or even way too much — a profuse rainfall is a serious amount of rain.</t>
  </si>
  <si>
    <t xml:space="preserve">1. Someone who is scrupulous takes great care to do what is fair, honest, or morally right. 
2. Scrupulous means thorough, exact, and careful about details. </t>
  </si>
  <si>
    <t>Something that is subtle is not obvious: a professional food taster might be able to perceive subtle differences of flavor that most people don't notice.</t>
  </si>
  <si>
    <t xml:space="preserve">1. If something is agreeable, it is pleasant and you enjoy it. 
2. If someone is agreeable, they are pleasant and try to please people. 
3. If you are agreeable to something or if it is agreeable to you, you are willing to do it or to allow it to happen. </t>
  </si>
  <si>
    <t>To assail is to attack or assault — with throwing stars, fists, words or, less tangibly but just as violently, with troubles or doubts.</t>
  </si>
  <si>
    <t xml:space="preserve">1. A candid photograph of someone is one that was taken when the person did not know they were being photographed.
2. When you are candid about something or with someone, you speak honestly. </t>
  </si>
  <si>
    <t>not considering other people's feelings or safety</t>
  </si>
  <si>
    <t>1. derived from something else
2. unoriginal, copied</t>
  </si>
  <si>
    <t xml:space="preserve">To deviate from something means to start doing something different or not planned, especially in a way that causes problems for others. </t>
  </si>
  <si>
    <t>fully and clearly expressed, leaving no room for ambiguity</t>
  </si>
  <si>
    <t xml:space="preserve">1. An exposition of an idea or theory is a detailed explanation or account of it. 
2. An exposition is an exhibition in which something such as goods or works of art are shown to the public. </t>
  </si>
  <si>
    <t xml:space="preserve">1. If you say that someone grovels, you think they are behaving too respectfully towards another person, for example because they are frightened or because they want something. 
2. If you grovel, you crawl on the ground, for example in order to find something. </t>
  </si>
  <si>
    <t>A herald is a sign of things to come. A chilly day in October is a herald of the coming winter.</t>
  </si>
  <si>
    <t>When you immure someone or something, you put it behind a wall, as in a jail or some other kind of confining space.</t>
  </si>
  <si>
    <t xml:space="preserve">Things that are interchangeable can be exchanged with each other without it making any difference. </t>
  </si>
  <si>
    <t xml:space="preserve">If you describe something as interminable, you are emphasizing that it continues for a very long time and indicating that you wish it was shorter or would stop. </t>
  </si>
  <si>
    <t xml:space="preserve">If one thing takes precedence over another, it is regarded as more important than the other thing. </t>
  </si>
  <si>
    <t xml:space="preserve">A condition, practice, or belief that is prevalent is common. </t>
  </si>
  <si>
    <t xml:space="preserve">Someone who is punctilious is very careful to behave correctly. </t>
  </si>
  <si>
    <t>A skeptic is a person who doesn't believe something is true unless they see evidence.</t>
  </si>
  <si>
    <t xml:space="preserve">A person who is solicitous shows anxious concern for someone or something. </t>
  </si>
  <si>
    <t xml:space="preserve">If you describe something as unexceptional, you mean that it is ordinary, not very interesting, and often disappointing. </t>
  </si>
  <si>
    <t>not able or likely to be disliked or opposed by people, because of not being unpleasant or wrong in any way</t>
  </si>
  <si>
    <t xml:space="preserve">To vanquish someone means to defeat them completely in a battle or a competition. </t>
  </si>
  <si>
    <t xml:space="preserve">1. If something beguiles you, you are charmed and attracted by it. 
2. If someone beguiles you into doing something, they trick you into doing it. </t>
  </si>
  <si>
    <t xml:space="preserve">1. You use blithe to indicate that something is done casually, without serious or careful thought. 
2. Someone who is blithe is cheerful and has no serious problems. </t>
  </si>
  <si>
    <t>American English Origin</t>
  </si>
  <si>
    <t xml:space="preserve">If you debunk a widely held belief, you show that it is false. If you debunk something that is widely admired, you show that it is not as good as people think it is. </t>
  </si>
  <si>
    <t>a slow sad song or piece of music, sometimes played because someone has died</t>
  </si>
  <si>
    <t>that can have more than one interpretation; having two or more meanings; purposely vague, misleading, or ambiguous</t>
  </si>
  <si>
    <t xml:space="preserve">1. People who are frugal or who live frugal lives do not eat much or spend much money on themselves. 
2. A frugal meal is small and not expensive. </t>
  </si>
  <si>
    <t>If you're inclined to do something, you want to do it, you like doing it, and you may even have an inherent talent for doing it. Alternatively, if the sidewalk outside your house is inclined, that means it slopes upward.</t>
  </si>
  <si>
    <t>If you describe a person or their interest in something as morbid, you mean that they are very interested in unpleasant things, especially death, and you think this is strange</t>
  </si>
  <si>
    <t>1. in name or thought, but not in reality
2. very small compared to an expected price or value
3. relating to a noun</t>
  </si>
  <si>
    <t xml:space="preserve">Pessimism is the belief that bad things are going to happen. </t>
  </si>
  <si>
    <t xml:space="preserve">1. A placid person or animal is calm and does not easily become excited, angry, or upset. 
2. A placid place, area of water, or life is calm and peaceful. </t>
  </si>
  <si>
    <t>plæsɪd</t>
  </si>
  <si>
    <t xml:space="preserve">Sporadic occurrences of something happen at irregular intervals. </t>
  </si>
  <si>
    <t>When you subvert something, your words or actions criticize or undermine the usual way of doing something or common values. The girl who wears a tuxedo to the prom might subvert traditional ideas about beauty.</t>
  </si>
  <si>
    <t xml:space="preserve">If you are susceptible to something or someone, you are very likely to be influenced or affected by them. </t>
  </si>
  <si>
    <t>Abide means "to be able to live with or put up with." If you can't abide with something, it means you can't stand it. If you can abide it, it means you can live with it.</t>
  </si>
  <si>
    <t>characterized by or liable to sudden unpredictable changes in attitude or behaviour; impulsive; fickle</t>
  </si>
  <si>
    <t xml:space="preserve">1. A documentary is a television or radio programme, or a film, which shows real events or provides information about a particular subject. 
2. Documentary evidence consists of things that are written down. </t>
  </si>
  <si>
    <t xml:space="preserve">1. An echelon in an organization or society is a level or rank in it. 
2. An echelon is a military formation in which soldiers, vehicles, ships, or aircraft follow each other but are spaced out sideways so that they can see ahead. </t>
  </si>
  <si>
    <t>Inductive reasoning is based on the process of induction (using a particular set of facts or ideas to form a general principle)</t>
  </si>
  <si>
    <t xml:space="preserve">Something that is innocuous is not at all harmful or offensive. </t>
  </si>
  <si>
    <t xml:space="preserve">Levity is behaviour that shows a tendency to treat serious matters in a non-serious way. </t>
  </si>
  <si>
    <t>To be prescient is to have foresight or foreknowledge. We can use this word to describe people themselves, or what they say or do at a given moment.</t>
  </si>
  <si>
    <t xml:space="preserve">1. If a doctor prescribes medicine or treatment for you, he or she tells you what medicine or treatment to have. 
2. If a person or set of laws or rules prescribes an action or duty, they state that it must be carried out. </t>
  </si>
  <si>
    <t>A sadistic person obtains pleasure from hurting other people and making them suffer physically or mentally</t>
  </si>
  <si>
    <t xml:space="preserve">1. Something that is slight is very small in degree or quantity. 
2. A slight person has a fairly thin and delicate looking body. 
3. If you are slighted, someone does or says something that insults you by treating you as if your views or feelings are not important. </t>
  </si>
  <si>
    <t xml:space="preserve">1. If you sustain something, you continue it or maintain it for a period of time. 
2. If you sustain something such as a defeat, loss, or injury, it happens to you. 
3. If something sustains you, it supports you by giving you help, strength, or encouragement. </t>
  </si>
  <si>
    <t>foolish or rash boldness</t>
  </si>
  <si>
    <t xml:space="preserve">If you describe someone or something as vapid, you are critical of them because they are dull and uninteresting. </t>
  </si>
  <si>
    <t>1. appropriate
2. apt to = likely; "This type of weather is apt to be more common in winter"</t>
  </si>
  <si>
    <t>1. If you cite something, you quote it or mention it, especially as an example or proof of what you are saying
2. To cite a person means to officially name them in a legal case
3. If someone is cited, they are officially ordered to appear before a court (subpoena)</t>
  </si>
  <si>
    <t>1. If something is coherent, it is well planned, so that it is clear and sensible and all its parts go well with each other
2. If someone is coherent, they express their thoughts in a clear and calm way, so that other people can understand what they are saying</t>
  </si>
  <si>
    <t>If you say that someone is eccentric, you mean that they behave in a strange way, and have habits or opinions that are different from those of most people</t>
  </si>
  <si>
    <t>When you are enamored by something or someone, you love it. It attracts you. You might say that you're enamored with your new car, or enamored of the new kid in school.</t>
  </si>
  <si>
    <t xml:space="preserve">If you say that something is imminent, especially something unpleasant, you mean it is almost certain to happen very soon. </t>
  </si>
  <si>
    <t xml:space="preserve">If you describe an action as indiscriminate, you are critical of it because it does not involve any careful thought or choice. </t>
  </si>
  <si>
    <t>Reach for the adjective intermittent to describe periodic movement and stopping and starting over a period of time.</t>
  </si>
  <si>
    <t>Mendacity is a tendency to lie.</t>
  </si>
  <si>
    <t>dark or biting artistic style, sense of humor, or psychological outlook</t>
  </si>
  <si>
    <t xml:space="preserve">If something necessitates an event, action, or situation, it makes it necessary. </t>
  </si>
  <si>
    <t xml:space="preserve">If you say that someone personifies a particular thing or quality, you mean that they seem to be a perfect example of that thing, or to have that quality to a very large degree. </t>
  </si>
  <si>
    <t xml:space="preserve">A plaintive sound or voice sounds sad. </t>
  </si>
  <si>
    <t xml:space="preserve">If someone, for example a sick child, is described as plucky, it means that although they are weak, they face their difficulties with courage. </t>
  </si>
  <si>
    <t xml:space="preserve">Someone's remuneration is the amount of money that they are paid for the work that they do. </t>
  </si>
  <si>
    <t>1. If something is extraordinary, remarkable, or one of a kind, you can say it is singular. A singular opportunity to sing onstage with a rock star is a remarkable opportunity.
2. If you describe someone or something as singular, you mean that they are strange or unusual. "Walking through a foggy cemetery might give you a singular feeling––or a feeling that’s odd and peculiar––that ghosts could possibly be real."</t>
  </si>
  <si>
    <t xml:space="preserve">1. If you describe a person or animal as skittish, you mean they are easily made frightened or excited. 
2. Someone who is skittish does not concentrate on anything or take life very seriously. </t>
  </si>
  <si>
    <t xml:space="preserve">1. When you are sober, you are not drunk. 
2. A sober person is serious and thoughtful. 
3. Sober colours and clothes are plain and rather dull. </t>
  </si>
  <si>
    <t>a lack of any honour or morals</t>
  </si>
  <si>
    <t>Something that is daunting makes you feel slightly afraid or worried about dealing with it</t>
  </si>
  <si>
    <t xml:space="preserve">1. If you dismantle a machine or structure, you carefully separate it into its different parts. 
2. To dismantle an organization or system means to cause it to stop functioning by gradually reducing its power or purpose. </t>
  </si>
  <si>
    <t>able to be understood in advance</t>
  </si>
  <si>
    <t>an organized competition consisting of different sporting events</t>
  </si>
  <si>
    <t>Things that are harmonious go together nicely, like notes in music or people that work well as a team.</t>
  </si>
  <si>
    <t xml:space="preserve">To indemnify someone against something bad happening means to promise to protect them, especially financially, if it happens. </t>
  </si>
  <si>
    <t xml:space="preserve">1. If you say that something is limpid, you mean that it is very clear and transparent. 
2. If you describe speech, writing, or music as limpid, you like it because it is clear, simple, and flowing. </t>
  </si>
  <si>
    <t>When something becomes mellow, it gets softer or more relaxed. People are often said to mellow with age, meaning their aggressiveness, their sarcasm, and their short temper have given way to a more easygoing, genial manner.</t>
  </si>
  <si>
    <t xml:space="preserve">A taciturn person does not say very much and can seem unfriendly. </t>
  </si>
  <si>
    <t xml:space="preserve">1. When you undertake a task or job, you start doing it and accept responsibility for it. 
2. If you undertake to do something, you promise that you will do it. </t>
  </si>
  <si>
    <t>If you are beholden to someone, you are in debt to them in some way or you feel that you have a duty to them because they have helped you</t>
  </si>
  <si>
    <t>A catastrophe is an unexpected event that causes great suffering or damage.</t>
  </si>
  <si>
    <t xml:space="preserve">To explicate something means to explain it and make it clear. </t>
  </si>
  <si>
    <t xml:space="preserve">Extraneous things are not relevant or essential to the situation you are involved in or the subject you are talking about. </t>
  </si>
  <si>
    <t>1. to make a substance neutral (= not an acid or an alkali)
2. to stop something or someone from having an effect
3. to kill someone</t>
  </si>
  <si>
    <t xml:space="preserve">1. Overwhelm means “give a person too much of something.” 
also n: Overwhelm is the fact or feeling of not being able to cope or deal with something. 
2. If a group of people overwhelm a place or another group, they gain complete control or victory over them. 
3. If an organization or service is overwhelmed, it is unable to cope with the demand for it. . </t>
  </si>
  <si>
    <t>1. walker
2. ordinary, dull, boring; "a pedestrian movie plot"</t>
  </si>
  <si>
    <t xml:space="preserve">A platitude is a statement which is considered meaningless and boring because it has been made many times before in similar situations. </t>
  </si>
  <si>
    <t xml:space="preserve">If something is predominant, it is more important or noticeable than anything else in a set of people or things. </t>
  </si>
  <si>
    <t xml:space="preserve">1. Someone or something that is prolific is fruitful or highly productive.
- A prolific writer, artist, or composer produces a large number of works. 
- A prolific sports player scores a lot of goals or wins a lot of matches or races. 
- An animal, person, or plant that is prolific produces a large number of babies, young plants, or fruit. 
2. If animals are prolific somewhere, there are a lot of them there. </t>
  </si>
  <si>
    <t>Someone who is veracious speaks the truth — like your brutally honest friend who always lets you know what she thinks about your outfits, your hairstyle, your lasagna recipe, and your taste in movies.
The adjective veracious can be applied not just to people but also to things that are true or accurate, such as "a veracious story" or "a veracious statement."</t>
  </si>
  <si>
    <t xml:space="preserve">If you try to appease someone, you try to stop them from being angry by giving them what they want. </t>
  </si>
  <si>
    <t xml:space="preserve">A beneficent person or thing helps people or results in something good. </t>
  </si>
  <si>
    <t>to interpret the meaning, especially of other people's actions and statements, in a particular way
"What may seem helpful behaviour to you can be construed as interference by others"</t>
  </si>
  <si>
    <t>To entrench is to establish something firmly, so that it would be difficult to change it. Entrench a tent pole in the ground so your tent doesn't fly away, or entrench yourself at your new job so you don’t get fired.</t>
  </si>
  <si>
    <t xml:space="preserve">If something is extant, it is still in existence, in spite of being very old. </t>
  </si>
  <si>
    <t xml:space="preserve">1. You can use global to describe something that happens in all parts of the world or affects all parts of the world. 
2. A global view or vision of a situation is one in which all the different aspects of it are considered. </t>
  </si>
  <si>
    <t>unlucky</t>
  </si>
  <si>
    <t>1. serious, critical
2. If you describe the appearance of someone or something as severe, you do not like its plain appearance and lack of decoration</t>
  </si>
  <si>
    <t>adaptable, flexible</t>
  </si>
  <si>
    <t xml:space="preserve">Something that is arcane is secret or mysterious. </t>
  </si>
  <si>
    <t xml:space="preserve">If a person or thing is bereft of something, they no longer have it. </t>
  </si>
  <si>
    <t>A group of people who do and believe things outside of what society considers normal or typical can be called a counterculture.</t>
  </si>
  <si>
    <t>​energy and enthusiasm to make new things happen or to make things succeed</t>
  </si>
  <si>
    <t xml:space="preserve">If you talk about the efficacy of something, you are talking about its effectiveness and its ability to do what it is supposed to. </t>
  </si>
  <si>
    <t>someone who says they have particular moral beliefs but behaves in way that shows these are not sincere</t>
  </si>
  <si>
    <t>someone who is not an expert in or does not have a detailed knowledge of a particular subject</t>
  </si>
  <si>
    <t>A malleable metal is able to be pounded or pressed into various shapes, and a malleable personality is capable of being changed or trained. It's easier to learn when you're young and malleable.</t>
  </si>
  <si>
    <t>Someone who is prudent is sensible and careful.
"It is always prudent to start any exercise programme gradually at first"</t>
  </si>
  <si>
    <t>To take refuge is to find a safe place. You might take refuge under a bridge in a hail storm, or in a basement during a tornado.</t>
  </si>
  <si>
    <t>1. When you row, you sit in a boat and make it move through the water by using oars. If you row someone somewhere, you take them there in a boat, using oars; also a noun
2. controversy or dispute
3. noisy argument
4. loud noise</t>
  </si>
  <si>
    <t xml:space="preserve">1. You say that people are vocal when they speak forcefully about something that they feel strongly about. 
2. Vocal means involving the use of the human voice, especially in singing. </t>
  </si>
  <si>
    <t xml:space="preserve">If you say that someone is voluble, you mean that they talk a lot with great energy and enthusiasm. </t>
  </si>
  <si>
    <t>Someone who is zealous spends a lot of time or energy in supporting something that they believe in very strongly, especially a political or religious ideal</t>
  </si>
  <si>
    <t xml:space="preserve">If you describe people or their voices as clamorous, you mean they are talking loudly or shouting. </t>
  </si>
  <si>
    <t>Like its linguistic relative, error, the adjective erratic means "deviating from the norm," or "wrong." It also implies behavior or qualities that are unpredictable or odd.</t>
  </si>
  <si>
    <t xml:space="preserve">If you say that something is futile, you mean there is no point in doing it, usually because it has no chance of succeeding. </t>
  </si>
  <si>
    <t xml:space="preserve">If you describe someone, especially a young person, as gawky, you mean they are awkward and clumsy. </t>
  </si>
  <si>
    <t>A grievance is a complaint. It can be formal, as when an employee files a grievance because of unsafe working conditions, or more of an emotional matter, like a grievance against an old friend who betrayed you.</t>
  </si>
  <si>
    <t xml:space="preserve">If you describe something as meretricious, you disapprove of it because although it looks attractive it is actually of little value. </t>
  </si>
  <si>
    <t>a long speech by one person</t>
  </si>
  <si>
    <t xml:space="preserve">1. If you have persistence, you continue to do something even though it is difficult or other people are against it. 
2. The persistence of something, especially something bad, is the fact of its continuing to exist for a long time. </t>
  </si>
  <si>
    <t>1. the sport of racing in cars or on motorcycles, especially over long distances on public roads
2. causing people to come together in order to support something or make a shared effort</t>
  </si>
  <si>
    <t>1. Reins are the thin leather straps attached round a horse's neck which are used to control the horse
2. power and control of a country or organization</t>
  </si>
  <si>
    <t>being skilled at getting what you want through manipulation or trickery</t>
  </si>
  <si>
    <t>v: lose hope; also n</t>
  </si>
  <si>
    <t xml:space="preserve">Divergent things are different from each other. </t>
  </si>
  <si>
    <t xml:space="preserve">You describe something such as a quality as enviable when someone else has it and you wish that you had it too. </t>
  </si>
  <si>
    <t>You use erstwhile to describe someone that used to be the type of person indicated, but no longer is</t>
  </si>
  <si>
    <t xml:space="preserve">If you describe someone or something as estimable, you mean that they deserve admiration. </t>
  </si>
  <si>
    <t xml:space="preserve">1. A hospitable person is friendly, generous, and welcoming to guests or people they have just met. 
2. A hospitable climate or environment is one that encourages the existence or development of particular people or things. </t>
  </si>
  <si>
    <t xml:space="preserve">Someone who is morose is miserable, bad-tempered, and not willing to talk very much to other people. </t>
  </si>
  <si>
    <t>A mutiny is a refusal by people, usually soldiers or sailors, to continue obeying a person in authority;
also v</t>
  </si>
  <si>
    <t>Someone who is parsimonious is very unwilling to spend money</t>
  </si>
  <si>
    <t xml:space="preserve">1. Someone who is partisan strongly supports a particular person or cause, often without thinking carefully about the matter. 
2. Partisans are ordinary people, rather than soldiers, who join together to fight enemy soldiers who are occupying their country. </t>
  </si>
  <si>
    <t xml:space="preserve">1. A staple food, product, or activity is one that is basic and important in people's everyday lives. 
2. A staple is something that forms an important part of something else. 
"staple of American journalism"
3. Staples are small pieces of bent wire that are used mainly for holding sheets of paper together firmly. You put the staples into the paper using a device called a stapler. 
4. If you staple something, you fasten it to something else or fix it in place using staples. </t>
  </si>
  <si>
    <t xml:space="preserve">If you say that an argument, point of view, or situation is tenable, you believe that it is reasonable and could be successfully defended against criticism. </t>
  </si>
  <si>
    <t>a very great success, achievement, or victory (= when you win a war, fight, or competition), or a feeling of great satisfaction or pleasure caused by this.
Triumph can be a noun or a verb, so you can have a triumph after the big game when you triumph over your opponents.</t>
  </si>
  <si>
    <t>not able to be proved to be true</t>
  </si>
  <si>
    <t xml:space="preserve">1. The attainment of an aim is the achieving of it. 
2. An attainment is a skill you have learned or something you have achieved. </t>
  </si>
  <si>
    <t>To coddle someone means to treat them too kindly or protect them too much</t>
  </si>
  <si>
    <t xml:space="preserve">To contravene a law or rule means to do something that is forbidden by the law or rule. </t>
  </si>
  <si>
    <t>the action of moving away from the main subject you are writing or talking about and writing or talking about something else</t>
  </si>
  <si>
    <t xml:space="preserve">1. If you say that someone is fastidious, you mean that they pay great attention to detail because they like everything to be very neat, accurate, and in good order. 
2. If you say that someone is fastidious, you mean that they are concerned about keeping clean to an extent that many people consider to be excessive. </t>
  </si>
  <si>
    <t>seriousness; "I don't think you understand the gravity of the situation", "here was an appealing gravity to everything she said."</t>
  </si>
  <si>
    <t>Hortatory is a word used to describe a behavior or action that is encouraging. In the face of great economic crisis, the president's speech takes on a hortatory or encouraging tone, at a time when people most need the reassurance.</t>
  </si>
  <si>
    <t>1. to show something clearly, through signs or actions: 
"he workers chose to manifest their dissatisfaction in a series of strikes."
2. to make something happen by imagining it and consciously thinking that it will happen
3. easily noticed or obvious
"manifest lack of interest"
4. a list of people and goods carried on a ship or plane</t>
  </si>
  <si>
    <t>gradually increasing: (ex: mouting debts)</t>
  </si>
  <si>
    <t>1. To nullify something means to make it have no effect
2. To nullify a legal decision or procedure means to declare that it is not legally valid</t>
  </si>
  <si>
    <t>show-off, to impress people</t>
  </si>
  <si>
    <t>When you need a word that's deeper than "deep," consider profound. A philosopher is likely to make many profound pronouncements.</t>
  </si>
  <si>
    <t xml:space="preserve">If you describe someone's behaviour as unrestrained, you mean that it is extreme or intense, for example because they are expressing their feelings strongly or loudly. </t>
  </si>
  <si>
    <t xml:space="preserve">If you describe a person or their comments as vacuous, you are critical of them because they lack intelligent thought or ideas. </t>
  </si>
  <si>
    <t xml:space="preserve">Someone who is wistful is rather sad because they want something and know that they cannot have it. </t>
  </si>
  <si>
    <t>1. A belligerent person is hostile and aggressive. 
2. The belligerents in a war are the countries or groups that are fighting each other. 
bellum = war (in latin)</t>
  </si>
  <si>
    <t xml:space="preserve">If you describe a mixture of sounds as cacophonous, you mean that they are loud and unpleasant. </t>
  </si>
  <si>
    <t xml:space="preserve">If you castigate someone or something, you speak to them angrily or criticize them severely. </t>
  </si>
  <si>
    <t>1. A Catholic is a member of the Catholic Church. 
2. If you describe a collection of things or people as catholic, you are emphasizing that they are very varied. 
"He was a man of catholic tastes, a lover of grand opera, history and the fine arts."</t>
  </si>
  <si>
    <t>Mythological</t>
  </si>
  <si>
    <t>a statue or painting representing the Roman god of love, shown as a naked baby boy with wings</t>
  </si>
  <si>
    <t xml:space="preserve">If you say that someone is being facetious, you are criticizing them because they are making humorous remarks or saying things that they do not mean in a situation where they ought to be serious. </t>
  </si>
  <si>
    <t>obstruct, stop, block</t>
  </si>
  <si>
    <t>very difficult or impossible to control, manage, or solve</t>
  </si>
  <si>
    <t xml:space="preserve">If you lambaste someone, you criticize them severely, usually in public. </t>
  </si>
  <si>
    <t xml:space="preserve">If you describe someone as languid, you mean that they show little energy or interest and are very slow and casual in their movements. </t>
  </si>
  <si>
    <t>1. Someone who behaves in a prodigal way spends a lot of money carelessly without thinking about what will happen when they have none left.
2. You can describe someone as a prodigal son or daughter if they leave their family or friends, often after a period of behaving badly, and then return at a later time as a better person</t>
  </si>
  <si>
    <t>Someone or something that is quiescent is quiet and inactive</t>
  </si>
  <si>
    <t>A spartan lifestyle or existence is very simple or strict, with no luxuries</t>
  </si>
  <si>
    <t>1. If something is surmounted by a particular thing, that thing is on top of it
2. If you surmount a problem or difficulty, you deal successfully with it</t>
  </si>
  <si>
    <t xml:space="preserve">If you describe something such as a job, task, or situation as tedious, you mean it is boring and rather frustrating. </t>
  </si>
  <si>
    <t>a person who is able to imagine how a country, society, industry, etc., will or should develop in the future and to plan in a suitable way</t>
  </si>
  <si>
    <t>1. bottom, main place, military base, customer base, necessary part, main part
2. Base behaviour is behaviour that is immoral or dishonest</t>
  </si>
  <si>
    <t>If you gloat, you express great satisfaction at the misfortune of others. If your team scores a big win, it would be better not to gloat. Be happy for your win, but don't laugh at the other team's loss.</t>
  </si>
  <si>
    <t xml:space="preserve">1. If you say that something is lurid, you are critical of it because it involves a lot of violence, sex, or shocking detail. 
2. If you describe something as lurid, you do not like it because it is very brightly coloured. </t>
  </si>
  <si>
    <t xml:space="preserve">If someone or something is preeminent in a group, they are more important, powerful, or capable than other people or things in the group. </t>
  </si>
  <si>
    <t xml:space="preserve">If one thing prefigures another, it is a first indication which suggests or determines that the second thing will happen. </t>
  </si>
  <si>
    <t>To reinvent something is to completely change or remake it so thoroughly that it seems brand new. The driverless car is going to reinvent the way people think about driving.</t>
  </si>
  <si>
    <t>If you resent someone or something, you feel bitter and angry about them</t>
  </si>
  <si>
    <t>1. To sever something means to cut completely through it or to cut it completely off
2. If you sever a relationship or connection that you have with someone, you end it suddenly and completely</t>
  </si>
  <si>
    <t xml:space="preserve">1. Transient is used to describe a situation that lasts only a short time or is constantly changing. 
2. Transients are people who stay in a place for only a short time and then move somewhere else. </t>
  </si>
  <si>
    <t>Unorthodox describes something that goes against the usual ways of doing things.</t>
  </si>
  <si>
    <t>barren is often used to describe an area of land that lacks any signs of life. A barren wilderness is dry and empty, with no foliage or twittering birds to be found. An old-fashioned and unflattering word for a woman who is unable to have children is barren.</t>
  </si>
  <si>
    <t xml:space="preserve">If you are competent to do something, you have the skills, abilities, or experience necessary to do it well. </t>
  </si>
  <si>
    <t>1. If something crumbles, or if you crumble it, it breaks into a lot of small pieces
2. If someone crumbles, they stop resisting or trying to win, or become unable to cope</t>
  </si>
  <si>
    <t xml:space="preserve">Egalitarian means supporting or following the idea that all people are equal and should have the same rights and opportunities. </t>
  </si>
  <si>
    <t>promote, raise, advance, upgrade</t>
  </si>
  <si>
    <t xml:space="preserve">If you describe someone as imperturbable, you mean that they remain calm, even in disturbing or dangerous situations. </t>
  </si>
  <si>
    <t>impossible to avoid</t>
  </si>
  <si>
    <t xml:space="preserve">Ingrained habits and beliefs are difficult to change or remove. </t>
  </si>
  <si>
    <t xml:space="preserve">1. If someone such as a sick, mentally ill, or old person is institutionalized, they are sent to stay in a special hospital or home, usually for a long period. 
2. To institutionalize something means to establish it as part of a culture, social system, or organization. </t>
  </si>
  <si>
    <t xml:space="preserve">If you say that something is inviting, you mean that it has good qualities that attract you or make you want to experience it. </t>
  </si>
  <si>
    <t>1. A lull is a period of quiet or calm in a longer period of activity or excitement
2. If you are lulled into feeling safe, someone or something causes you to feel safe at a time when you are not safe
3. If someone or something lulls you, they cause you to feel calm or sleepy</t>
  </si>
  <si>
    <t xml:space="preserve">A miscreant is someone who has done something illegal or behaved badly. </t>
  </si>
  <si>
    <t xml:space="preserve">If you mollify someone, you do or say something to make them less upset or angry. </t>
  </si>
  <si>
    <t>Old French/Latin Origin</t>
  </si>
  <si>
    <t>1. Novelty is a newness or refreshing quality. Many college freshmen enjoy the novelty of living on their own — until it comes time to do that first load of laundry.
2. novelty is also a term for a small toy or trinket, usually mass-produced. Novelty shops sell all kinds of funny knickknacks, from personalized flashlight key chains to stuffed singing hamsters.</t>
  </si>
  <si>
    <t>very dangerous</t>
  </si>
  <si>
    <t xml:space="preserve">If you placate someone, you do or say something to make them stop feeling angry. </t>
  </si>
  <si>
    <t xml:space="preserve">If things proliferate, they increase in number very quickly. </t>
  </si>
  <si>
    <t xml:space="preserve">1. If you reproach someone/If you look at or speak to someone with reproach, you say or show that you are disappointed, upset, or angry because they have done something wrong. 
2. If you reproach yourself, you think with regret about something you have done wrong. 
3. If you consider someone's actions or behaviour to be a reproach to a group of people, you consider them to be harmful or insulting to that group. </t>
  </si>
  <si>
    <t>A satirical drawing, piece of writing, or comedy show is one in which humour or exaggeration is used to criticize something</t>
  </si>
  <si>
    <t xml:space="preserve">1. A sensational result, event, or situation is so remarkable that it causes great excitement and interest. 
2. You can describe something as sensational when you think that it is extremely good. 
3. You can describe stories or reports as sensational if you disapprove of them because they present facts in a way that is intended to cause feelings of shock, anger, or excitement. </t>
  </si>
  <si>
    <t>1. Something that is sinuous moves with smooth twists and turns
"...the silent, sinuous approach of a snake through the long grass"
2. Something that is sinuous has many smooth turns and curves
"I drove along sinuous mountain roads"</t>
  </si>
  <si>
    <t xml:space="preserve">1. You use token to describe things or actions which are small or unimportant, but are meant to show particular intentions or feelings which may not be sincere. Ex: "token gesture"
2. If you give something to a person or do something for them as a token of your feelings, you give it or do it as a way of expressing those feelings. 
3. A token is a piece of paper or card or metal (that can be used instead of money) that can be exchanged for goods, either in a particular shop or as part of a special offer. </t>
  </si>
  <si>
    <t xml:space="preserve">Something that transcends normal limits or boundaries goes beyond them, because it is more significant than them. </t>
  </si>
  <si>
    <t xml:space="preserve">If something unsettles you, it makes you feel rather worried or uncertain. </t>
  </si>
  <si>
    <t xml:space="preserve">If something is in abeyance, it is not operating or being used at the present time. </t>
  </si>
  <si>
    <t>1. {the usual meaning I know}
2 If you betray a feeling or quality, you show it without intending to</t>
  </si>
  <si>
    <t>1. A compliment is a polite remark that you say to someone to show that you like their appearance, appreciate their qualities, or approve of what they have done. 
2. If you compliment someone, you pay them a compliment. 
3. If you consider something that a person says or does as a compliment, it convinces you of your own good qualities, or that the person appreciates you. 
4. You can refer to your compliments when you want to express thanks, good wishes, or respect to someone in a formal way. "My compliments to the chef."</t>
  </si>
  <si>
    <t xml:space="preserve">If someone or something complies with an order or set of rules, they are in accordance with what is required or expected. </t>
  </si>
  <si>
    <t>Someone who is duplicitous is almost like two people, saying one thing but then doing something very different, even contradictory. Someone who is duplicitous can also be called "two-faced," a vivid way to remember that this person shouldn't be trusted or taken at face value.</t>
  </si>
  <si>
    <t xml:space="preserve">If you say that someone or something is fallible, you mean that they are not perfect and are likely to make mistakes or to fail in what they are doing. </t>
  </si>
  <si>
    <t xml:space="preserve">1. If something flourishes, it is successful, active, or common, and developing quickly and strongly. 
2. If a plant or animal flourishes, it grows well or is healthy because the conditions are right for it. 
3. If you flourish an object, you wave it about in a way that makes people notice it. 
4. If you do something with a flourish, you do in a showy way so that people notice it. 
5. A flourish is a curly line or piece of decoration. </t>
  </si>
  <si>
    <t xml:space="preserve">Heterodox beliefs, opinions, or ideas are different from the accepted or official ones. </t>
  </si>
  <si>
    <t>A hypothesis is an idea which is suggested as a possible explanation for a particular situation or condition, but which has not yet been proved to be correct</t>
  </si>
  <si>
    <t xml:space="preserve">1. If you accuse someone of being indifferent to something, you mean that they have a complete lack of interest in it. 
2. If you describe something or someone as indifferent, you mean that their standard or quality is not very good, and often quite bad. </t>
  </si>
  <si>
    <t xml:space="preserve">If you say that someone or something is indispensable, you mean that they are absolutely essential and other people or things cannot function without them. </t>
  </si>
  <si>
    <t>having few moral principles and having sexual relationships with many people</t>
  </si>
  <si>
    <t xml:space="preserve">Something that is modish is fashionable. </t>
  </si>
  <si>
    <t xml:space="preserve">1. A picturesque place is attractive and interesting, and has no ugly or modern buildings. 
2. Picturesque words and expressions are unusual or poetic. </t>
  </si>
  <si>
    <t xml:space="preserve">A salutary experience is good for you, even though it may seem difficult or unpleasant at first. </t>
  </si>
  <si>
    <t xml:space="preserve">Slovenly people are careless, untidy, or inefficient. </t>
  </si>
  <si>
    <t xml:space="preserve">1. Turbulent water or air contains strong currents which change direction suddenly. 
2. A turbulent time, place, or relationship is one in which there is a lot of change, confusion, and disorder. </t>
  </si>
  <si>
    <t xml:space="preserve">If you censure someone for something that they have done, you tell them that you strongly disapprove of it. </t>
  </si>
  <si>
    <t>A person who's recovering from an illness is a convalescent. As a convalescent recovering from surgery, your grandmother would probably love some company to cheer her and help pass the time.</t>
  </si>
  <si>
    <t xml:space="preserve">1. A demanding job or task requires a lot of your time, energy, or attention. 
2. People who are demanding are not easily satisfied or pleased. </t>
  </si>
  <si>
    <t xml:space="preserve">Someone who is disingenuous is slightly dishonest and insincere in what they say. </t>
  </si>
  <si>
    <t>same as egoist; a person who considers himself or herself to be better or more important than other people</t>
  </si>
  <si>
    <t xml:space="preserve">1. Fallow land has been dug or ploughed but nothing has been planted in it, especially so that its quality or strength has a chance to improve. 
2. A fallow period is a time when very little is being achieved. </t>
  </si>
  <si>
    <t xml:space="preserve">If you describe someone as impudent, you mean they are rude or disrespectful, or do something they have no right to do. </t>
  </si>
  <si>
    <t xml:space="preserve">If you impugn something such as someone's motives or integrity, you imply that they are not entirely honest or honourable. </t>
  </si>
  <si>
    <t>the feeling of having little energy or of being unable or unwilling to do anything</t>
  </si>
  <si>
    <t xml:space="preserve">If you say that a word or name is a misnomer, you mean that it describes something incorrectly. </t>
  </si>
  <si>
    <t>1. not known to many people
2. not clear and difficult to understand or see
3. to make something (2); "obscured his view"</t>
  </si>
  <si>
    <t xml:space="preserve">If someone perpetrates a crime or any other immoral or harmful act, they do it. </t>
  </si>
  <si>
    <t xml:space="preserve">A proclivity is a tendency to behave in a particular way or to like a particular thing, often a bad way or thing. </t>
  </si>
  <si>
    <t>to return someone to a healthy or usual condition or way of living, or to return something to good condition</t>
  </si>
  <si>
    <t>Relegate means "to assign to a lower position." If the quarterback of the football team stops making decent throws, he might be relegated to the position of benchwarmer.</t>
  </si>
  <si>
    <t xml:space="preserve">1. Unlike pants, which fully cover each of your legs separately, a skirt is basically a single piece of fabric covering part of your legs.
2. As a verb, skirt means "go around," like when you skirt a city instead of driving straight through it. The word outskirts, "outer parts or fringes" is related.
3. If you skirt a problem or question, you avoid dealing with it. </t>
  </si>
  <si>
    <t>strict</t>
  </si>
  <si>
    <t>1. miserable/hopeless
2. having no self respect</t>
  </si>
  <si>
    <t xml:space="preserve">1. existing as an idea, feeling, or quality, not as a material object: 
2. An abstract argument or discussion is general and not based on particular examples
3. Abstract art makes use of shapes and patterns rather than showing people or things. 
4. An abstract of an article, document, or speech is a short piece of writing that gives the main points of it. 
5. to remove or separate someone or something from a place or context (= the situation, facts, words, etc. that exist around something): </t>
  </si>
  <si>
    <t xml:space="preserve">A copious amount of something is a large amount of it. </t>
  </si>
  <si>
    <t>Covert means secret or hidden. It comes from the Old French covert, or "covered." A covert bag of chips you've snuck into the movie theater might literally be covered, hidden under your coat, while a covert plan to throw your dad a surprise party is just a secret.</t>
  </si>
  <si>
    <t xml:space="preserve">Something that is dormant is not active, growing, or being used at the present time but is capable of becoming active later on. </t>
  </si>
  <si>
    <t xml:space="preserve">to instruct in such a way as to improve, enlighten, or uplift morally, spiritually, or intellectually </t>
  </si>
  <si>
    <t>to make very happy or proud
"news to elate the hearer"</t>
  </si>
  <si>
    <t xml:space="preserve">If you describe someone's behaviour as furtive, you disapprove of them behaving as if they want to keep something secret or hidden. </t>
  </si>
  <si>
    <t xml:space="preserve">1. If you imitate someone, you copy what they do or produce. 
2. If you imitate a person or animal, you copy the way they speak or behave, usually because you are trying to be funny. </t>
  </si>
  <si>
    <t xml:space="preserve">1. v: If you lampoon someone or something, you criticize them very strongly, using humorous means. 
2. n: A lampoon is a piece of writing or speech which criticizes someone or something very strongly, using humorous means. </t>
  </si>
  <si>
    <t>clumsy, but with a hint of overall incompetence; can mean all kinds of clumsy. Trip over your words? You are verbally maladroit. Stumble in social situations? You're socially maladroit.</t>
  </si>
  <si>
    <t xml:space="preserve">1. If you malign someone, you badmouth them
2. If something is malign, it causes harm. </t>
  </si>
  <si>
    <t xml:space="preserve">A munificent person is very generous. </t>
  </si>
  <si>
    <t xml:space="preserve">Something that is poignant affects you deeply and makes you feel sadness or regret. </t>
  </si>
  <si>
    <t>Something that is a sham is not real or is not really what it seems to be</t>
  </si>
  <si>
    <t xml:space="preserve">1. If you describe someone as timorous, you mean that they are frightened and nervous of other people and situations. 
2. If you describe someone's actions or decisions as timorous, you are criticizing them for being too cautious or weak, because the person is not very confident and is worried about the possible consequences of their actions. </t>
  </si>
  <si>
    <t>(especially of a positive feeling) not spoiled by any amount of negative feeling; pure</t>
  </si>
  <si>
    <t xml:space="preserve">Vestigial is used to describe the small amounts of something that still remain of a larger or more important thing. </t>
  </si>
  <si>
    <t xml:space="preserve">If you alleviate pain, suffering, or an unpleasant condition, you make it less intense or severe. </t>
  </si>
  <si>
    <t xml:space="preserve">If a person has an animus against someone, they have a strong feeling of dislike for them, even when there is no good reason for it. </t>
  </si>
  <si>
    <t xml:space="preserve">If something is an anomaly, it is different from what is usual or expected. </t>
  </si>
  <si>
    <t>kəˈdʒəʊl</t>
  </si>
  <si>
    <t xml:space="preserve">Corporeal means involving or relating to the physical world rather than the spiritual world. </t>
  </si>
  <si>
    <t xml:space="preserve">If you are discomfited by something, it causes you to feel slightly embarrassed or confused. </t>
  </si>
  <si>
    <t xml:space="preserve">If something disorients you, you lose your sense of direction, or you generally feel lost and uncertain, for example because you are in an unfamiliar environment. </t>
  </si>
  <si>
    <t xml:space="preserve">To eradicate something means to get rid of it completely. </t>
  </si>
  <si>
    <t xml:space="preserve">1. If you use a word or expression in a figurative sense, you use it with a more abstract or imaginative meaning than its ordinary literal one. </t>
  </si>
  <si>
    <t>If you fluster someone, you make them feel nervous and confused by rushing them and preventing them from concentrating on what they are doing. 
"She was so flustered that she forgot her reply"</t>
  </si>
  <si>
    <t>in a way that makes you feel as if your sense of balance is not good and that you may fall down</t>
  </si>
  <si>
    <t xml:space="preserve">Polemical means arguing very strongly for or against a belief or opinion. </t>
  </si>
  <si>
    <t xml:space="preserve">Something that is prodigious is very large or impressive. </t>
  </si>
  <si>
    <t>Someone who is retiring is shy and avoids meeting other people</t>
  </si>
  <si>
    <t>Sound can also mean "solid or good." Sound advice is good advice. Sound investments are secure. When you have a sound sleep, it's restful and uninterrupted</t>
  </si>
  <si>
    <t xml:space="preserve">If you describe someone as stingy, you are criticizing them for being unwilling to spend money. </t>
  </si>
  <si>
    <t>When you talk about substantive change, you mean change that really makes a difference. After a substantive discussion, you will have an in-depth understanding of what you are talking about.
When something is substantive, there is a lot of there there, be it meaning or volume of things. The word brings a serious tone. While it is often used to talk about problems and their solutions, a big steak dinner could be called substantive as could a very long piece of writing. In any case, you use it when there is a lot of substance involved.</t>
  </si>
  <si>
    <t xml:space="preserve">1. If someone absconds from somewhere such as a prison, they escape from it or leave it without permission. 
2. If someone absconds with something, they leave and take it with them, although it does not belong to them. </t>
  </si>
  <si>
    <t xml:space="preserve">When you are apprised of something, someone tells you about it. </t>
  </si>
  <si>
    <t>1. When you canonize a person, you put him on a pedestal — in other words, you think he's so wonderful that he can do no wrong.
2. (in the Roman Catholic Church) to announce officially that a dead person is a saint</t>
  </si>
  <si>
    <t xml:space="preserve">having or showing an alert mind </t>
  </si>
  <si>
    <t>When people dissemble, they hide their real intentions or emotions</t>
  </si>
  <si>
    <t xml:space="preserve">If writing or speech is indecipherable, you cannot understand what the words are. </t>
  </si>
  <si>
    <t>1. To lure someone means to trick them into a particular place or to trick them into doing something that they should not do
2. A lure is an object which is used to attract animals so that they can be caught
3. A lure is an attractive quality that something has, or something that you find attractive</t>
  </si>
  <si>
    <t xml:space="preserve">1.  Food that is piquant has a pleasantly spicy taste. 
2. Something that is piquant is interesting and exciting. </t>
  </si>
  <si>
    <t>If you’ve heard of a movie synopsis, which gives an overview of the plot, you can guess what synoptic means: summarizing. At the end of your 900-page treatise on morals, try to give a synoptic conclusion to drive your ideas home.</t>
  </si>
  <si>
    <t>Urbane people are sophisticated, polished, cultured, refined. Spend enough time in an urban setting–-going to concerts and museums, spending time in crowds––and you'll be urbane too.</t>
  </si>
  <si>
    <t xml:space="preserve">1. If you describe someone as artful, you mean that they are clever and skilful at achieving what they want, especially by deceiving people. 
2. If you use artful to describe the way someone has done or arranged something, you approve of it because it is clever or elegant. </t>
  </si>
  <si>
    <t xml:space="preserve">A celebrated person or thing is famous and much admired. </t>
  </si>
  <si>
    <t xml:space="preserve">A chivalrous man is polite, kind, and unselfish, especially towards women. </t>
  </si>
  <si>
    <t xml:space="preserve">A conflagration is a fire that burns over a large area and destroys property. </t>
  </si>
  <si>
    <t>If you describe something as encyclopedic, you mean that it is very full, complete, and thorough in the amount of knowledge or information that it has</t>
  </si>
  <si>
    <t>unsystematic, disorderly, disorganized</t>
  </si>
  <si>
    <t>If you loathe someone or something, you hate them very much</t>
  </si>
  <si>
    <t xml:space="preserve">so obvious that it can easily be seen or known, or (of a feeling) so strong that it seems as if it can be touched or physically felt: </t>
  </si>
  <si>
    <t>A stint is a period of time which you spend doing a particular job or activity or working in a particular place.
"He is returning to this country after a five-year stint in Hong Kong."</t>
  </si>
  <si>
    <t xml:space="preserve">If you describe a person or their actions as unwitting, you mean that the person does something or is involved in something without realizing it. </t>
  </si>
  <si>
    <t>having two opposing feelings at the same time, or being uncertain about how you feel</t>
  </si>
  <si>
    <t xml:space="preserve">If you amend something that has been written such as a law, or something that is said, you change it in order to improve it or make it more accurate. </t>
  </si>
  <si>
    <t>If something astounds you, you are very surprised by it</t>
  </si>
  <si>
    <t>1. polish/to rub metal until it is smooth and shiny
2. If you burnish something such as your public image, you take action to improve it and make it more attractive</t>
  </si>
  <si>
    <t>1. If you calibrate an instrument or tool, you mark or adjust it so that you can use it to measure something accurately. 
2. If you calibrate something, you measure it accurately</t>
  </si>
  <si>
    <t>Something that is monotonous is very boring because it has a regular, repeated pattern which never changes</t>
  </si>
  <si>
    <t xml:space="preserve">To obfuscate something means to deliberately make it seem confusing and difficult to understand. </t>
  </si>
  <si>
    <t xml:space="preserve">If you refer to someone as a paragon, you mean that they are perfect or have a lot of a good quality. </t>
  </si>
  <si>
    <t xml:space="preserve">A providential event is lucky because it happens at exactly the right time. </t>
  </si>
  <si>
    <t>1. If something puzzles you, you do not understand it and feel confused
2. If you puzzle over something, you try hard to think of the answer to it or the explanation for it</t>
  </si>
  <si>
    <t xml:space="preserve">not able to be perceived, noticed, or discovered </t>
  </si>
  <si>
    <t xml:space="preserve">1. Something that is universal relates to everyone in the world or everyone in a particular group or society. 
2. Something that is universal affects or relates to every part of the world or the universe. 
3. A universal is a principle that applies in all cases or a characteristic that is present in all members of a particular class. </t>
  </si>
  <si>
    <t>describes someone who is a wag — the kind of hilarious person who keeps you entertained with witty stories and jokes.</t>
  </si>
  <si>
    <t>Someone wayward is a little stubborn and independent — they're determined to find their own way - often, going against what others want you to do - and are not easily controlled.</t>
  </si>
  <si>
    <t>1. Weary as an adjective means "very tired or worn out," like weary students who finished a long week of studying and taking tests.
2. As a verb, weary means "to exhaust or wear out," like when the children you are babysitting weary you with their game of running away every time you tell them to get ready to leave the park.</t>
  </si>
  <si>
    <t xml:space="preserve">Someone or something that is august is dignified and impressive. </t>
  </si>
  <si>
    <t xml:space="preserve">1. If you have to contend with a problem or difficulty, you have to deal with it or overcome it. 
2. If you contend that something is true, you state or argue that it is true. 
3. If you contend with someone for something such as power, you compete with them to try to get it. </t>
  </si>
  <si>
    <t xml:space="preserve">1. Speech or writing that is eloquent is well expressed and effective in persuading people. 
2. A person who is eloquent is good at speaking and able to persuade people. </t>
  </si>
  <si>
    <t>1. Resistance to or protection against a specified disease; power to resist infection, esp. as a result of antibody formation
2. Exemption or freedom from something burdensome or otherwise unpleasant, as a legal obligation</t>
  </si>
  <si>
    <t>1. If you say that you are indebted to someone for something, you mean that you are very grateful to them for something
2. Indebted countries, organizations, or people are ones that owe money to other countries, organizations, or people</t>
  </si>
  <si>
    <t xml:space="preserve">1. If something is a passable effort or of passable quality, it is satisfactory or quite good. 
2. If a road is passable, it is not completely blocked, and people can still use it. </t>
  </si>
  <si>
    <t xml:space="preserve">If a problem or difficulty is unresolved, no satisfactory solution has been found to it. </t>
  </si>
  <si>
    <t xml:space="preserve">1. Cognizance is knowledge or understanding. 
2. If you take cognizance of something, you take notice of it or acknowledge it. </t>
  </si>
  <si>
    <t xml:space="preserve">If something is discernible, you can see it or recognize that it exists. </t>
  </si>
  <si>
    <t xml:space="preserve">Something that is efficacious is effective. </t>
  </si>
  <si>
    <t>When you elicit, you're bringing out a response of some sort. A good comedian elicits a lot of laughs.</t>
  </si>
  <si>
    <t xml:space="preserve">1. If you engage in an activity, you do it or are actively involved with it. 
2. If something engages you or your attention or interest, it keeps you interested in it and thinking about it. 
3. If you engage someone in conversation, you have a conversation with them. 
4. If you engage with something or with a group of people, you get involved with that thing or group and feel that you are connected with it or have real contact with it. 
5. If you engage someone to do a particular job, you appoint them to do it. 
6. When a part of a machine or other mechanism engages or when you engage it, it moves into a position where it fits into something else. 
7. When a military force engages the enemy, it attacks them and starts a battle. </t>
  </si>
  <si>
    <t xml:space="preserve">Homogeneous is used to describe a group or thing which has members or parts that are all the same. </t>
  </si>
  <si>
    <t xml:space="preserve">1. If you say that someone or something is a liability, you mean that they cause a lot of problems or embarrassment. 
2. A company's or organization's liabilities are the sums of money which it owes. </t>
  </si>
  <si>
    <t>If someone is malevolent, they wish evil on others</t>
  </si>
  <si>
    <t>To protract something is to stretch it out. If you have a disagreement with a friend that you continue for weeks and weeks, you are protracting the argument.</t>
  </si>
  <si>
    <t xml:space="preserve">1. Provincial means connected with the parts of a country away from the capital city. 
2. Provincial means relating to a large section of a country which has its own administration. 
3. If you describe someone or something as provincial, you disapprove of them because you think that they are old-fashioned and boring. 
4. A provincial is someone who comes from a part of a country away from the capital city. </t>
  </si>
  <si>
    <t xml:space="preserve">1. A resolution is a formal decision taken at a meeting by means of a vote. 
2. If you make a resolution, you decide to try very hard to do something. 
3. Resolution is determination to do something or not do something. 
4. The resolution of a problem or difficulty is the final solving of it. 
5. The resolution of an image is how clear the image is. </t>
  </si>
  <si>
    <t>Use robust to describe a person or thing that is healthy and strong, or strongly built. This adjective also commonly describes food or drink: a robust wine has a rich, strong flavor.</t>
  </si>
  <si>
    <t>1. something that is added to something else in order to improve it or complete it; something extra: 
2. A supplement is also an extra part of a magazine or newspaper
3. to add to something</t>
  </si>
  <si>
    <t>to gradually weaken or destroy someone or something</t>
  </si>
  <si>
    <t xml:space="preserve">You can describe something as a boon when it makes life better or easier for someone. </t>
  </si>
  <si>
    <t xml:space="preserve">If one thing is conducive to another thing, it makes the other thing likely to happen. </t>
  </si>
  <si>
    <t xml:space="preserve">1. If you are enchanted by someone or something, they cause you to have feelings of great delight or pleasure. 
2. In fairy stories and legends, to enchant someone or something means to put a magic spell on them. </t>
  </si>
  <si>
    <t xml:space="preserve">When someone equivocates, they deliberately use vague language in order to deceive people or to avoid speaking the truth. </t>
  </si>
  <si>
    <t>pay attention to, listen to, take notice of, follow</t>
  </si>
  <si>
    <t>to puzzle/confuse/bewilder/complicate</t>
  </si>
  <si>
    <t>Something that is quantifiable can be measured or counted in a scientific way</t>
  </si>
  <si>
    <t xml:space="preserve">1. A stalwart is a loyal worker or supporter of an organization, especially a political party. 
2. A stalwart supporter or worker is loyal, steady, and completely reliable. 
3. A stalwart man is strong. </t>
  </si>
  <si>
    <t>able to be proved by testing/able to be tested</t>
  </si>
  <si>
    <t xml:space="preserve">1. In a court of law, someone's testimony is a formal statement that they make about what they saw someone do or what they know of a situation, after having promised to tell the truth. 
2. If you say that one thing is testimony to another, you mean that it shows clearly that the second thing has a particular quality. </t>
  </si>
  <si>
    <t>If you cope with a problem or task, you deal with it successfully</t>
  </si>
  <si>
    <t>When you deflect, you throw someone or something off course, often by using a distraction. 
Hockey goalies deflect the flying puck with their sticks or blockers, making it travel in a different direction. Another way to deflect something — such as criticism — is to blame someone else.</t>
  </si>
  <si>
    <t xml:space="preserve">If someone or something engenders a particular feeling, atmosphere, or situation, they cause it to occur. </t>
  </si>
  <si>
    <t>Extravagant is an adjective that means expensive, excessive, and over the top. A modest chandelier in your dining room is normal. But crystal-studded walls and gold-plated goblets? That's a bit extravagant.</t>
  </si>
  <si>
    <t>in a state of confusion or agitation
"He gets all flustered and doesn't know what to say"</t>
  </si>
  <si>
    <t xml:space="preserve">A lucrative activity, job, or business deal is very profitable. </t>
  </si>
  <si>
    <t>1. When someone minutes something that is discussed or decided at a meeting, they make a written record of it. 
2. tiny
3. &lt;Obvious meanings&gt;</t>
  </si>
  <si>
    <t xml:space="preserve">1. You use prime to describe something that is most important in a situation. 
2. You use prime to describe something that is of the best possible quality. 
3. You use prime to describe an example of a particular kind of thing that is absolutely typical. 
4. If someone or something is in their prime, they are at the stage in their existence when they are at their strongest, most active, or most successful. 
5. If you prime someone to do something, you prepare them to do it, for example by giving them information about it beforehand. 
6. If someone primes a bomb or a gun, they prepare it so that it is ready to explode or fire. </t>
  </si>
  <si>
    <t>A sedulous person is someone who works hard and doesn't give up easily</t>
  </si>
  <si>
    <t>to make a humble request to (someone); plead</t>
  </si>
  <si>
    <t>1. Someone who has an abrasive manner is unkind and rude
2. An abrasive substance is rough and can be used to clean hard surfaces</t>
  </si>
  <si>
    <t>1. If you are blunt, you say exactly what you think without trying to be polite
2. A blunt object has a rounded or flat end rather than a sharp one
3. If something blunts an emotion, a feeling, or a need, it weakens it
"The passing of time will blunt the pain"</t>
  </si>
  <si>
    <t>Disaffection is the attitude that people have when they stop supporting something such as an organization or political ideal</t>
  </si>
  <si>
    <t>If you describe someone as fractious, you disapprove of them because they become upset or angry very quickly about small unimportant things</t>
  </si>
  <si>
    <t xml:space="preserve">1. If you fret about something, you worry about it. 
2. The frets on a musical instrument such as a guitar are the raised lines across its neck. </t>
  </si>
  <si>
    <t>the very first</t>
  </si>
  <si>
    <t xml:space="preserve">1. A peripheral activity or issue is one which is not very important compared with other activities or issues. 
2. Peripheral areas of land are ones which are on the edge of a larger area. 
3. Peripherals are devices that can be attached to computers. </t>
  </si>
  <si>
    <t xml:space="preserve">If you propitiate someone, you stop them being angry or impatient by doing something to please them. </t>
  </si>
  <si>
    <t xml:space="preserve">1. Remedial education is intended to improve a person's ability to read, write, or do mathematics, especially when they find these things difficult. 
2. Remedial activities are intended to improve a person's health when they are ill. 
3. Remedial action is intended to correct something that has been done wrong or that has not been successful. </t>
  </si>
  <si>
    <t>Something that is sinister seems evil or harmful</t>
  </si>
  <si>
    <t xml:space="preserve">A trifling matter is small and unimportant. </t>
  </si>
  <si>
    <t>not bad; having nothing that anyone could criticize or disapprove of</t>
  </si>
  <si>
    <t xml:space="preserve">1. Virtue is thinking and doing what is right and avoiding what is wrong. 
2. A virtue is a good quality or way of behaving. 
3. The virtue of something is an advantage or benefit that it has, especially in comparison with something else. 
4. You use by virtue of to explain why something happens or is true. </t>
  </si>
  <si>
    <t>to make clear (something obscure or difficult); clarify</t>
  </si>
  <si>
    <t xml:space="preserve">If you describe someone as impulsive, you mean that they do things suddenly without thinking about them carefully first. </t>
  </si>
  <si>
    <t xml:space="preserve">1. If you have integrity, you are honest and firm in your moral principles. 
2. The integrity of something such as a group of people or a text is its state of being a united whole. </t>
  </si>
  <si>
    <t>Choose the verb mitigate when something lessens the unpleasantness of a situation.</t>
  </si>
  <si>
    <t>1. Someone who is nimble is able to move their fingers, hands, or legs quickly and easily
2. If you say that someone has a nimble mind, you mean they are clever and can think very quickly</t>
  </si>
  <si>
    <t xml:space="preserve">A pressing problem, need, or issue has to be dealt with immediately. </t>
  </si>
  <si>
    <t>n: A prop is something you use as a support, like a broom that serves as a prop to hold a door open. A prop is also something that goes on stage, like a garbage can in a Beckett play.
also v: prop an object on or against something; "propped his feet on the desk"</t>
  </si>
  <si>
    <t>If you ridicule someone or ridicule their ideas or beliefs, you make fun of them in an unkind way</t>
  </si>
  <si>
    <t>A simpleton is an idiot — a person without much common sense or intelligence.</t>
  </si>
  <si>
    <t>1. influence/impact
2. If you affect a particular characteristic or way of behaving, you pretend that it is genuine, or natural for you.
"Since joining the band he’s affected a ridiculous southern accent"</t>
  </si>
  <si>
    <t xml:space="preserve">1. If someone will not countenance something, they do not agree with it and will not allow it to happen. 
2. Someone's countenance is their face. </t>
  </si>
  <si>
    <t>1. perceive or recognize (make out) something, especially something that is not obvious
2. If you can discern something, you can just see it, but not clearly</t>
  </si>
  <si>
    <t xml:space="preserve">If you describe a study, search, or list as exhaustive, you mean that it is very thorough and complete. </t>
  </si>
  <si>
    <t xml:space="preserve">If you describe someone as loquacious, you mean that they talk a lot. </t>
  </si>
  <si>
    <t>If you have to use a garbage can lid as a sled or a set of drapes as a ball gown, then you know what it means to put together a makeshift creation. Something makeshift has been improvised, thrown together with whatever is around.</t>
  </si>
  <si>
    <t xml:space="preserve">A neophyte is someone who is new to a particular activity. </t>
  </si>
  <si>
    <t xml:space="preserve">1. If something poses a problem or a danger, it is the cause of that problem or danger. 
2. If you pose a question, you ask it. If you pose an issue that needs considering, you mention the issue. 
3. If you pose as someone, you pretend to be that person in order to deceive people. 
4. If you pose for a photograph or painting, you stay in a particular position so that someone can photograph you or paint you. 
5. You can say that people are posing when you think that they are behaving in an insincere or exaggerated way because they want to make a particular impression on other people. 
6. A pose is a particular way that you stand, sit, or lie, for example when you are being photographed or painted. 
7. A pose is an insincere or exaggerated way of behaving that is intended to make a particular impression on other people. </t>
  </si>
  <si>
    <t xml:space="preserve">A scintillating conversation or performance is very lively and interesting. </t>
  </si>
  <si>
    <t>The adjective tempestuous can describe violent weather, but it can also figuratively describe something that just has the characteristics of such blustery and turbulent weather.</t>
  </si>
  <si>
    <t xml:space="preserve">You can use trenchant to describe something such as a criticism or comment that is very clear, effective, and forceful. </t>
  </si>
  <si>
    <t xml:space="preserve">If you describe a person or their behaviour as uncritical, you mean that they do not judge whether someone or something is good or bad, right or wrong, before supporting or believing them. </t>
  </si>
  <si>
    <t>Something that's arbitrary seems like it's chosen at random instead of following a consistent rule.</t>
  </si>
  <si>
    <t>When you're offering something in support of an already existing thing, you're offering something auxiliary. The auxiliary police will help out the regular police with things like directing traffic and crowd control when there's a special event in town.</t>
  </si>
  <si>
    <t xml:space="preserve">Something that is desultory is done in an unplanned and disorganized way, and without enthusiasm. </t>
  </si>
  <si>
    <t>Someone who is diffident is rather shy and does not enjoy talking about themselves or being noticed by other people</t>
  </si>
  <si>
    <t xml:space="preserve">An unusually short, small person is sometimes called a dwarf. The noun dwarf is also used for an unusually small animal or plant, or as a verb meaning "make something seem very small," as when a new apartment building dwarfs the surrounding houses. </t>
  </si>
  <si>
    <t xml:space="preserve">In sport or military conflict, if someone feints, they make a brief movement in a different direction from the one they intend to follow, as a way of confusing or deceiving their opponent. </t>
  </si>
  <si>
    <t>1. uncontrolled excitement, anger, or panic
2. wildly funny</t>
  </si>
  <si>
    <t xml:space="preserve">An incessant process or activity is one that continues without stopping. </t>
  </si>
  <si>
    <t xml:space="preserve">Something that is intelligible can be understood. </t>
  </si>
  <si>
    <t xml:space="preserve">If a bad situation or change is irremediable, the situation cannot be improved. </t>
  </si>
  <si>
    <t>1. If you patronize a business, you shop there regularly
2. Someone who patronizes artists, writers, or musicians supports them and gives them money
3. If someone patronizes you, they talk to you as if you were inferior or not very intelligent</t>
  </si>
  <si>
    <t xml:space="preserve">A pithy comment or piece of writing is short, direct, and full of meaning. </t>
  </si>
  <si>
    <t xml:space="preserve">1. If something precipitates an event or situation, usually a bad one, it causes it to happen suddenly or sooner than normal. 
2. A precipitate action or decision happens or is made more quickly or suddenly than most people think is sensible. </t>
  </si>
  <si>
    <t xml:space="preserve">1. You can use render with an adjective that describes a particular state to say that someone or something is changed into that state. For example, if someone or something makes a thing harmless, you can say that they render it harmless. 
2. If you render someone help or service, you help them. 
3. When a jury or authority renders a verdict, decision, or response, they announce it. 
4. To render something in a particular language or in a particular way means to translate it into that language or in that way. 
5. To render a wall means to cover it with a layer of plaster or cement, usually in order to protect it. </t>
  </si>
  <si>
    <t xml:space="preserve">1. Sobriety is the state of being sober rather than drunk. 
2. Sobriety is serious and thoughtful behaviour. </t>
  </si>
  <si>
    <t xml:space="preserve">Someone who is sparing with something uses it or gives it only in very small quantities. </t>
  </si>
  <si>
    <t>Subsume means to absorb or include. A successful company might subsume a failing competitor through a merger, or love may subsume you in the early stages of a romance.</t>
  </si>
  <si>
    <t>A sycophant is a person who tries to win favor from wealthy or influential people by flattering them. Also known as brown-nosers, teacher's pets or suck-ups.</t>
  </si>
  <si>
    <t>unimportant</t>
  </si>
  <si>
    <t>not interrupted or changed in any way</t>
  </si>
  <si>
    <t>If things abound, or if a place abounds with things, there are a lot of them. In spring, birds, flowers, rain, and frisbees abound.</t>
  </si>
  <si>
    <t>bold or daring; fearless</t>
  </si>
  <si>
    <t xml:space="preserve">Someone who is churlish is unfriendly, bad-tempered, or impolite. </t>
  </si>
  <si>
    <t xml:space="preserve">If you are contrite, you are very sorry because you have done something wrong. </t>
  </si>
  <si>
    <t xml:space="preserve">1. If you croon, you sing or hum quietly and gently. 
2. If one person talks to another in a soft gentle voice, you can describe them as crooning, especially if you think they are being sentimental or insincere. </t>
  </si>
  <si>
    <t xml:space="preserve">If something such as power, a custom, or an idea is entrenched, it is firmly established, so that it would be difficult to change it. </t>
  </si>
  <si>
    <t xml:space="preserve">1. If two things such as opinions or proposals are irreconcilable, they are so different from each other that it is not possible to believe or have both of them. 
2. An irreconcilable disagreement or conflict is so serious that it cannot be settled. </t>
  </si>
  <si>
    <t>If you describe someone as a megalomaniac, you are criticizing them because they enjoy being powerful, or because they believe that they are more powerful or important than they really are</t>
  </si>
  <si>
    <t xml:space="preserve">Normative means creating or stating particular rules of behaviour. </t>
  </si>
  <si>
    <t xml:space="preserve">Someone who is penitent is very sorry for something wrong that they have done, and regrets their actions. </t>
  </si>
  <si>
    <t xml:space="preserve">If something presages a situation or event, it is considered to be a warning or sign of what is about to happen. </t>
  </si>
  <si>
    <t>1. intended to cause a reaction, esp. anger or annoyance, or to force you to think more carefully about something
2. If behavior or clothing is provocative, it is likely to cause sexual desire</t>
  </si>
  <si>
    <t>relating to or determined by syntax
another word for syntactic</t>
  </si>
  <si>
    <t xml:space="preserve">1. A valedictory speech, letter, or performance is one that is intended as a way of saying goodbye when someone leaves another person, a place, or a job. 
2. A valedictory is a speech that is given by the student with the highest marks in their class at their graduation ceremony. </t>
  </si>
  <si>
    <t>1. permit/authorization: the piece of paper they show you through the keyhole during an investigation
2. demand/call for: "serious enough to warrant an investigation"
3. justification/reason: "There is some warrant for holding back on full-scale aid"
4. If you warrant that something is true or will happen, you guarantee that it is true or will happen [warranty on your new car, the promise that it'll work for a certain amount of time]</t>
  </si>
  <si>
    <t>1. to make a book, play, or piece of writing shorter by removing details and information that is not important 
2. to reduce someone's freedom, rights, etc.</t>
  </si>
  <si>
    <t>If you say that someone's attitude or behaviour is an affectation, you disapprove of the fact that it is not genuine or natural, but is intended to impress other people.</t>
  </si>
  <si>
    <t>1. If you alienate someone, you make them become unfriendly or unsympathetic towards you
2. To alienate a person from someone or something that they are normally linked with means to cause them to be emotionally or intellectually separated from them</t>
  </si>
  <si>
    <t>An apologist is a person who argues in favor of something unpopular. If you're an apologist for deep sea oil drilling, you would argue that drilling in the ocean is necessary and the benefits make up for any environmental damage.</t>
  </si>
  <si>
    <t xml:space="preserve">A bawdy story or joke contains humorous references to sex. </t>
  </si>
  <si>
    <t>If something bemuses you, it puzzles or confuses you</t>
  </si>
  <si>
    <t xml:space="preserve">If you covet something, you strongly want to have it for yourself. </t>
  </si>
  <si>
    <t>The dissolution of a relationship means that it's broken up or ended. The dissolution of your band means you better get started on your solo album.</t>
  </si>
  <si>
    <t xml:space="preserve">If one thing entails another, it involves it or causes it. </t>
  </si>
  <si>
    <t>If you forestall someone, you realize what they are likely to do and prevent them from doing it</t>
  </si>
  <si>
    <t>To improvise means to make something up on the spot, or figure it out as you go.</t>
  </si>
  <si>
    <t>A ploy is a way of behaving that someone plans carefully and secretly in order to gain an advantage for themselves
"marketing ploy"</t>
  </si>
  <si>
    <t xml:space="preserve">Propriety is the quality of being socially or morally acceptable. </t>
  </si>
  <si>
    <t xml:space="preserve">Someone who is pugnacious is always ready to quarrel or start a fight. </t>
  </si>
  <si>
    <t>1. n: A suspect is a person who is believed to be guilty of a crime
2. v: To suspect someone of something is to believe that they probably did it
3. adj: If something such as someone's excuse or motive is suspect, it seems a bit off</t>
  </si>
  <si>
    <t xml:space="preserve">1. If you describe something as unfathomable, you mean that it cannot be understood or explained, usually because it is very strange or complicated. 
2. If you use unfathomable to describe a person or the expression on their face, you mean that you cannot tell what they are thinking or what they intend to do. </t>
  </si>
  <si>
    <t>Something arresting commands your attention. It's stunning, and you can't turn away.</t>
  </si>
  <si>
    <t xml:space="preserve">If you chastise someone, you speak to them angrily or punish them for something wrong that they have done. </t>
  </si>
  <si>
    <t xml:space="preserve">If you say that a person or society is decadent, you think that they have low moral standards and are interested mainly in pleasure. </t>
  </si>
  <si>
    <t xml:space="preserve">If you say that someone is doctrinaire or has a doctrinaire attitude, you disapprove of them because they have fixed principles which they try to force on other people. </t>
  </si>
  <si>
    <t>to make someone feel weak and without energy</t>
  </si>
  <si>
    <t xml:space="preserve">1. Someone who is gregarious enjoys being with other people. 
2. Gregarious animals or birds normally live in large groups. </t>
  </si>
  <si>
    <t>extremely valuable, or priceless</t>
  </si>
  <si>
    <t>merry and cheerful</t>
  </si>
  <si>
    <t>remember joke</t>
  </si>
  <si>
    <t>using very few words to express what you mean</t>
  </si>
  <si>
    <t xml:space="preserve">Largesse is a generous gift of money or a generous act of kindness. </t>
  </si>
  <si>
    <t xml:space="preserve">If you describe an amount or quantity of something as meager, you are critical of it because it is very small or not enough. </t>
  </si>
  <si>
    <t>the fact of being based on facts and not influenced by personal beliefs or feelings</t>
  </si>
  <si>
    <t xml:space="preserve">Someone who is phlegmatic stays calm even when upsetting or exciting things happen. </t>
  </si>
  <si>
    <t xml:space="preserve">1. A piece of information that is speculative is based on guesses rather than knowledge. 
2. Someone who has a speculative expression seems to be trying to guess something about a person or thing. 
3. Speculative is used to describe activities which involve buying goods or shares, or buildings and properties, in the hope of being able to sell them again at a higher price and make a profit. </t>
  </si>
  <si>
    <t xml:space="preserve">1. Temperate is used to describe a climate or a place which is never extremely hot or extremely cold. 
2. If a person's behaviour is temperate, it is calm and reasonable, so that they do not get angry or lose their temper easily. </t>
  </si>
  <si>
    <t xml:space="preserve">Activism is the process of campaigning in public or working for an organization in order to bring about political or social change. </t>
  </si>
  <si>
    <t xml:space="preserve">Allusive speech, writing, or art is full of indirect references to people or things. </t>
  </si>
  <si>
    <t>1. When things antedate something else, they come before it, or happen earlier than it does. World War I antedates World War II.
2. to put a date on a document that is earlier than the date it is signed: (Ex: "to antedate a check")</t>
  </si>
  <si>
    <t xml:space="preserve">Archaic means extremely old or extremely old-fashioned. </t>
  </si>
  <si>
    <t xml:space="preserve">1. Disparate things are clearly different from each other in quality or type. 
2. A disparate thing is made up of very different elements. </t>
  </si>
  <si>
    <t xml:space="preserve">1. A fringe is hair which is cut so that it hangs over your forehead. 
2. A fringe is a decoration attached to clothes, or other objects such as curtains, consisting of a row of hanging strips or threads. 
3. To be on the fringe or the fringes of a place means to be on the outside edge of it, or to be in one of the parts that are farthest from its centre. 
4. The fringe or the fringes of an activity or organization are its less important, least typical, or most extreme parts, rather than its main and central part. 
5. Fringe groups or events are less important or popular than other related groups or events. </t>
  </si>
  <si>
    <t>to please someone, or to satisfy a wish or need</t>
  </si>
  <si>
    <t>1. hinder
2. basket/package</t>
  </si>
  <si>
    <t xml:space="preserve">1. to influence or control someone to your advantage, often without that person knowing it: 
2. to control something by using the hands: </t>
  </si>
  <si>
    <t>Overt means open and done in plain sight</t>
  </si>
  <si>
    <t xml:space="preserve">Pomposity means speaking or behaving in a very serious manner which shows that you think you are more important than you really are. </t>
  </si>
  <si>
    <t xml:space="preserve">Preternatural abilities, qualities, or events are very unusual in a way that might make you think that unknown forces are involved. </t>
  </si>
  <si>
    <t xml:space="preserve">1. If something resonates, it vibrates and produces a deep, strong sound. 
2. You say that something resonates when it has a special meaning or when it is particularly important to someone. </t>
  </si>
  <si>
    <t>If you say that one thing is tantamount to a second, more serious thing, you are emphasizing how bad, unacceptable, or unfortunate the first thing is by comparing it to the second. 
When something is tantamount to another thing it is essentially its equivalent. For some animal activists, wearing fur is tantamount to murder.</t>
  </si>
  <si>
    <t xml:space="preserve">1. If a person's activities or judgment are unsound, they are not good enough, acceptable, or able to be trusted: 
2. If a building or other structure is unsound, it is in bad condition and likely to fall down or fail: </t>
  </si>
  <si>
    <t xml:space="preserve">If something is vitiated, its effectiveness is spoiled or weakened. </t>
  </si>
  <si>
    <t>lack of emotion/interest, indifference</t>
  </si>
  <si>
    <t xml:space="preserve">Someone who is assertive states their needs and opinions clearly, so that people take notice. </t>
  </si>
  <si>
    <t xml:space="preserve">To augment something means to make it larger, stronger, or more effective by adding something to it. </t>
  </si>
  <si>
    <t>Avarice is a fancy word for good old-fashioned greed</t>
  </si>
  <si>
    <t xml:space="preserve">A connoisseur is someone who knows a lot about the arts, food, drink, or some other subject. </t>
  </si>
  <si>
    <t xml:space="preserve">If you look crestfallen, you look sad and disappointed about something. </t>
  </si>
  <si>
    <t>Depravity goes beyond mere bad behavior — it is a total lack of morals, values, and even regard for other living things, like the depravity of a serial killer.</t>
  </si>
  <si>
    <t xml:space="preserve">1. If you describe someone as devious you do not like them because you think they are dishonest and like to keep things secret, often in a complicated way. 
2. A devious route or path to a place involves many changes in direction, rather than being as straight and direct as possible. </t>
  </si>
  <si>
    <t xml:space="preserve">If a part of your body is distended, or if it distends, it becomes swollen and unnaturally large. </t>
  </si>
  <si>
    <t>feeling of being tired, bored, and dissatisfied</t>
  </si>
  <si>
    <t>ɒnwiː</t>
  </si>
  <si>
    <t xml:space="preserve">If you expedite something, you cause it to be done more quickly. </t>
  </si>
  <si>
    <t xml:space="preserve">If you say that someone is finicky, you mean that they are worried about small details and are difficult to please. </t>
  </si>
  <si>
    <t>1. If you inform someone of something, you tell them about it. 
2. If someone informs on a person, they give information about the person to the police or another authority, which causes the person to be suspected or proved guilty of doing something bad. 
3. If a situation or activity is informed by an idea or a quality, that idea or quality is very noticeable in it. "All great songs are informed by a certain sadness and tension"</t>
  </si>
  <si>
    <t xml:space="preserve">to scold or reprimand </t>
  </si>
  <si>
    <t xml:space="preserve">If you describe something as outlandish, you disapprove of it because you think it is very unusual, strange, or unreasonable. </t>
  </si>
  <si>
    <t>1. When people quibble over a small matter, they argue about it even though it is not important; also n</t>
  </si>
  <si>
    <t xml:space="preserve">If someone or something is stigmatized, they are unfairly regarded by many people as being bad or having something to be ashamed of. </t>
  </si>
  <si>
    <t xml:space="preserve">If you describe a person or their actions as unprincipled, you are criticizing them for their lack of moral principles and because they do things which are immoral or dishonest. </t>
  </si>
  <si>
    <t>(of a story, play, picture, etc. ) using characters or events as symbols to represent an idea or a quality, such as truth, evil, death, etc.</t>
  </si>
  <si>
    <t>1. eager/enthusiastic, liking somebody/something
2. sharp; "a keen mind", "a keen interest", "a keen eye for"
3. extremely cold; "a keen wind"
4. If someone keens, they cry out or make sounds to express their sorrow at someone's death</t>
  </si>
  <si>
    <t>Narcissism is the habit of always thinking about yourself and admiring yourself</t>
  </si>
  <si>
    <t xml:space="preserve">1. A paltry amount of money or of something else is one that you consider to be very small. 
2. You can use paltry to describe something or someone that you consider to be small or unimportant. </t>
  </si>
  <si>
    <t xml:space="preserve">If you describe someone as self-righteous, you disapprove of them because they are convinced that they are right in their beliefs, attitudes, and behaviour and that other people are wrong. </t>
  </si>
  <si>
    <t xml:space="preserve">without precedent or parallel </t>
  </si>
  <si>
    <t>not premeditated; done without plan or forethought</t>
  </si>
  <si>
    <t>affinity (for/with somebody/something) | affinity (between A and B):
a close similarity between two things, or an attraction or sympathy for someone or something, esp. because of shared characteristics</t>
  </si>
  <si>
    <t>confidence</t>
  </si>
  <si>
    <t>əplɒm</t>
  </si>
  <si>
    <t xml:space="preserve">Approbation is approval of something or agreement to it. </t>
  </si>
  <si>
    <t xml:space="preserve">Bucolic means relating to the countryside. </t>
  </si>
  <si>
    <t>think life with cows</t>
  </si>
  <si>
    <t>If you describe someone or something as cerebral, you mean that they are intellectual rather than emotional</t>
  </si>
  <si>
    <t xml:space="preserve">Collusion is secret or illegal co-operation, especially between countries or organizations. </t>
  </si>
  <si>
    <t xml:space="preserve">1. A contentious issue causes a lot of disagreement or arguments. 
2. A contentious person seems to like arguing and disagreeing with other people. </t>
  </si>
  <si>
    <t>1. Something that is cumbersome is large and heavy and therefore difficult to carry, wear, or handle. 
2. A cumbersome system or process is very complicated and inefficient. 
A "cumber" is something that slows you down</t>
  </si>
  <si>
    <t xml:space="preserve">If you curtail something, you reduce or limit it. </t>
  </si>
  <si>
    <t xml:space="preserve">Decorum is behaviour that people consider to be correct, polite, and respectable. </t>
  </si>
  <si>
    <t>Disapprobation is a noun for the state of total disapproval and condemnation. It is often used in conjunction with a moral or social offense.</t>
  </si>
  <si>
    <t>The word "bell" shows up in the middle of embellish, and bells are something that decorate, or embellish something, making it more attractive. If you embellish speech, though, it can get ugly if you add a lot of details that aren't true.</t>
  </si>
  <si>
    <t xml:space="preserve">If a bad situation escalates or if someone or something escalates it, it becomes greater in size, seriousness, or intensity. </t>
  </si>
  <si>
    <t xml:space="preserve">If someone is inarticulate, they are unable to express themselves easily or well in speech. </t>
  </si>
  <si>
    <t>1. having or showing high moral qualities or character
2. having a high social rank, esp. from birth
3. impressive in appearance</t>
  </si>
  <si>
    <t xml:space="preserve">If something obligates you to do a particular thing, it creates a situation where you have to do it. </t>
  </si>
  <si>
    <t xml:space="preserve">Self-indulgence is the act of allowing yourself to have or do the things that you enjoy very much. </t>
  </si>
  <si>
    <t xml:space="preserve">If you are torpid, you are mentally or physically inactive, especially because you are feeling lazy or sleepy. </t>
  </si>
  <si>
    <t>ban, get rid of, dismiss</t>
  </si>
  <si>
    <t xml:space="preserve">1. If you endorse someone or something, you say publicly that you support or approve of them. 
2. If someone's driving licence is endorsed, an official record is made on it that they have been found guilty of a driving offence. 
"He also had his licence endorsed with eight penalty points. "
3. When you endorse a cheque, you write your name on the back of it so that it can be paid into someone's bank account. 
4. If you endorse a product or company, you appear in advertisements for it. </t>
  </si>
  <si>
    <t xml:space="preserve">1. If you describe something as florid, you disapprove of the fact that it is complicated and extravagant rather than plain and simple. 
2. Someone who is florid always has a red face. </t>
  </si>
  <si>
    <t>to leave forever or to give up completely</t>
  </si>
  <si>
    <t xml:space="preserve">To galvanize someone means to cause them to take action, for example by making them feel very excited, afraid, or angry. </t>
  </si>
  <si>
    <t xml:space="preserve">Pristine things are extremely clean or new. </t>
  </si>
  <si>
    <t>1. the study of the ways of using language effectively
2. clever language that sounds good but is not sincere or has no real meaning</t>
  </si>
  <si>
    <t>You can describe something as a ritual action when it is done in exactly the same way whenever a particular situation occurs</t>
  </si>
  <si>
    <t>thinly spread or distributed; not dense or crowded</t>
  </si>
  <si>
    <t xml:space="preserve">Something that is tranquil is calm and peaceful. </t>
  </si>
  <si>
    <t>When you want to indicate that something is silly or overused, you would call it trite. A love song with lyrics about holding hands in the sunshine? Totally trite.</t>
  </si>
  <si>
    <t>To amalgamate is to combine different things to create something new. Institutions — such as banks, schools, or hospitals — often join forces and amalgamate with one other. But other things — like musical genres — get amalgamated as well.</t>
  </si>
  <si>
    <t xml:space="preserve">1. Circumstantial evidence is evidence that makes it seem likely that something happened, but does not prove it. 
2. Something that is circumstantial is related to a particular circumstance. </t>
  </si>
  <si>
    <t xml:space="preserve">A complacent person is very pleased with themselves or feels that they do not need to do anything about a situation, even though the situation may be uncertain or dangerous. </t>
  </si>
  <si>
    <t>Convivial people or occasions are pleasant, friendly, and relaxed. 
Use the adjective convivial to describe your friend who is "the life of the party."</t>
  </si>
  <si>
    <t>If something is counterintuitive it means it's the opposite of "intuitive" — in other words it's not easily understood in an instinctive, unconscious way. A red light for "go" and a green light for "stop" would be highly counterintuitive, for example.</t>
  </si>
  <si>
    <t>Someone who is glum is sad and quiet because they are disappointed or unhappy about something</t>
  </si>
  <si>
    <t xml:space="preserve">1. If you describe something as immaculate, you mean that it is extremely clean, tidy, or neat. 
2. If you say that something is immaculate, you are emphasizing that it is perfect, without any mistakes or bad parts at all. </t>
  </si>
  <si>
    <t xml:space="preserve">1. You use invasive to describe something undesirable which spreads very quickly and which is very difficult to stop from spreading. Ex: "invasive cancer"
2. An invasive medical procedure involves operating on a patient or examining the inside of their body. </t>
  </si>
  <si>
    <t xml:space="preserve">If you describe a task or job as laborious, you mean that it takes a lot of time and effort. </t>
  </si>
  <si>
    <t xml:space="preserve">If you think someone is pedantic, you mean that they are too concerned with unimportant details or traditional rules, especially in connection with academic subjects. </t>
  </si>
  <si>
    <t xml:space="preserve">If someone or something perpetuates a situation, system, or belief, especially a bad one, they cause it to continue. </t>
  </si>
  <si>
    <t>an unpleasant situation that is difficult to get out of</t>
  </si>
  <si>
    <t xml:space="preserve">1. Radical changes and differences are very important and great in degree. 
2. Radical people believe that there should be great changes in society and try to bring about these changes. </t>
  </si>
  <si>
    <t>A town, country, or economy that has been ravaged is one that has been damaged so much that it is almost completely destroyed</t>
  </si>
  <si>
    <t xml:space="preserve">If you replenish something, you make it full or complete again. </t>
  </si>
  <si>
    <t xml:space="preserve">To substantiate a statement or a story means to supply evidence which proves that it is true. </t>
  </si>
  <si>
    <t xml:space="preserve">If you describe a rumour, belief, or feeling as unfounded, you mean that it is wrong and is not based on facts or evidence. </t>
  </si>
  <si>
    <t>If two or more facts, numbers, etc. correlate or are correlated, there is a relationship between them</t>
  </si>
  <si>
    <t>Someone or something that is enigmatic is mysterious and difficult to understand</t>
  </si>
  <si>
    <t xml:space="preserve">Something that is immutable will never change or cannot be changed. </t>
  </si>
  <si>
    <t>not prudent</t>
  </si>
  <si>
    <t xml:space="preserve">1. If someone mediates between two groups of people, or mediates an agreement between them, they try to settle an argument between them by talking to both groups and trying to find things that they can both agree to. 
2. If something mediates a particular process or event, it allows that process or event to happen and influences the way in which it happens. </t>
  </si>
  <si>
    <t xml:space="preserve">When people begin an open-ended discussion or activity, they do not have a particular result, decision, or timespan in mind. </t>
  </si>
  <si>
    <t xml:space="preserve">not known about by many people and difficult to understand: </t>
  </si>
  <si>
    <t>An untapped supply or source of something has not yet been used</t>
  </si>
  <si>
    <t>used to emphasize how great or unusual something is by comparing it to something else. (ex: "My garden had become a veritable jungle by the time I came back from holiday")</t>
  </si>
  <si>
    <t xml:space="preserve">To accentuate something means to emphasize it or make it more noticeable. </t>
  </si>
  <si>
    <t xml:space="preserve">1. You can use acute to indicate that an undesirable situation or feeling is very severe or intense. 
2. An acute illness is one that becomes severe very quickly but does not last very long. Compare chronic. 
3. If a person's or animal's sight, hearing, or sense of smell is acute, it is sensitive and powerful. 
4. If you say that someone is acute or has an acute mind, you mean that they are quick to notice things and are able to understand them clearly. </t>
  </si>
  <si>
    <t>Ascribe means to give credit to, like if you ascribe the A you got on your group project to the hard work of your partners!</t>
  </si>
  <si>
    <t xml:space="preserve">Someone who is assiduous works hard or does things very thoroughly. </t>
  </si>
  <si>
    <t xml:space="preserve">A clangor is a loud or harsh noise. </t>
  </si>
  <si>
    <t xml:space="preserve">Credible means able to be trusted or believed. </t>
  </si>
  <si>
    <t>1. To discredit someone or something means to cause them to lose people's respect or trust
2. To discredit an idea or evidence means to make it appear false or not certain</t>
  </si>
  <si>
    <t xml:space="preserve">1. If you describe someone or something as feeble, you mean that they are weak. 
2. If you describe someone as feeble, you are criticizing them because they are afraid of taking strong action or seem to make no effort. 
3. If you describe something that someone says as feeble, you mean that it is not very good or convincing. </t>
  </si>
  <si>
    <t xml:space="preserve">Something that is germane to a situation or idea is connected with it in an important way. </t>
  </si>
  <si>
    <t>If you are inquisitive that means you love to inquire; you’re always asking questions.</t>
  </si>
  <si>
    <t>slack, casual, careless, sloppy; n: laxity</t>
  </si>
  <si>
    <t>To polarize is to divide. Something that's been polarized has been split into two sides that are so different, it seems as though they're from opposite ends of the earth — like the North Pole and the South Pole.</t>
  </si>
  <si>
    <t xml:space="preserve">If you describe something as risible, you mean that it is ridiculous and does not deserve to be taken seriously. </t>
  </si>
  <si>
    <t xml:space="preserve">Someone or something that is serene is calm and quiet. </t>
  </si>
  <si>
    <t xml:space="preserve">Starvation is extreme suffering or death, caused by lack of food. </t>
  </si>
  <si>
    <t xml:space="preserve">If you say that someone's behaviour is unseemly, you disapprove of it because it is not polite or not suitable for a particular situation or occasion. </t>
  </si>
  <si>
    <t>If you have audacity then you're one daring — and perhaps reckless — character</t>
  </si>
  <si>
    <t xml:space="preserve">A cataclysmic event is one that changes a situation or society very greatly, especially in an unpleasant way. </t>
  </si>
  <si>
    <t xml:space="preserve">If you call someone a curmudgeon, you do not like them because they are mean or bad-tempered. </t>
  </si>
  <si>
    <t>1. If someone is distressed, they are upset or worried
2. A distressed object such as a piece of furniture or an item of clothing has been deliberately made to look old</t>
  </si>
  <si>
    <t>Choose the adjective dubious for something you have doubts about or you suspect is not true. That bridge you just "bought" might be of dubious value.</t>
  </si>
  <si>
    <t xml:space="preserve">Something that is ingenious is very clever and involves new ideas, methods, or equipment. </t>
  </si>
  <si>
    <t xml:space="preserve">A pivotal role, point, or figure in something is one that is very important and affects the success of that thing. </t>
  </si>
  <si>
    <t xml:space="preserve">If you call someone a spendthrift, you mean that they spend too much money. </t>
  </si>
  <si>
    <t xml:space="preserve">If something is superseded by something newer, it is replaced because it has become old-fashioned or unacceptable. </t>
  </si>
  <si>
    <t>1. If someone or something is unaffected by an event or occurrence, they are not changed by it in any way. 
2. If someone says you're unaffected they could mean you're genuine; you don't put on an act for people.</t>
  </si>
  <si>
    <t xml:space="preserve">If you say that something is unattainable, you mean that it cannot be achieved or is not available. </t>
  </si>
  <si>
    <t xml:space="preserve">1. A volatile liquid or substance is one that will quickly change into a gas. 
2. If someone is volatile, their mood often changes quickly. 
3. A situation that is volatile is likely to change suddenly and unexpectedly. </t>
  </si>
  <si>
    <t>If you describe someone or their behaviour as wily, you mean that they are clever at achieving what they want, especially by tricking people</t>
  </si>
  <si>
    <t xml:space="preserve">1. An abstraction is a general idea rather than one relating to a particular object, person, or situation. 
2. Abstraction is the state of being very deep in thought. 
3. Abstraction is the use of shapes and patterns in art. </t>
  </si>
  <si>
    <t>If something befuddles you, it confuses your mind or thoughts</t>
  </si>
  <si>
    <t xml:space="preserve">Someone who is craven is very cowardly. </t>
  </si>
  <si>
    <t>German Origin</t>
  </si>
  <si>
    <t>When you're idealistic, you dream of perfection, whether in yourself or other people. For example, you might have the idealistic goal of bringing an end to childhood poverty in the world.</t>
  </si>
  <si>
    <t>When you inhibit something, you block it or hold it back. If you put plants in a dark room, you inhibit their growth. A teacher who mocks their students for giving wrong answers inhibits their willingness to speak up in class.</t>
  </si>
  <si>
    <t xml:space="preserve">1. relating to a parish (= an area that has its own church or priest): 
2. showing interest only in a narrow range of matters, especially those that directly affect yourself, your town, or your country: </t>
  </si>
  <si>
    <t xml:space="preserve">1. You use perennial to describe situations or states that keep occurring or which seem to exist all the time; used especially to describe problems or difficulties. 
2 A perennial plant lives for several years and has flowers each year. </t>
  </si>
  <si>
    <t xml:space="preserve">Someone who is surly behaves in a rude bad-tempered way. </t>
  </si>
  <si>
    <t xml:space="preserve">1. If someone or something thrives, they do well and are successful, healthy, or strong. 
2. If you say that someone thrives on a particular situation, you mean that they enjoy it or that they can deal with it very well, especially when other people find it unpleasant or difficult. </t>
  </si>
  <si>
    <t>If you abhor something, you hate it very much, especially for moral reasons</t>
  </si>
  <si>
    <t xml:space="preserve">1. A compromise is a situation in which people accept something slightly different from what they really want, because of circumstances or because they are considering the wishes of other people. 
2. If you compromise with someone, you reach an agreement with them in which you both give up something that you originally wanted. You can also say that two people or groups compromise. 
3. If someone compromises themselves or compromises their beliefs, they do something which damages their reputation for honesty, loyalty, or high moral principles. </t>
  </si>
  <si>
    <t xml:space="preserve">A conundrum is a problem or puzzle which is difficult or impossible to solve. </t>
  </si>
  <si>
    <t>1. quality of being delicate
2. fragile beauty; "the delicacy of a petal"
3. rare or expensive food that is considered especially nice to eat</t>
  </si>
  <si>
    <t>1. A dictum is a saying that describes an aspect of life in an interesting or wise way
2. A dictum is a formal statement made by someone who has authority</t>
  </si>
  <si>
    <t>The general sense of economy is careful management of resources such as money and materials, so as not to waste them, but the more familiar reference is to a system of producing, distributing, and consuming goods and services.</t>
  </si>
  <si>
    <t>To endanger someone is to put them in a dangerous position, or to threaten their safety. It would endanger your little brother if you encouraged him to jump off the garage roof into a pile of leaves.</t>
  </si>
  <si>
    <t xml:space="preserve">A heterogeneous group consists of many different types of things or people. </t>
  </si>
  <si>
    <t>You use the word metaphorical to indicate that you are not using words with their ordinary meaning, but are describing something by means of an image or symbol</t>
  </si>
  <si>
    <t xml:space="preserve">Someone who is optimistic is hopeful about the future or the success of something in particular. </t>
  </si>
  <si>
    <t xml:space="preserve">A pastiche is something such as a piece of writing or music in which the style is copied from somewhere else, or which contains a mixture of different styles. </t>
  </si>
  <si>
    <t xml:space="preserve">1. If people propagate an idea or piece of information, they spread it and try to make people believe it or support it. 
2. If you propagate plants, you grow more of them from the original ones. </t>
  </si>
  <si>
    <t xml:space="preserve">A rhapsody is a piece of music which has an irregular form and is full of feeling. </t>
  </si>
  <si>
    <t xml:space="preserve">1. Utilitarian means based on the idea that the morally correct course of action is the one that produces benefit for the greatest number of people. 
2. Utilitarian objects and buildings are designed to be useful rather than attractive. </t>
  </si>
  <si>
    <t xml:space="preserve">1. An acolyte is a follower or assistant of an important person. 
2. An acolyte is someone who assists a priest in performing certain religious services. </t>
  </si>
  <si>
    <t>quick to see how to use a situation to your advantage</t>
  </si>
  <si>
    <t xml:space="preserve">1. If you attribute something to an event or situation, you think that it was caused by that event or situation. 
2. If you attribute a particular quality or feature to someone or something, you think that they have got it. 
3. If a piece of writing, a work of art, or a remark is attributed to someone, people say that they wrote it, created it, or said it. 
4. An attribute is a quality or feature that someone or something has. </t>
  </si>
  <si>
    <t>1. Compelling means attractive, or irresistible, or really, really convincing
2. forceful and persuasive</t>
  </si>
  <si>
    <t>Goosebump</t>
  </si>
  <si>
    <t xml:space="preserve">If you get goose bumps, the hairs on your skin stand up so that it is covered with tiny bumps. You get goose bumps when you are cold, frightened, or excited. </t>
  </si>
  <si>
    <t xml:space="preserve">Something that is inconsequential is not important. </t>
  </si>
  <si>
    <t xml:space="preserve">If something is inevitable, it is certain to happen and cannot be prevented or avoided. </t>
  </si>
  <si>
    <t>n: If it's threatening you or otherwise posing some sort of danger, then it's a menace. Angry rabid dogs, smog clouds, and annoying little brothers are all probable menaces.
also v
"a bad reputation can menace an otherwise promising career, weeds can menace your garden, and burglars are a menace to society."</t>
  </si>
  <si>
    <t xml:space="preserve">If you describe someone as prurient, you mean that they show too much interest in sexual matters. </t>
  </si>
  <si>
    <t xml:space="preserve">If you think that something is horrible and disgusting, you can say that it is repugnant. </t>
  </si>
  <si>
    <t xml:space="preserve">1. If you restrain someone, you stop them from doing what they intended or wanted to do, usually by using your physical strength. 
2. If you restrain an emotion or you restrain yourself from doing something, you prevent yourself from showing that emotion or doing what you wanted or intended to do. 
3. To restrain something that is growing or increasing means to prevent it from getting too large. </t>
  </si>
  <si>
    <t>If you say that someone is sanctimonious, you disapprove of them because you think that they are trying to appear morally better than other people/pretending to be very holy or pious</t>
  </si>
  <si>
    <t>n form of superficial</t>
  </si>
  <si>
    <t xml:space="preserve">If something is unprecedented, it has never happened before. </t>
  </si>
  <si>
    <t>Acumen is the ability to make good judgments and quick decisions</t>
  </si>
  <si>
    <t>broad in scope or content 
[Encompass means to contain]</t>
  </si>
  <si>
    <t>1. Bromide is a drug which used to be given to people to calm their nerves when they were worried or upset
2. A bromide is a comment which is intended to calm someone down when they are angry, but which has been expressed so often that it has become boring and meaningless</t>
  </si>
  <si>
    <t xml:space="preserve">Contentment is a feeling of quiet happiness and satisfaction. </t>
  </si>
  <si>
    <t xml:space="preserve">1. Someone who is cunning has the ability to achieve things in a clever way, often by deceiving other people. 
2. Cunning is the ability to achieve things in a clever way, often by deceiving other people. </t>
  </si>
  <si>
    <t xml:space="preserve">If you extrapolate from known facts, you use them as a basis for general statements about a situation or about what is likely to happen in the future. </t>
  </si>
  <si>
    <t xml:space="preserve">An ideology is a set of beliefs, especially the political beliefs on which people, parties, or countries base their actions. </t>
  </si>
  <si>
    <t xml:space="preserve">If someone is indicted for a crime, they are officially charged with it. </t>
  </si>
  <si>
    <t xml:space="preserve">If you say that someone is insular, you are being critical of them because they are unwilling to meet new people or to consider new ideas. </t>
  </si>
  <si>
    <t xml:space="preserve">If you are pensive, you are thinking deeply about something, especially something that worries you slightly. </t>
  </si>
  <si>
    <t>a person who uses sophistry (= clever but untrue arguments) in order to deceive people</t>
  </si>
  <si>
    <t xml:space="preserve">1. The underlying features of an object, event, or situation are not obvious, and it may be difficult to discover or reveal them. 
2. You describe something as underlying when it is below the surface of something else. </t>
  </si>
  <si>
    <t xml:space="preserve">If you describe something as unmistakable, you mean that it is so obvious that it cannot be mistaken for anything else. </t>
  </si>
  <si>
    <t xml:space="preserve">You can describe something as abstruse if you find it difficult to understand, especially when you think it could be explained more simply. </t>
  </si>
  <si>
    <t xml:space="preserve">1. Apprehension is a feeling of fear that something bad may happen. 
2. The apprehension of someone who is thought to be a criminal is their capture or arrest by the police. 
3. The apprehension of something is awareness and understanding of it. </t>
  </si>
  <si>
    <t xml:space="preserve">If you say that someone is compliant, you mean they willingly do what they are asked to do. </t>
  </si>
  <si>
    <t xml:space="preserve">If you denigrate someone or something, you criticize them unfairly or insult them. </t>
  </si>
  <si>
    <t>Dispassionate describes someone who is not getting carried away by — or maybe not even having — feelings. It's something you'd want to see in a surgeon, who keeps cool under pressure, but not in a romantic partner.</t>
  </si>
  <si>
    <t xml:space="preserve">Foreboding = the feeling that something bad is going to happen;
Forebode =  to indicate beforehand; portend; foretell; predict (esp. something bad or harmful) </t>
  </si>
  <si>
    <t xml:space="preserve">Something that is laudable deserves to be praised or admired. </t>
  </si>
  <si>
    <t xml:space="preserve">If you describe a task as onerous, you dislike having to do it because you find it difficult or needing a lot of effort. </t>
  </si>
  <si>
    <t xml:space="preserve">Residual is used to describe what remains of something when most of it has gone. </t>
  </si>
  <si>
    <t xml:space="preserve">If someone or something is woeful, they are very sad. </t>
  </si>
  <si>
    <t>1. surrender; "He may yield control"
2. give way; "If a moving person or a vehicle yields, they slow down or stop in order to allow other people or vehicles to pass in front of them"
3. produce
4. profit, return</t>
  </si>
  <si>
    <t xml:space="preserve">1. If you have contempt for someone or something, you have no respect for them or think that they are unimportant. 
2. Contempt of court is the criminal offence of disobeying an instruction from a judge or a court of law. </t>
  </si>
  <si>
    <t xml:space="preserve">Equanimity is a calm state of mind and attitude to life, so that you never lose your temper or become upset. </t>
  </si>
  <si>
    <t>To exculpate means to find someone not guilty of criminal charges. If you've been wrongly accused of robbery, you'd better hope a judge will exculpate you</t>
  </si>
  <si>
    <t>To meld is to completely combine or blend two or more things. If you meld breakfast and lunch, you get brunch. If you meld jeans and leggings, you get jeggings.</t>
  </si>
  <si>
    <t>melt+weld</t>
  </si>
  <si>
    <t xml:space="preserve">If you describe something as outmoded, you mean that you think it is old-fashioned and no longer useful or relevant to modern life. </t>
  </si>
  <si>
    <t xml:space="preserve">If you do something with panache, you do it in a confident, stylish, and elegant way. </t>
  </si>
  <si>
    <t xml:space="preserve">Something that is pellucid is extremely clear. </t>
  </si>
  <si>
    <t>Use the adjective rational to describe people or ideas that operate according to logic or reason than on emotion</t>
  </si>
  <si>
    <t>To swindle is to cheat or steal. You can swindle money, goods, ideas, and anything else that can be stolen, but be careful, because someone can also swindle you.</t>
  </si>
  <si>
    <t>A treatise is a formal written paper about a specific subject. It’s like an essay but longer. A treatise is usually about a serious subject, so you might read a treatise on democracy, but you probably won't read a treatise about chewing gum.</t>
  </si>
  <si>
    <t xml:space="preserve">Turpitude is very immoral behaviour. </t>
  </si>
  <si>
    <t xml:space="preserve">Aesthetic is used to talk about beauty or art, and people's appreciation of beautiful things. </t>
  </si>
  <si>
    <t xml:space="preserve">Someone who is boisterous is noisy, lively, and full of energy. </t>
  </si>
  <si>
    <t>Use the adjective caustic to describe any chemical that is able to burn living tissue or other substances, or, figuratively, a statement that has a similarly burning effect. Caustic in this sense means harshly critical.</t>
  </si>
  <si>
    <t xml:space="preserve">1. Complementary things are different from each other but make a good combination. 
2. Complementary medicine refers to ways of treating patients which are different from the ones used by most Western doctors, for example acupuncture and homoeopathy. </t>
  </si>
  <si>
    <t xml:space="preserve">Conclusive evidence shows that something is certainly true. </t>
  </si>
  <si>
    <t>Egregious means very bad indeed</t>
  </si>
  <si>
    <t>If you describe something as esoteric, you mean it is known, understood, or appreciated by only a small number of people</t>
  </si>
  <si>
    <t xml:space="preserve">1. If you say that a situation, problem, or feeling is festering, you disapprove of the fact that it is being allowed to grow more unpleasant or full of anger, because it is not being properly recognized or dealt with. 
2. If a wound festers, it becomes infected, making it worse. 
3. If you say that food is festering, you mean that it is decaying in a very unpleasant way. </t>
  </si>
  <si>
    <t>deny; If there is no gainsaying something, it is true or obvious and everyone would agree with it</t>
  </si>
  <si>
    <t xml:space="preserve">Use the adjective heady to describe a sensation that is so exciting it makes you a little dizzy, a bit like being intoxicated. </t>
  </si>
  <si>
    <t xml:space="preserve">To liberate something means to release it from confinement. </t>
  </si>
  <si>
    <t>If you describe something bad, such as a crime or disease, as rampant, you mean that it is very common and is increasing in an uncontrolled way</t>
  </si>
  <si>
    <t>Something has transparency if you can see through it, like the ice on the top of a frozen lake or a glass. Transparency can also refer to a figurative kind of clearness or openness, which is what people mean when they talk about "government transparency." If you can see clearly, without anything being hidden, what you're looking at (or through) has transparency</t>
  </si>
  <si>
    <t>If you are wary of something or someone, you are cautious because you do not know much about them and you believe they may be dangerous or cause problems</t>
  </si>
  <si>
    <t>1. leave/ditch
2. stop/drop
3. If you abandon yourself to an emotion, you think about it a lot and feel it strongly
4. do something with abandon: recklessness/wildness</t>
  </si>
  <si>
    <t>1. entertain/delight
2. amuse yourself: occupy/engage; I need to amuse myself so I won't keep thinking about things.</t>
  </si>
  <si>
    <t>The word commensurate has to do with things that are similar in size and therefore appropriate. Many people think the death penalty is a commensurate punishment for murder. In other words, the penalty fits the crime.</t>
  </si>
  <si>
    <t xml:space="preserve">If one thing is dissimilar to another, or if two things are dissimilar, they are very different from each other. </t>
  </si>
  <si>
    <t>the power of understanding and imaginatively entering into another person's feelings</t>
  </si>
  <si>
    <t>appearing strange or wrong within a particular situation
"Such a modern office building looks incongruous in the quaint little town."</t>
  </si>
  <si>
    <t xml:space="preserve">1. Nettles are wild plants which have leaves covered with fine hairs that sting you when you touch them. 
2. If you are nettled by something, you are annoyed or offended by it. </t>
  </si>
  <si>
    <t xml:space="preserve">If something portends something, it indicates that it is likely to happen in the future. </t>
  </si>
  <si>
    <t xml:space="preserve">If you describe something as sacrosanct, you consider it to be special and are unwilling to see it criticized or changed. </t>
  </si>
  <si>
    <t>If something is tenuous it's thin, either literally or metaphorically. If you try to learn a complicated mathematical concept by cramming for 45 minutes, you will have a tenuous grasp of that concept, at best.</t>
  </si>
  <si>
    <t>insult (v,n)</t>
  </si>
  <si>
    <t>Boorish behaviour is rough, uneducated, and rude</t>
  </si>
  <si>
    <t xml:space="preserve">A callow young person has very little experience or knowledge of the way they should behave as an adult. </t>
  </si>
  <si>
    <t xml:space="preserve">1. A crescendo is a noise that gets louder and louder. Some people also use crescendo to refer to the point when a noise is at its loudest. 
2. People sometimes describe an increase in the intensity of something, or its most intense point, as a crescendo. 
3. In music, a crescendo is a section of a piece of music in which the music gradually gets louder and louder. </t>
  </si>
  <si>
    <t>fruitful or fertile; productive; prolific</t>
  </si>
  <si>
    <t>Are you feeling cranky or irritable and complaining about every little thing that annoys you? You're grouchy.</t>
  </si>
  <si>
    <t>to give new energy or strength to someone or something</t>
  </si>
  <si>
    <t xml:space="preserve">If someone has a penchant for something, they have a special liking for it or a tendency to do it. </t>
  </si>
  <si>
    <t xml:space="preserve">If you are proficient in something, you can do it well. </t>
  </si>
  <si>
    <t xml:space="preserve">Proportionate means the same as proportional. If one amount is proportional to another, the two amounts increase and decrease at the same rate so there is always the same relationship between them. </t>
  </si>
  <si>
    <t>To retaliate means to get back at someone, usually through a counterattack</t>
  </si>
  <si>
    <t xml:space="preserve">1. If you undercut someone or undercut their prices, you sell a product more cheaply than they do. 
2. If your attempts to achieve something are undercut by something, that thing prevents your attempts from being effective. </t>
  </si>
  <si>
    <t xml:space="preserve">Someone who is adept at something can do it skilfully. </t>
  </si>
  <si>
    <t xml:space="preserve">Someone who is affable is pleasant and friendly. </t>
  </si>
  <si>
    <t xml:space="preserve">1. Buttresses are supports, usually made of stone or brick, that support a wall. 
2. To buttress an argument, system, or person means to give them support and strength. </t>
  </si>
  <si>
    <t xml:space="preserve">The cessation of something is the stopping of it. </t>
  </si>
  <si>
    <t xml:space="preserve">If you champion (/you are a champion of) a person, a cause, or a principle, you support or defend them. </t>
  </si>
  <si>
    <t>1. "decipher the code" (communication system)
2. "Indian Penal Code", "bro code", "moral code" (Rules)</t>
  </si>
  <si>
    <t>careful about what one says or does; prudent; esp., keeping silent or preserving confidences when necessary</t>
  </si>
  <si>
    <t>When you're disgusted by something, or simply dislike it, you have a distaste for it. You might have such a distaste for the smell of meat cooking that you only go to vegetarian restaurants.</t>
  </si>
  <si>
    <t>someone who believes that some things should be controlled or owned only by the richest or best educated people;
snob</t>
  </si>
  <si>
    <t>When you evade something, you escape it.</t>
  </si>
  <si>
    <t>To exonerate someone is to declare him not guilty of criminal charges. This word is pretty much only used in reference to proceedings in a court of law. A word with a similar meaning that might be familiar is “acquit.”</t>
  </si>
  <si>
    <t>Someone who is haughty is arrogant and full of pride. When you're haughty, you have a big attitude and act like you're better than other people.</t>
  </si>
  <si>
    <t>When you impair something, you damage it or make it work poorly.</t>
  </si>
  <si>
    <t>Something that is yours forever, that can’t be taken away and given to your little brother instead? That something would be called inalienable. The word refers to a natural right that cannot be revoked by an outside force.</t>
  </si>
  <si>
    <t xml:space="preserve">1. Intrigue is the making of secret plans to harm or deceive people. 
2. If something, especially something strange, intrigues you, it interests you and you want to know more about it. </t>
  </si>
  <si>
    <t>having merit; deserving reward, praise, etc.</t>
  </si>
  <si>
    <t>1. dark and dirty/cloudy or difficult to see through
2. used to describe a situation that is complicated and unpleasant, and about which many facts are not clear</t>
  </si>
  <si>
    <t>Nascent things or processes are just beginning, and are expected to become stronger or to grow bigger. Ex: "nascent civilization"</t>
  </si>
  <si>
    <t>When you're restless, you find it hard to sit still or concentrate on anything</t>
  </si>
  <si>
    <t xml:space="preserve">Something that is showy is very noticeable because it is large, colourful, or bright. </t>
  </si>
  <si>
    <t xml:space="preserve">1. If you are stunned by something, you are extremely shocked or surprised by it and are therefore unable to speak or do anything. 
2. If something such as a blow on the head stuns you, it makes you unconscious or confused and unsteady. </t>
  </si>
  <si>
    <t xml:space="preserve">Subversion is the attempt to weaken or destroy a political system or a government. </t>
  </si>
  <si>
    <t xml:space="preserve">An anecdote is a short, amusing account of something that has happened. </t>
  </si>
  <si>
    <t>bragger</t>
  </si>
  <si>
    <t xml:space="preserve">If you commiserate with someone, you show them pity or sympathy when something unpleasant has happened to them. </t>
  </si>
  <si>
    <t xml:space="preserve">If you impede someone or something, you make their movement, development, or progress difficult. </t>
  </si>
  <si>
    <t xml:space="preserve">Something that is pertinent is relevant to a particular subject. </t>
  </si>
  <si>
    <t>If you describe someone's ideas or plans as quixotic, you mean that they are imaginative or hopeful but unrealistic</t>
  </si>
  <si>
    <t>You ramble when your talking or your walking goes on and on and on. And on. You’re in no hurry to make a point or get to your destination — if there is one at all.</t>
  </si>
  <si>
    <t>roam aimlessly</t>
  </si>
  <si>
    <t>Rudimentary means basic, or at a very early stage. "The test should be easy: it requires only a rudimentary understanding of the materials."</t>
  </si>
  <si>
    <t xml:space="preserve">A fact or situation that is self-evident is so obvious that there is no need for proof or explanation. </t>
  </si>
  <si>
    <t>reckless; rash</t>
  </si>
  <si>
    <t xml:space="preserve">If you describe someone as tyrannical, you mean that they are severe or unfair towards the people that they have authority over. </t>
  </si>
  <si>
    <t xml:space="preserve">If one person colludes with another, they co-operate with them secretly or illegally. </t>
  </si>
  <si>
    <t>When you deify someone, you're treating them like a god.</t>
  </si>
  <si>
    <t xml:space="preserve">If two or more things are interwoven or interweave, they are very closely connected or are combined with each other. </t>
  </si>
  <si>
    <t xml:space="preserve">Something that is marketable is able to be sold because people want to buy it. </t>
  </si>
  <si>
    <t xml:space="preserve">1. Opulent things or places look grand and expensive. 
2. Opulent people are very wealthy and spend a lot of money. </t>
  </si>
  <si>
    <t xml:space="preserve">If you describe something as outdated, you mean that you think it is old-fashioned and no longer useful or relevant to modern life. </t>
  </si>
  <si>
    <t xml:space="preserve">1. If something was prophetic, it described or suggested something that did actually happen later. 
2. Prophetic means related to a prophecy or a prophet. </t>
  </si>
  <si>
    <t xml:space="preserve">A surreptitious action is done secretly. </t>
  </si>
  <si>
    <t>1. relating to practical matters or physical things, rather than spiritual ones
2. relating to the temple (= the side of the head behind the eyes) or the temporal bone of the skull beneath the temple
3. relating to time</t>
  </si>
  <si>
    <t xml:space="preserve">If you say that a person takes umbrage, you mean that they are upset or offended by something that someone says or does to them, often without much reason. </t>
  </si>
  <si>
    <t>Waning can be used for anything that diminishes, like the brightness of the sunlight in the late afternoon, your interest in cartoons, or your influence over your teenage daughter's fashion choices.</t>
  </si>
  <si>
    <t xml:space="preserve">If you do something with alacrity, you do it quickly and eagerly. </t>
  </si>
  <si>
    <t>enthusiastic/eager</t>
  </si>
  <si>
    <t xml:space="preserve">Something that is counterproductive achieves the opposite result from the one that you want to achieve. </t>
  </si>
  <si>
    <t>To dispense means to give out or distribute something. A school nurse can dispense students' medication and we all can dispense advice.</t>
  </si>
  <si>
    <t xml:space="preserve">Something that is equitable is fair and reasonable in a way that gives equal treatment to everyone. </t>
  </si>
  <si>
    <t xml:space="preserve">1. Fawn is a pale yellowish-brown colour. 
2. A fawn is a very young deer. 
3. If you say that someone fawns over a powerful or rich person, you disapprove of them because they flatter that person and like to be with him or her. </t>
  </si>
  <si>
    <t>1. Fraught means filled with something — often something bad. Your Thanksgiving was fraught with awkward moments when your family saw your blue hair, and it only got worse when you told them you'd quit law school to join the circus.
2. Fraught can also describe a situation filled with distress. If relations between two countries are fraught, they are not getting along with each other.</t>
  </si>
  <si>
    <t xml:space="preserve">If you talk about someone's indiscretion, you mean that they have done or said something that is risky, careless, or likely to upset people. </t>
  </si>
  <si>
    <t>Whenever you see the prefix "mal-," you know it's not good. Malfeasance is bad behavior, especially from officials or people who should know better.</t>
  </si>
  <si>
    <t>1. A person is modest if he or she is very successful but does not call attention to this.
2. Modest generally means "big enough but not huge" — like a modest house or a modest income.</t>
  </si>
  <si>
    <t xml:space="preserve">Someone or something that is persuasive is likely to persuade a person to believe or do a particular thing. </t>
  </si>
  <si>
    <t xml:space="preserve">1. If something is pliant, you can bend it easily without breaking it. 
2. A pliant person can be easily influenced and controlled by other people. </t>
  </si>
  <si>
    <t xml:space="preserve">Sloth is laziness, especially with regard to work. </t>
  </si>
  <si>
    <t>1. (of a disease) dangerous and spreading quickly, or (of poison) having an effect very quickly
2. fierce and full of hate</t>
  </si>
  <si>
    <t>to agree or consent quietly without protest, but without enthusiasm</t>
  </si>
  <si>
    <t xml:space="preserve">Something that is amorphous has no clear shape or structure. </t>
  </si>
  <si>
    <t>1. A blemish is a small mark on something that spoils its appearance
2. A blemish on something is a small fault in it
3. If something blemishes someone's character or reputation, it spoils it or makes it seem less good than it was in the past</t>
  </si>
  <si>
    <t xml:space="preserve">the attribute of being brief; The brevity of something is the fact that it is short or lasts for only a short time. </t>
  </si>
  <si>
    <t xml:space="preserve">If you demystify something, you make it easier to understand by giving a clear explanation of it. </t>
  </si>
  <si>
    <t>1. If a person dupes you, they trick you into doing something or into believing something which is not true
2. A dupe is someone who is tricked by someone else</t>
  </si>
  <si>
    <t>1. the act of describing something in a way that makes it seem better or more important than it really is
2. the act of praising and honouring God or a person</t>
  </si>
  <si>
    <t>If you're headstrong, you want to do what you want to do</t>
  </si>
  <si>
    <t xml:space="preserve">Lassitude is a state of tiredness, laziness, or lack of interest. </t>
  </si>
  <si>
    <t>1. If something is so new and original that it's never been seen, used or even thought of before, call it novel. Ex: novel idea, novel virus
2. The noun novel describes a book-length work of fiction.</t>
  </si>
  <si>
    <t xml:space="preserve">If you scrutinize something, you examine it very carefully, often to find out some information from it or about it. </t>
  </si>
  <si>
    <t>Being chary (pronounced CHAIR-ee) is being wary or cautious. If you lost two teeth in last year’s rugby season, you should be chary of signing up again this year.</t>
  </si>
  <si>
    <t xml:space="preserve">To constrain someone or something means to limit their development or force them to behave in a particular way. </t>
  </si>
  <si>
    <t xml:space="preserve">A cursory glance or examination is a brief one in which you do not pay much attention to detail. </t>
  </si>
  <si>
    <t xml:space="preserve">An eclectic collection of objects, ideas, or beliefs is wide-ranging and comes from many different sources. </t>
  </si>
  <si>
    <t xml:space="preserve">If there is an inexhaustible supply of something, there is so much of it that it cannot all be used up. </t>
  </si>
  <si>
    <t>Lofty is a good word for describing something that's high above the ground, or someone who acts like she's high above everyone else.</t>
  </si>
  <si>
    <t>When you make something young again or give it more life and energy, you rejuvenate it. For example, you can often rejuvenate a not-quite-dead plant, bringing it back to health with some water and some TLC.</t>
  </si>
  <si>
    <t xml:space="preserve">If you relinquish something such as power or control, you give it up. </t>
  </si>
  <si>
    <t>If you describe someone as a zealot, you think that their views and actions are very extreme, especially in following a particular political or religious belief</t>
  </si>
  <si>
    <t>1. The zenith is the point at which the sun or moon is directly above you and seems to be at its highest
2. The zenith of something is the time when it is most successful or powerful</t>
  </si>
  <si>
    <t>1. If people agitate for something, they protest or take part in political activity in order to get it
2. If you agitate something, you shake it so that it moves about
3. If something agitates you, it worries you and makes you unable to think clearly or calmly</t>
  </si>
  <si>
    <t>1. Blight is a disease which makes plants dry up and die
2. You can refer to something as a blight when it causes great difficulties, and damages or spoils other things
3. If something blights your life or your hopes, it damages and spoils them. If something blights an area, it spoils it and makes it unattractive</t>
  </si>
  <si>
    <t>Buoyancy is a quality that makes things float in water. It's also a type of happiness: if you're full of buoyancy, your mood is light and happy.</t>
  </si>
  <si>
    <t xml:space="preserve">If you capitulate, you stop resisting and do what someone else wants you to do. </t>
  </si>
  <si>
    <t>If someone tends to be hypercritical and finds fault with everything, you can describe that person as captious.</t>
  </si>
  <si>
    <t xml:space="preserve">1. a loose outer piece of clothing without sleeves, that fastens at the neck, and is worn instead of a coat
2. something that hides, covers, or keeps something else secret: 
3. to cover or hide something: </t>
  </si>
  <si>
    <t xml:space="preserve">1. A cosmopolitan place or society is full of people from many different countries and cultures. 
2. Someone who is cosmopolitan has had a lot of contact with people and things from many different countries and as a result is very open to different ideas and ways of doing things. </t>
  </si>
  <si>
    <t>Something that is detrimental to something else has a harmful or damaging effect on it</t>
  </si>
  <si>
    <t xml:space="preserve">1. Something that is economical does not require a lot of money to operate. For example a car that only uses a small amount of petrol is economical. 
2. Someone who is economical spends money sensibly and does not want to waste it on things that are unnecessary. A way of life that is economical does not need a lot of money. 
3. Economical means using the minimum amount of time, effort, or language that is necessary. </t>
  </si>
  <si>
    <t>especially of a disease or a condition, regularly found and very common among a particular group or in a particular area</t>
  </si>
  <si>
    <t xml:space="preserve">If something is feasible, it can be done, made, or achieved. </t>
  </si>
  <si>
    <t xml:space="preserve">If you describe a remark or idea as felicitous, you approve of it because it seems particularly suitable in the circumstances. </t>
  </si>
  <si>
    <t xml:space="preserve">The juxtaposition of two contrasting objects, images, or ideas is the fact that they are placed together or described together, so that the differences between them are emphasized. </t>
  </si>
  <si>
    <t>1. Your kindred are your family, and all the people who are related to you
2. Kindred things are similar to each other</t>
  </si>
  <si>
    <t xml:space="preserve">1. If you lament something, you express your sadness, regret, or disappointment about it. 
2. Someone's lament is an expression of their sadness, regret, or disappointment about something. 
3. A lament is a poem, song, or piece of music which expresses sorrow that someone has died. </t>
  </si>
  <si>
    <t xml:space="preserve">Nonintervention is the practice or policy of not becoming involved in a dispute or disagreement between other people and of not helping either side. </t>
  </si>
  <si>
    <t xml:space="preserve">If an idea, system, or organization ossifies or if something ossifies it, it becomes fixed and difficult to change. </t>
  </si>
  <si>
    <t xml:space="preserve">If you say that someone is overstating something, you mean they are describing it in a way that makes it seem more important or serious than it really is. </t>
  </si>
  <si>
    <t>a model of something, or a very clear and typical example of something</t>
  </si>
  <si>
    <t>an uncomfortable feeling of doubt about whether you are doing the right thing</t>
  </si>
  <si>
    <t xml:space="preserve">If you squander money, resources, or opportunities, you waste them. </t>
  </si>
  <si>
    <t xml:space="preserve">1. If someone or something is acclaimed, they are praised enthusiastically. 
2. Acclaim is public praise for someone or something. </t>
  </si>
  <si>
    <t>extreme admiration or praise</t>
  </si>
  <si>
    <t>1. providing psychological relief through the open expression of strong emotions; causing catharsis
2. purgative/laxative</t>
  </si>
  <si>
    <t>(used esp of a person's appearance or clothes) not stylish or fashionable</t>
  </si>
  <si>
    <t>humorous, especially in an unusual way</t>
  </si>
  <si>
    <t>The verb expatiate means "to add details to in order to clear up." If your story is confusing to everyone who hears it, certain key parts must be missing. Better expatiate so that people can understand it.</t>
  </si>
  <si>
    <t xml:space="preserve">If you say that someone has shown fortitude, you admire them for being brave, calm, and uncomplaining when they have experienced something unpleasant or painful. </t>
  </si>
  <si>
    <t xml:space="preserve">If you are vilified by someone, they say or write very unpleasant things about you, so that people will have a low opinion of you. </t>
  </si>
  <si>
    <t>To enfeeble is to make someone or something very weak or fragile. Your governor's budget cuts might enfeeble the state's public school system.</t>
  </si>
  <si>
    <t xml:space="preserve">If you describe something such as a price or fee as exorbitant, you are emphasizing that it is much greater than it should be. </t>
  </si>
  <si>
    <t>A goad is a pointy stick or other instrument used to prod something along. To goad is to poke something with that pointy stick. Literally or figuratively, a goad prods and pokes and provokes people into doing something. A sheep herder might hustle his flock along with a goad, just as your mom's constant nagging and goading might finally get you sit up straight at the dinner table.</t>
  </si>
  <si>
    <t>ತಿವಿಗೋಲು</t>
  </si>
  <si>
    <t>very small and therefore not important or not worth considering</t>
  </si>
  <si>
    <t xml:space="preserve">1. A malignant tumour or disease is out of control and likely to cause death. 
2. If you say that someone is malignant, you think they are cruel and like to cause harm. </t>
  </si>
  <si>
    <t>Mawkish means excessively sentimental or so sappy it's sickening. Which is how you'd describe two lovebirds gushing over each other or your grandma’s cooing and cheek pinches.</t>
  </si>
  <si>
    <t>Something that is mundane is very ordinary and not at all interesting or unusual</t>
  </si>
  <si>
    <t xml:space="preserve">If you describe someone as obdurate, you think that they are being unreasonable in their refusal to change their decision or opinion. </t>
  </si>
  <si>
    <t>1. If you are obliged to do something, a situation, rule, or law makes it necessary for you to do that thing
2. To oblige someone means to be helpful to them by doing what they have asked you to do</t>
  </si>
  <si>
    <t>1. to advertise, talk about, or praise something or someone repeatedly, especially as a way of encouraging people to like, accept, or buy something
2. to repeatedly try to persuade people to buy your goods or services
3. to sell tickets for something such as a sports game or theatre performance unofficially, usually at a much higher price than the official price
4. n: a person who touts tickets</t>
  </si>
  <si>
    <t>not reduced or lessened</t>
  </si>
  <si>
    <t xml:space="preserve">1. If you abstain from something, usually something you want to do, you deliberately do not do it. 
2. If you abstain during a vote, you do not use your vote. </t>
  </si>
  <si>
    <t>unfavourable</t>
  </si>
  <si>
    <t>Something that's ahistorical completely ignores or disregards the history or tradition that came before it. An ahistorical review of a movie would leave out any references to influential films and directors.</t>
  </si>
  <si>
    <t>Something that is arduous is difficult and tiring, and involves a lot of effort</t>
  </si>
  <si>
    <t>1. If you describe something as austere, you approve of its plain and simple appearance. 
2. If you describe someone as austere, you disapprove of them because they are strict and serious. 
3. An austere way of life is one that is simple and without luxuries. 
4. An austere economic policy is one which reduces people's living standards sharply.</t>
  </si>
  <si>
    <t>Autonomous describes things that function separately or independently. Once you move out of your parents' house and get your own job, you will be an autonomous member of the family.</t>
  </si>
  <si>
    <t xml:space="preserve">1. A bridle is a set of straps that is put around a horse's head and mouth so that the person riding or driving the horse can control it. 
2. If you bridle, you show that you are angry or offended by moving your head and body upwards in a proud way. </t>
  </si>
  <si>
    <t xml:space="preserve">A canny person is clever and able to think quickly. You can also describe a person's behaviour as canny. </t>
  </si>
  <si>
    <t xml:space="preserve">If you say that someone is condescending, you are showing your disapproval of the fact that they talk or behave in a way which shows that they think they are superior to other people. </t>
  </si>
  <si>
    <t>If something disconcerts you, it makes you feel suddenly disturbed or worried</t>
  </si>
  <si>
    <t xml:space="preserve">Draconian laws or measures are extremely harsh and severe. </t>
  </si>
  <si>
    <t xml:space="preserve">Something that is evanescent gradually disappears from sight or memory. </t>
  </si>
  <si>
    <t>needing urgent attention, or demanding too much from other people</t>
  </si>
  <si>
    <t>If you describe someone as farsighted, you admire them because they understand what is likely to happen in the future, and therefore make wise decisions and plans</t>
  </si>
  <si>
    <t xml:space="preserve">Someone who instigates an event causes it to happen. </t>
  </si>
  <si>
    <t xml:space="preserve">If you refer to someone as a luminary, you mean that they are an expert in a particular subject or activity. </t>
  </si>
  <si>
    <t>1. A mercenary is a soldier who is paid to fight by a country or group that they do not belong to
2. If you describe someone as mercenary, you are criticizing them because you think that they are only interested in the money that they can get from a particular person or situation</t>
  </si>
  <si>
    <t xml:space="preserve">If you are mystified by something, you find it impossible to explain or understand. </t>
  </si>
  <si>
    <t xml:space="preserve">1. You use scant to indicate that there is very little of something or not as much of something as there should be. 
2. If you describe an amount as scant, you are emphasizing that it is small. </t>
  </si>
  <si>
    <t xml:space="preserve">Affluence is the state of having a lot of money or a high standard of living. </t>
  </si>
  <si>
    <t xml:space="preserve">An avaricious person is very greedy for money or possessions. </t>
  </si>
  <si>
    <t xml:space="preserve">Anything related to office work is called clerical, especially the more menial and boring jobs such as filing and administration. </t>
  </si>
  <si>
    <t xml:space="preserve">1. If something is commonplace, it happens often or is often found, and is therefore not surprising. 
2. A commonplace is something that happens often or is often found. 
3. A commonplace is a remark or opinion that is often expressed and is therefore not original or interesting. </t>
  </si>
  <si>
    <t>To do something under duress means to do it because someone forces you to do it or threatens you</t>
  </si>
  <si>
    <t xml:space="preserve">Something or someone that is elusive is difficult to find, describe, remember, or achieve. </t>
  </si>
  <si>
    <t>to take control or possession of something in a gradual way and often without being noticed</t>
  </si>
  <si>
    <t>A factious group is one that breaks away, or wants to
Faction: a small group of people within a larger one, whose members have some different aims and beliefs to those of the larger group</t>
  </si>
  <si>
    <t xml:space="preserve">If you say that someone is implacable, you mean that they have very strong feelings of hostility or disapproval which nobody can change. </t>
  </si>
  <si>
    <t xml:space="preserve">Incontrovertible evidence or facts are absolutely certain and cannot be shown to be wrong. </t>
  </si>
  <si>
    <t xml:space="preserve">If you say that someone is being insolent, you mean they are being rude to someone they ought to be respectful to. </t>
  </si>
  <si>
    <t>The adjective invidious is used to describe an act, thought, opinion or critique that is full of ill will or prejudice. When the captain of a cheerleading squad says nasty things about an opposing cheer team's skills, work ethic, and uniforms, those are invidious comments.</t>
  </si>
  <si>
    <t xml:space="preserve">Irrefutable evidence, statements, or arguments cannot be shown to be incorrect or unsatisfactory. </t>
  </si>
  <si>
    <t xml:space="preserve">You describe something such as an event or story as macabre when it is strange and horrible or upsetting, usually because it involves death or injury. </t>
  </si>
  <si>
    <t xml:space="preserve">If one thing outstrips another, the first thing becomes larger in amount, or more successful or important, than the second thing. </t>
  </si>
  <si>
    <t xml:space="preserve">1. When a substance is refined, it is made pure by having all other substances removed from it. 
2. If something such as a process, theory, or machine is refined, it is improved by having small changes made to it. </t>
  </si>
  <si>
    <t xml:space="preserve">If an action or event has repercussions, it causes unpleasant things to happen some time after the original action or event. </t>
  </si>
  <si>
    <t>Salubrious is a fancy way to describe something that’s good for you or is generally favorable to mind or body, but it need not be limited to describing healthy foods or liquids.</t>
  </si>
  <si>
    <t xml:space="preserve">If land is uncultivated, there are no crops growing on it. </t>
  </si>
  <si>
    <t xml:space="preserve">If you describe a place, person, or thing as unpretentious, you approve of them because they are simple in appearance or character, rather than sophisticated or luxurious. </t>
  </si>
  <si>
    <t>If you find something or someone wanting, they are not of as high a standard as you think they should be. [they lack something necessary]</t>
  </si>
  <si>
    <t>unclear because it can be understood in more than one way</t>
  </si>
  <si>
    <t>1. the distant past (= a long time ago), especially before the sixth century
2. an object that was created a very long time ago</t>
  </si>
  <si>
    <t>To bolster is to support or strengthen.
A bolster is also the name of a long pillow you might use to make your back feel better.</t>
  </si>
  <si>
    <t>using cleverness to cheat people</t>
  </si>
  <si>
    <t>Empirical evidence or study relies on practical experience rather than theories</t>
  </si>
  <si>
    <t xml:space="preserve">A problem that is insurmountable is so great that it cannot be dealt with successfully. </t>
  </si>
  <si>
    <t xml:space="preserve">1. Obeisance to someone or something is great respect shown for them. 
2. An obeisance is a physical gesture, especially a bow, that you make in order to show your respect for someone or something. </t>
  </si>
  <si>
    <t>Opportunism is taking advantage of situations and people in a self-centered way, without regard to the consequences.</t>
  </si>
  <si>
    <t xml:space="preserve">1. If someone has poise, they are calm, dignified, and self-controlled. 
2. Poise is a graceful, very controlled way of standing and moving. </t>
  </si>
  <si>
    <t xml:space="preserve">A populous country or area has a lot of people living in it. </t>
  </si>
  <si>
    <t xml:space="preserve">Something that is unadorned is plain, rather than having decoration on it. </t>
  </si>
  <si>
    <t xml:space="preserve">1. If a place or building is accessible to people, it is easy for them to reach it or get into it. If an object is accessible, it is easy to reach. 
2. If something is accessible to people, they can easily use it or obtain it. 
3. If you describe a book, painting, or other work of art as accessible, you think it is good because it is simple enough for people to understand and appreciate easily. </t>
  </si>
  <si>
    <t>An anachronism is something that doesn't fit its time period, like if you say you'll "dial" your smartphone.</t>
  </si>
  <si>
    <t xml:space="preserve">Someone who is artless is simple and honest, and does not think of deceiving other people. </t>
  </si>
  <si>
    <t xml:space="preserve">If you are cogitating, you are thinking deeply about something. </t>
  </si>
  <si>
    <t>When you want to describe something that includes all or most details, you can use the adjective comprehensive. If you get the comprehensive treatment at a spa, it might include massage, manicure and a facial.</t>
  </si>
  <si>
    <t xml:space="preserve">1. Someone who is conventional has behaviour or opinions that are ordinary and normal. 
2. A conventional method or product is one that is usually used or that has been in use for a long time. 
3. Conventional weapons and wars do not involve nuclear explosives. </t>
  </si>
  <si>
    <t xml:space="preserve">If there is a dearth of something, there is not enough of it. </t>
  </si>
  <si>
    <t xml:space="preserve">1. If you denounce a person or an action, you criticize them severely and publicly because you feel strongly that they are wrong or evil. 
2. If you denounce someone who has broken a rule or law, you report them to the authorities. </t>
  </si>
  <si>
    <t>(of a person or a group) strongly expressing your beliefs as if they were facts</t>
  </si>
  <si>
    <t>If you are euphoric, you feel intense happiness and excitement</t>
  </si>
  <si>
    <t>1. If you describe someone's behaviour as a mask, you mean that they do not show their real feelings or character. 
2. If you mask your feelings, you deliberately do not show them in your behaviour, so that people cannot know what you really feel. 
3. If one thing masks another, it prevents people from noticing or recognizing the other thing. 
4. &lt;Other obvious meanings&gt;</t>
  </si>
  <si>
    <t xml:space="preserve">1. If you pacify someone who is angry, upset, or not pleased, you succeed in making them calm or pleased. 
2. If the army or the police pacify a group of people, they use force to overcome their resistance or protests. </t>
  </si>
  <si>
    <t xml:space="preserve">Someone who is petulant is unreasonably angry and upset in a childish way. </t>
  </si>
  <si>
    <t>When you premeditate, you are planning ahead</t>
  </si>
  <si>
    <t>apparently correct or true, but actually wrong or false</t>
  </si>
  <si>
    <t>If a liquid is dark and murky and you can't see through it, it's turbid. It’s usually used as a criticism — a turbid river is generally a polluted one, but then again a good pint of real ale should be turbid. If your teacher says your essay for English is turbid, it’s time to go back to work!</t>
  </si>
  <si>
    <t>If something such as food or drink is adulterated, someone has made its quality worse by adding water or cheaper products to it</t>
  </si>
  <si>
    <t>Ardent is used to describe someone who has extremely strong feelings about something or someone. 
"ardent supporter", "ardent opponent"</t>
  </si>
  <si>
    <t xml:space="preserve">If you deride someone or something, you say that they are stupid or have no value. </t>
  </si>
  <si>
    <t>A garrulous person just won’t stop talking (and talking, and talking, and talking...)</t>
  </si>
  <si>
    <t>the state or quality of being partial; tendency to favor unfairly; bias</t>
  </si>
  <si>
    <t xml:space="preserve">Someone's prowess is their great skill at doing something. </t>
  </si>
  <si>
    <t xml:space="preserve">1. To stimulate something means to encourage it to begin or develop further. 
2. If you are stimulated by something, it makes you feel full of ideas and enthusiasm. 
3. If something stimulates a part of a person's body, it causes it to move or start working. </t>
  </si>
  <si>
    <t>Anything superficial has to do with the surface of something. If you're judging a book by its cover, you're being superficial. People who worry too much about their clothes and hair may also be considered superficial. Superficial can have a negative flavor; calling someone superficial is saying that they are shallow and care too little about meaningful things.</t>
  </si>
  <si>
    <t xml:space="preserve">to report fewer than the actual number or less than the true amount of </t>
  </si>
  <si>
    <t xml:space="preserve">If one thing is analogous to another, the two things are similar in some way. </t>
  </si>
  <si>
    <t xml:space="preserve">A congenial person, place, or environment is pleasant. Congenial means sharing the same temperament, or agreeing with your temperament. </t>
  </si>
  <si>
    <t xml:space="preserve">1. If two or more people or groups conspire to do something illegal or harmful, they make a secret agreement to do it. 
2. If events conspire to produce a particular result, they seem to work together to cause this result. </t>
  </si>
  <si>
    <t>to make timid and submissive by filling with fear or awe; intimidate</t>
  </si>
  <si>
    <t xml:space="preserve">If you describe something as ephemeral, you mean that it lasts only for a very short time. </t>
  </si>
  <si>
    <t>an inoffensive word or phrase substituted for one considered offensive or hurtful, esp one concerned with religion, sex, death, or excreta. Examples of euphemisms are sleep with for have sexual intercourse with; departed for dead; relieve oneself for urinate</t>
  </si>
  <si>
    <t>instead of "eww femme", lil flamboyant</t>
  </si>
  <si>
    <t xml:space="preserve">1. If a possible or expected event does not materialize, it does not happen. 
2. If a person or thing materializes, they suddenly appear, after they have been invisible or in another place. </t>
  </si>
  <si>
    <t xml:space="preserve">If you describe someone as mercurial, you mean that they frequently change their mind or mood without warning. </t>
  </si>
  <si>
    <t>If you're spirited and brave, you're mettlesome. It takes a mettlesome person to hike the Appalachian Trail all alone.</t>
  </si>
  <si>
    <t>imitate (v), imitator (n)</t>
  </si>
  <si>
    <t xml:space="preserve">If you describe someone as obsequious, you are criticizing them because they are too eager to help or agree with someone more important than them. </t>
  </si>
  <si>
    <t xml:space="preserve">1. If you replicate someone's experiment, work, or research, you do it yourself in exactly the same way. 
2. If a molecule replicates, it divides into smaller molecules which are exact copies of itself. </t>
  </si>
  <si>
    <t>1. Abreast means side by side; "...or them to walk abreast", "As he drew abreast of the man he pretended to stumble"
2. Abreast can also mean "informed or up-to-date." If you're a big fan of comics, you probably keep abreast of all the latest publications and conventions.</t>
  </si>
  <si>
    <t>a criticism, suggestion, or remark that damages another person's reputation</t>
  </si>
  <si>
    <t>You know that vinegar-like liquid teens put on their faces in order to tighten their pores and dry up their pimples? That's astringent. An astringent personality, on the other hand, is perceived as bitter and perhaps even a bit toxic.</t>
  </si>
  <si>
    <t xml:space="preserve">When something balloons, it increases rapidly in amount. </t>
  </si>
  <si>
    <t>1. Banter is teasing or joking talk that is amusing and friendly
2. banter "with" someone</t>
  </si>
  <si>
    <t>using or characterized by high-sounding but unimportant or meaningless language</t>
  </si>
  <si>
    <t xml:space="preserve">If you are circumspect, you are cautious in what you do and say and do not take risks. </t>
  </si>
  <si>
    <t xml:space="preserve">A contretemps is a small disagreement that is rather embarrassing. </t>
  </si>
  <si>
    <t>1. If you describe someone as cynical, you mean they believe that people always act selfishly
2. If you are cynical about something, you do not believe that it can be successful or that the people involved are honest</t>
  </si>
  <si>
    <t>To debase something means to reduce its value or quality
"Politicians have debased the meaning of the word 'freedom'"</t>
  </si>
  <si>
    <t>quick and neat in movement; nimble; dexterous</t>
  </si>
  <si>
    <t>Distort means to twist out of shape.
When one distorts the truth, it might not be an out-and-out lie; it could just be an exaggeration — like telling your pals you caught a six-foot tuna when you actually landed a six-inch minnow.</t>
  </si>
  <si>
    <t>To exorcise is to cast out a devil or evil spirit, using prayer and other religious tools.</t>
  </si>
  <si>
    <t xml:space="preserve">If you describe something as illusory, you mean that although it seems true or possible, it is in fact false or impossible. </t>
  </si>
  <si>
    <t xml:space="preserve">1. A malady is an illness or disease. 
2. In written English, people sometimes use maladies to refer to serious problems in a society or situation. </t>
  </si>
  <si>
    <t>If your friend is acting cool, unconcerned or in an indifferent manner, call him nonchalant — like when he saunters by a group of whispering, giggling girls and just nods and says, "Hey."</t>
  </si>
  <si>
    <t>betrayal of a trust (ನಂಬಿಕೆ ದ್ರೋಹ)</t>
  </si>
  <si>
    <t>Redemption is the buying back of something. You might try for redemption by attempting to buy back a bike you sold, or you might attempt to buy back your soul after you steal someone else’s bike.</t>
  </si>
  <si>
    <t>Remote describes something far, far away, like a campsite way out in the woods, a distant planet, or the chance you'll win the lottery.</t>
  </si>
  <si>
    <t xml:space="preserve">1. When animals ruminate, they bring food back from their stomach into their mouth and chew it again. 
2. If you ruminate on something, you think about it very carefully. </t>
  </si>
  <si>
    <t xml:space="preserve">1. To synthesize a substance means to produce it by means of chemical or biological reactions. 
2. If you synthesize different ideas, facts, or experiences, you combine them to form a single idea or impression. </t>
  </si>
  <si>
    <t xml:space="preserve">Someone or something that is atypical is not typical of its kind. </t>
  </si>
  <si>
    <t>Belligerence is a natural disposition to be hostile or aggressive, or a warlike attitude. The belligerence of Roman gladiators made them excel in battle and instilled fear in their opponents.</t>
  </si>
  <si>
    <t xml:space="preserve">If someone condones behaviour that is morally wrong, they accept it and allow it to happen. </t>
  </si>
  <si>
    <t>Old Italian Origin</t>
  </si>
  <si>
    <t>1. If someone harangues you, they try to persuade you to accept their opinions or ideas in a forceful way
2. A harangue is a long, forceful speech that someone makes to try and persuade other people to accept their opinions</t>
  </si>
  <si>
    <t xml:space="preserve">If you say that someone is inept, you are criticizing them because they do something with a complete lack of skill. </t>
  </si>
  <si>
    <t>1. used to refer to the part of the work of teachers and priests that involves giving help and advice about personal matters: 
2. A pastoral piece of art, writing, or music represents the pleasant and traditional features of the countryside</t>
  </si>
  <si>
    <t xml:space="preserve">If you say that there is a paucity of something, you mean that there is not enough of it. </t>
  </si>
  <si>
    <t xml:space="preserve">1. If you describe something as plastic, you mean that you think it looks or tastes unnatural or not real. 
2. If you use plastic or plastic money to pay for something, you pay for it with a credit card instead of using cash. 
3. Something that is plastic is soft and can easily be made into different shapes. </t>
  </si>
  <si>
    <t>ordinary; recurring everyday</t>
  </si>
  <si>
    <t>/kwoʊˈtɪd.i.ən/</t>
  </si>
  <si>
    <t xml:space="preserve">1. If someone in authority sanctions an action or practice, they officially approve of it and allow it to be done. 
2. Sanctions are measures taken by countries to restrict trade and official contact with a country that has broken international law. 
3. A sanction is a severe course of action which is intended to make people obey instructions, customs, or laws. 
4. If a country or an authority sanctions another country or a person for doing something, it declares that the country or person is guilty of doing it and imposes sanctions on them. </t>
  </si>
  <si>
    <t>1. If people scuffle, they fight for a short time in a disorganized way
2. A scuffle is a short, disorganized fight or struggle</t>
  </si>
  <si>
    <t xml:space="preserve">lacking tact;
tact: Tact is the ability to avoid upsetting or offending people by being careful not to say or do things that would hurt their feelings. </t>
  </si>
  <si>
    <t>Tangential describes something that's not part of the whole. If you make a comment that is tangential to the story you're telling, it's a digression. The story could still be understood without it.</t>
  </si>
  <si>
    <t xml:space="preserve">If you have tenacity, you are very determined and do not give up easily. </t>
  </si>
  <si>
    <t>When something is tendentious, it shows a bias towards a particular point of view, especially one that people disagree about</t>
  </si>
  <si>
    <t>1. Something that's terrific is wonderful, like a terrific concert you'll never forget. 
2. Terrific can also describe something very intense, like a terrific thunderstorm.</t>
  </si>
  <si>
    <t xml:space="preserve">Torpor is the state of being completely inactive mentally or physically, for example because of illness or laziness. </t>
  </si>
  <si>
    <t xml:space="preserve">If you say that something is transitory, you mean that it lasts only for a short time. </t>
  </si>
  <si>
    <t xml:space="preserve">If you vacillate between two alternatives or choices, you keep changing your mind. </t>
  </si>
  <si>
    <t>hostile, opposed, resistant, at odds</t>
  </si>
  <si>
    <t>Something apposite is fitting or relevant. It is apposite that radio stations play Christmas carols on Christmas Eve, and that your tax accountant takes vacation after April 15th. It all makes sense.</t>
  </si>
  <si>
    <t>a pretentious, swaggering display of courage</t>
  </si>
  <si>
    <t xml:space="preserve">Candor is the quality of speaking honestly and openly about things. </t>
  </si>
  <si>
    <t>1. A conviction is a strong belief or opinion
2. If someone has a conviction, they have been found guilty of a crime in a court of law</t>
  </si>
  <si>
    <t xml:space="preserve">1. If one country or group of countries imposes an embargo against another, it forbids trade with that country. 
2. If goods of a particular kind are embargoed, people are not allowed to import them from a particular country or export them to a particular country. </t>
  </si>
  <si>
    <t xml:space="preserve">"Fallible" means capable of making mistakes — or, easier to remember — capable of failing. Infallible means exactly the opposite — incapable of failing. 
If a person or thing is infallible, they are never wrong. </t>
  </si>
  <si>
    <t xml:space="preserve">A propensity to do something or a propensity for something is a natural tendency that you have to behave in a particular way. </t>
  </si>
  <si>
    <t>1. open, unfasten
2. reverse
3. ruin, destroy</t>
  </si>
  <si>
    <t xml:space="preserve">
not capable of being quantified</t>
  </si>
  <si>
    <t>Zeal is great enthusiasm, especially in connection with work, religion, or politics</t>
  </si>
  <si>
    <t>To attenuate something means to reduce it or weaken it</t>
  </si>
  <si>
    <t>1. bearing on something: the way in which something is related to something or influences it
2. the way in which you stand, walk or behave
"She had a proud, distinguished bearing"
3. an exact position, measured clockwise (= to the right) from north. Bearings are given as three numbers:
"The campsite is 5 miles away from here on a bearing of 045 degrees."
4. your bearings: knowledge of your position relative to everything that is around or near you
5. a part of a machine that supports a moving part, especially one that is turning</t>
  </si>
  <si>
    <t>To bias someone means to influence them in favour of a particular choice</t>
  </si>
  <si>
    <t xml:space="preserve">If something burgeons, it grows or develops rapidly. </t>
  </si>
  <si>
    <t xml:space="preserve">Discord is disagreement and argument between people. </t>
  </si>
  <si>
    <t xml:space="preserve">If you discount an idea, fact, or theory, you consider that it is not true, not important, or not relevant. </t>
  </si>
  <si>
    <t>When you palliate something, you try to make something less bad. 
Palliate doesn’t mean “cure” or “solve.” Instead, something that palliates relieves the symptoms or consequences of something, without addressing the underlying cause. Your dentist might give you pain-killing drugs to palliate the discomfort caused by an impacted molar, but that molar is still there, waiting to cause more trouble.</t>
  </si>
  <si>
    <t xml:space="preserve">Perseverance is the quality of continuing with something even though it is difficult. </t>
  </si>
  <si>
    <t>A vivacious person, especially a woman or girl, is attractively energetic and enthusiastic</t>
  </si>
  <si>
    <t xml:space="preserve">If something bad or undesirable abates, it becomes much less strong or severe. </t>
  </si>
  <si>
    <t xml:space="preserve">1. To anoint someone means to put oil or water on a part of their body, usually for religious reasons. 
2. If a person in a position of authority anoints someone, they choose them to do a particular important job. </t>
  </si>
  <si>
    <t>1. A clumsy person moves or handles things in a careless, awkward way, often so that things are knocked over or broken
2. A clumsy action or statement is not skilful or is likely to upset people
3. An object that is clumsy is not neat in design or appearance, and is often awkward to use</t>
  </si>
  <si>
    <t>The noun comity means a state of civility or courtesy between people, organizations, and nations. It's a hoped-for mutual respect and friendliness, although too infrequently the case in politics and business.</t>
  </si>
  <si>
    <t xml:space="preserve">1. Counterfeit money, goods, or documents are not genuine, but have been made to look exactly like genuine ones in order to deceive people. 
2. If someone counterfeits something, they make a version of it that is not genuine but has been made to look genuine in order to deceive people. </t>
  </si>
  <si>
    <t xml:space="preserve">If you describe someone as feckless, you mean that they lack determination or strength, and are unable to do anything properly. </t>
  </si>
  <si>
    <t xml:space="preserve">If one thing presupposes another, the first thing cannot be true or exist unless the second thing is true or exists. </t>
  </si>
  <si>
    <t>1. If something is done with rigour, it is done in a strict, thorough way
2. If you refer to the rigours of an activity or job, you mean the difficult, demanding, or unpleasant things that are associated with it</t>
  </si>
  <si>
    <t xml:space="preserve">A tirade is a long angry speech in which someone criticizes a person or thing. </t>
  </si>
  <si>
    <t>taɪreɪd</t>
  </si>
  <si>
    <t xml:space="preserve">If you describe a person as unscrupulous, you are critical of the fact that they are prepared to act in a dishonest or immoral way in order to get what they want. </t>
  </si>
  <si>
    <t xml:space="preserve">Valor is great bravery, especially in battle. </t>
  </si>
  <si>
    <t xml:space="preserve">If you describe someone as vociferous, you mean that they speak with great energy and determination, because they want their views to be heard. </t>
  </si>
  <si>
    <t>Because an adherent is usually something or someone that sticks to something or someone else, it's logical that it can also mean a person who believes in and supports a certain philosophy or leader.</t>
  </si>
  <si>
    <t xml:space="preserve">You say that something is anachronistic when you think that it is out of date or old-fashioned. </t>
  </si>
  <si>
    <t>Animosity is a strong feeling of dislike and anger.</t>
  </si>
  <si>
    <t>If you aver that something is the case, you say very firmly that it is true</t>
  </si>
  <si>
    <t xml:space="preserve">A cogent reason, argument, or example is strong and convincing. </t>
  </si>
  <si>
    <t xml:space="preserve">If a situation or agreement is conditional on something, it will only happen or continue if this thing happens. </t>
  </si>
  <si>
    <t>someone/something who/that is the reason for something bad happening</t>
  </si>
  <si>
    <t xml:space="preserve">1. Manacles are metal devices attached to a prisoner's wrists or legs in order to prevent him or her from moving or escaping. 
2. If a prisoner is manacled, their wrists or legs are put in manacles in order to prevent them from moving or escaping. </t>
  </si>
  <si>
    <t xml:space="preserve">Opprobrium is open criticism or disapproval of something that someone has done. </t>
  </si>
  <si>
    <t>1. overturn: quash something (law): to officially say that a decision made by a court is no longer legally acceptable or correct
2. suppress: quash something: to take action to stop something from continuing</t>
  </si>
  <si>
    <t xml:space="preserve">A rapprochement is an increase in friendliness between two countries, groups, or people, especially after a period of unfriendliness. </t>
  </si>
  <si>
    <t>same as stoical; not showing or not feeling any emotion, esp. in a situation in which the expression of emotion is expected</t>
  </si>
  <si>
    <t xml:space="preserve">If something is tempting, it makes you want to do it or have it. </t>
  </si>
  <si>
    <t xml:space="preserve">1. A tortuous road is full of bends and twists. 
2. A tortuous process or piece of writing is very long and complicated. </t>
  </si>
  <si>
    <t>not likely to arouse controversy;
A controversy is a dispute or argument in which people express strong opposing views.</t>
  </si>
  <si>
    <t>1. Someone who is aloof is not very friendly and does not like to spend time with other people
2. If someone stays aloof from something, they do not become involved with it</t>
  </si>
  <si>
    <t>If something or someone astonishes you, they surprise you very much</t>
  </si>
  <si>
    <t>If you brandish something, especially a weapon, you wave it in a threatening or excited way</t>
  </si>
  <si>
    <t xml:space="preserve">1. A contingent of police, soldiers, or military vehicles is a group of them. 
2. A contingent is a group of people representing a country or organization at a meeting or other event. 
3. If something is contingent on something else, the first thing depends on the second in order to happen or exist. </t>
  </si>
  <si>
    <t>1. If you delineate something, you outline/describe/define it, often in a lot of detail
2. If you delineate a border, you say exactly where it is going to be</t>
  </si>
  <si>
    <t xml:space="preserve">A dilemma is a difficult situation in which you have to choose between two or more alternatives. </t>
  </si>
  <si>
    <t xml:space="preserve">1. When something disperses or when you disperse it, it spreads over a wide area. 
2. When a group of people disperses or when someone disperses them, the group splits up and the people leave in different directions. </t>
  </si>
  <si>
    <t>When soil or land erodes, it wears away or is removed. Many beaches seem to get smaller and smaller, as the endless wash of the waves begins to erode the fine sand.
While erode is most commonly used when describing land loss, you can also use it in less literal ways. Numerous hospital bills can cause your savings to erode. Each time you catch your friend in a lie, your trust in her erodes a little more. Consumer confidence is eroding away as the media reports more and more bad economic news. What’s key here is both the sense of loss, as well as the idea that it is a gradual process.</t>
  </si>
  <si>
    <t xml:space="preserve">1. If someone fabricates information, they invent it in order to deceive people. 
2. If something is fabricated from different materials or substances, it is made out of those materials or substances. </t>
  </si>
  <si>
    <t>1. a large piece of equipment that is pulled behind a tractor to break the earth into small pieces ready for planting
2. to cause mental distress to; torment; vex: "harrowing footage"</t>
  </si>
  <si>
    <t xml:space="preserve">1. Something that is improbable is unlikely to be true or to happen. 
2. If you describe something as improbable, you mean it is strange, unusual, or ridiculous. </t>
  </si>
  <si>
    <t xml:space="preserve">Skulduggery is behaviour in which someone acts in a dishonest way in order to achieve their aim. </t>
  </si>
  <si>
    <t>Strategic is a military word, relating to the careful plotting and planning necessary to win battles. But you don't need to be a general to think strategically. If you recruit your friends to talk you up to the girl you have a crush on, you're taking a strategic approach to romance.</t>
  </si>
  <si>
    <t>An advocate is someone who supports a cause, like an advocate for outdoor recess. Advocate is also a verb meaning to speak in favor of, so you can advocate for that outdoor recess by urging your school to play outside!</t>
  </si>
  <si>
    <t>If you are aghast, you are filled with horror and surprise</t>
  </si>
  <si>
    <t>fake</t>
  </si>
  <si>
    <t xml:space="preserve">To corroborate something that has been said or reported means to provide evidence or information that supports it. </t>
  </si>
  <si>
    <t xml:space="preserve">If a ruler or political leader is deposed, they are forced to give up their position. </t>
  </si>
  <si>
    <t xml:space="preserve">If there is a dichotomy between two things, there is a very great difference or opposition between them. </t>
  </si>
  <si>
    <t>A disjunction is a broken connection. If you expect to be a doctor but you haven't taken any science courses since high school biology, you would have a disjunction between your expectations and your training.</t>
  </si>
  <si>
    <t>An exegesis is an explanation and interpretation of a piece of writing, especially a religious piece of writing, after very careful study</t>
  </si>
  <si>
    <t>Someone's foresight is their ability to see what is likely to happen in the future and to take appropriate action</t>
  </si>
  <si>
    <t xml:space="preserve">You use indefatigable to describe someone who never gets tired of doing something. </t>
  </si>
  <si>
    <t xml:space="preserve">If you are nonplussed, you feel confused and unsure how to react. </t>
  </si>
  <si>
    <t>1. Something noxious is harmful and could be even fatal
2. People are called noxious too when they hurt others with cruelty or mental anguish.</t>
  </si>
  <si>
    <t xml:space="preserve">If you describe something as pernicious, you mean that it is very harmful. </t>
  </si>
  <si>
    <t xml:space="preserve">1. Profundity is great intellectual depth and understanding. 
2. If you refer to the profundity of a feeling, experience, or change, you mean that it is deep, powerful, or serious. 
3. A profundity is a remark that shows great intellectual depth and understanding. </t>
  </si>
  <si>
    <t>Prolix means using more words than necessary.</t>
  </si>
  <si>
    <t xml:space="preserve">1. If people promulgate a new law or a new idea, they make it widely known. 
2. If a new law is promulgated by a government or national leader, it is publicly approved or made official. </t>
  </si>
  <si>
    <t>1. lukewarm
2. half-hearted, unenthusiastic</t>
  </si>
  <si>
    <t>Story</t>
  </si>
  <si>
    <t>Certainly. I'll highlight the words you provided in the story. Here's the revised version with the requested words in bold:
In the bustling tech hub of Bangalore, Kavya, a young software engineer with a passion for environmental conservation, found herself in a quandary. Her startup, which developed eco-friendly apps, was struggling to disseminate its message effectively.
One sweltering summer day, as Kavya sipped on a cool majjige at her favorite darshini, she overheard two elderly gentlemen discussing the city's ecological challenges in Kannada. Their conversation sparked an idea.
Kavya decided to create a contemporary app that would translate complex environmental data into simple Kannada, making it accessible to the masses. However, her usually supportive team seemed sluggish, almost misanthropic towards the idea.
Undeterred, Kavya chose to feign confidence during their next meeting. She presented her concept with such grace that her colleagues couldn't help but exalt her innovative thinking. Her portentous warnings about Bangalore's precarious environmental future, delivered in a mix of English and Kannada, struck a chord.
As the project gained momentum, Kavya found herself intimately involved in every aspect. She had to temper her excitement and modify her approach to accommodate her team's varying skills. The frailty of some team members' coding abilities initially mortified her, but she remained patient and supportive.
Months of hard work culminated in a launch event at Lalbagh Botanical Garden. Kavya, usually reserved, delivered a speech so powerful and gracious that it left the audience in awe. Her app, which she named "Parisara Mitra" (Environmental Friend), was an instant hit.
The success of Parisara Mitra helped Kavya overcome her own ecological anxieties. She realized that by bridging the gap between technology and tradition, between English and Kannada, she had created something truly impactful.
As Kavya stood on the shores of Ulsoor Lake, watching the sunset paint the sky in hues of orange and purple, she felt a sense of accomplishment. Her journey from a quandary-filled beginning to this moment of triumph proved that with perseverance and cultural understanding, even the most portentous challenges could be overcome.</t>
  </si>
  <si>
    <t xml:space="preserve">Once upon a time, in a restive kingdom on the brink of chaos, there was a scholar named Elysia, known for her insightful observations on politics and society. She often served as an intermediary between the royal court and the common folk, trying to maintain peace in a world that seemed on the verge of collapse.
The kingdom had been peaceful for decades, but the flames of rebellion had begun to recrudesce, igniting incendiary debates and fueling unrest. An influential noble named Lord Verian gave an impassioned diatribe against the king’s rule, accusing him of spurious claims to the throne. His words stirred the hearts of many, but Elysia knew they were filled with half-truths and erroneous assumptions.
As tension grew, a band of young revolutionaries emerged, led by an arrogant dilettante who sought fame more than justice. His approach was reckless and indecorous, and many, including Elysia, urged caution. She, however, maintained an inviolate sense of duty to protect her kingdom from further harm.
The king, known for his staid demeanor, called for peace talks, asking Elysia to act as the voice of reason. But when Lord Verian was asked to recant his accusations, he refused and only grew more belligerent. It was at this moment that Elysia chose to speak, her words carefully chosen to illuminate the falsehoods that had clouded the court's judgment.
She warned the court to eschew rash decisions, for they could destroy the kingdom. Her wisdom was met with both admiration and reverence from some, but others found her advice difficult to follow in such turbulent times.
Despite her pleas, the king’s counselors remained inscrutable, and war seemed inevitable. Elysia, knowing the moment for restraint had passed, chose to forbear from further argument. She could no longer prevent the inevitable, but hoped that when the dust settled, truth would triumph over deception, and the kingdom could find peace once more. </t>
  </si>
  <si>
    <t>Difference</t>
  </si>
  <si>
    <t>COUNTA of Word</t>
  </si>
  <si>
    <t>COUNTA of Meaning</t>
  </si>
  <si>
    <t>Percentage done</t>
  </si>
  <si>
    <t>A</t>
  </si>
  <si>
    <t>Words done</t>
  </si>
  <si>
    <t>B</t>
  </si>
  <si>
    <t>Words left</t>
  </si>
  <si>
    <t>C</t>
  </si>
  <si>
    <t>D</t>
  </si>
  <si>
    <t>E</t>
  </si>
  <si>
    <t>F</t>
  </si>
  <si>
    <t>G</t>
  </si>
  <si>
    <t>H</t>
  </si>
  <si>
    <t>I</t>
  </si>
  <si>
    <t>J</t>
  </si>
  <si>
    <t>K</t>
  </si>
  <si>
    <t>L</t>
  </si>
  <si>
    <t>M</t>
  </si>
  <si>
    <t>N</t>
  </si>
  <si>
    <t>O</t>
  </si>
  <si>
    <t>P</t>
  </si>
  <si>
    <t>Q</t>
  </si>
  <si>
    <t>R</t>
  </si>
  <si>
    <t>S</t>
  </si>
  <si>
    <t>T</t>
  </si>
  <si>
    <t>U</t>
  </si>
  <si>
    <t>V</t>
  </si>
  <si>
    <t>W</t>
  </si>
  <si>
    <t>X</t>
  </si>
  <si>
    <t>Y</t>
  </si>
  <si>
    <t>Z</t>
  </si>
  <si>
    <t>(blank)</t>
  </si>
  <si>
    <t>% done</t>
  </si>
  <si>
    <t>done?</t>
  </si>
  <si>
    <t>Progress %</t>
  </si>
  <si>
    <t>Word2</t>
  </si>
  <si>
    <t>Meaning2</t>
  </si>
  <si>
    <t>Sets done:</t>
  </si>
  <si>
    <t>Grand Total</t>
  </si>
  <si>
    <t>Themes</t>
  </si>
  <si>
    <t>Positive Emotions</t>
  </si>
  <si>
    <t>Emotions and Feelings</t>
  </si>
  <si>
    <t>Negative Emotions</t>
  </si>
  <si>
    <t>Mental States and Cognitive Processes</t>
  </si>
  <si>
    <t>Synonyms for Confusion</t>
  </si>
  <si>
    <t>Actions and Behaviors</t>
  </si>
  <si>
    <t>Intelligence and Insight</t>
  </si>
  <si>
    <t>Personal Qualities and Traits</t>
  </si>
  <si>
    <t>Ignorance and Stupidity</t>
  </si>
  <si>
    <t>Social Interactions and Relationships</t>
  </si>
  <si>
    <t>Happiness and Contentment</t>
  </si>
  <si>
    <t>Communication and Expression</t>
  </si>
  <si>
    <t>Sadness and Despair</t>
  </si>
  <si>
    <t>Intellectual Concepts</t>
  </si>
  <si>
    <t>Conflict and Struggle</t>
  </si>
  <si>
    <t>Success and Achievement</t>
  </si>
  <si>
    <t>Peace and Harmony</t>
  </si>
  <si>
    <t>Power and Control</t>
  </si>
  <si>
    <t>Strength and Resilience</t>
  </si>
  <si>
    <t>Economic Concepts</t>
  </si>
  <si>
    <t>Weakness and Frailty</t>
  </si>
  <si>
    <t>Health and Well-being</t>
  </si>
  <si>
    <t>Movement and Speed</t>
  </si>
  <si>
    <t>Morality and Ethics</t>
  </si>
  <si>
    <t>Slowness and Stillness</t>
  </si>
  <si>
    <t>Creativity and Innovation</t>
  </si>
  <si>
    <t>Agreement and Support</t>
  </si>
  <si>
    <t>Appearance and Aesthetics</t>
  </si>
  <si>
    <t>Disagreement and Opposition</t>
  </si>
  <si>
    <t>Change and Stability</t>
  </si>
  <si>
    <t>Certainty and Assurance</t>
  </si>
  <si>
    <t>Difficulty and Ease</t>
  </si>
  <si>
    <t>Uncertainty and Doubt</t>
  </si>
  <si>
    <t>Quantity and Measurement</t>
  </si>
  <si>
    <t>Wealth and Abundance</t>
  </si>
  <si>
    <t>Time and Temporality</t>
  </si>
  <si>
    <t>Poverty and Scarcity</t>
  </si>
  <si>
    <t>Truth and Reality</t>
  </si>
  <si>
    <t>Action and Motion</t>
  </si>
  <si>
    <t>Importance and Relevance</t>
  </si>
  <si>
    <t>Inaction and Rest</t>
  </si>
  <si>
    <t>Clarity and Confusion</t>
  </si>
  <si>
    <t>Learning and Knowledge</t>
  </si>
  <si>
    <t>Conformity and Rebellion</t>
  </si>
  <si>
    <t>Ignorance and Unawareness</t>
  </si>
  <si>
    <t>Conflict and Harmony</t>
  </si>
  <si>
    <t>Creativity and Imagination</t>
  </si>
  <si>
    <t>Knowledge and Ignorance</t>
  </si>
  <si>
    <t>Boring and Mundane</t>
  </si>
  <si>
    <t>Strength and Weakness</t>
  </si>
  <si>
    <t>Courage and Bravery</t>
  </si>
  <si>
    <t>Positive and Negative Traits</t>
  </si>
  <si>
    <t>Fear and Cowardice</t>
  </si>
  <si>
    <t>Progress and Decline</t>
  </si>
  <si>
    <t>Health and Wellness</t>
  </si>
  <si>
    <t>Order and Chaos</t>
  </si>
  <si>
    <t>Illness and Sickness</t>
  </si>
  <si>
    <t>Freedom and Constraint</t>
  </si>
  <si>
    <t>Beauty and Aesthetics</t>
  </si>
  <si>
    <t>Inclusion and Exclusion</t>
  </si>
  <si>
    <t>Ugliness and Unappealing</t>
  </si>
  <si>
    <t>Novelty and Tradition</t>
  </si>
  <si>
    <t>Generosity and Kindness</t>
  </si>
  <si>
    <t>Activity and Inactivity</t>
  </si>
  <si>
    <t>Selfishness and Greed</t>
  </si>
  <si>
    <t>Certainty and Uncertainty</t>
  </si>
  <si>
    <t>Order and Organization</t>
  </si>
  <si>
    <t>Perception and Reality</t>
  </si>
  <si>
    <t>Chaos and Disorder</t>
  </si>
  <si>
    <t>Complexity and Simplicity</t>
  </si>
  <si>
    <t>Truth and Honesty</t>
  </si>
  <si>
    <t>Cause and Effect</t>
  </si>
  <si>
    <t>Lies and Deceit</t>
  </si>
  <si>
    <t>Agreement and Disagreement</t>
  </si>
  <si>
    <t>Presence and Absence</t>
  </si>
  <si>
    <t>Weakness and Submission</t>
  </si>
  <si>
    <t>Beginning and End</t>
  </si>
  <si>
    <t>Love and Affection</t>
  </si>
  <si>
    <t>Cooperation and Competition</t>
  </si>
  <si>
    <t>Hate and Hostility</t>
  </si>
  <si>
    <t>Productivity and Waste</t>
  </si>
  <si>
    <t>Depth and Superficiality</t>
  </si>
  <si>
    <t>Failure and Defeat</t>
  </si>
  <si>
    <t>Miscellaneous</t>
  </si>
  <si>
    <t>Friendliness and Sociability</t>
  </si>
  <si>
    <t>Hostility and Antagonism</t>
  </si>
  <si>
    <t>Clarity and Precision</t>
  </si>
  <si>
    <t>Ambiguity and Vague</t>
  </si>
  <si>
    <t>Activity and Energy</t>
  </si>
  <si>
    <t>Inactivity and Lethargy</t>
  </si>
  <si>
    <t>Optimism and Positivity</t>
  </si>
  <si>
    <t>Pessimism and Negativity</t>
  </si>
  <si>
    <t>Knowledge and Understanding</t>
  </si>
  <si>
    <t>Ignorance and Misunderstanding</t>
  </si>
  <si>
    <t>Order and Discipline</t>
  </si>
  <si>
    <t>Chaos and Disorganization</t>
  </si>
  <si>
    <t>Other</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</si>
</sst>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2">
    <font>
      <sz val="10"/>
      <color rgb="FF000000"/>
      <name val="Arial"/>
      <charset val="134"/>
      <scheme val="minor"/>
    </font>
    <font>
      <b/>
      <sz val="10"/>
      <color theme="1"/>
      <name val="Arial"/>
      <charset val="134"/>
      <scheme val="minor"/>
    </font>
    <font>
      <sz val="10"/>
      <color theme="1"/>
      <name val="Arial"/>
      <charset val="134"/>
      <scheme val="minor"/>
    </font>
    <font>
      <sz val="9"/>
      <color rgb="FF7E3794"/>
      <name val="Arial"/>
      <charset val="134"/>
      <scheme val="minor"/>
    </font>
    <font>
      <u/>
      <sz val="10"/>
      <color rgb="FF0000FF"/>
      <name val="Arial"/>
      <charset val="134"/>
      <scheme val="minor"/>
    </font>
    <font>
      <b/>
      <sz val="10"/>
      <color rgb="FF1F1F1F"/>
      <name val="&quot;Google Sans&quot;"/>
      <charset val="134"/>
    </font>
    <font>
      <sz val="10"/>
      <color rgb="FF1F1F1F"/>
      <name val="&quot;Google Sans&quot;"/>
      <charset val="134"/>
    </font>
    <font>
      <u/>
      <sz val="10"/>
      <color rgb="FF1F1F1F"/>
      <name val="&quot;Google Sans&quot;"/>
      <charset val="134"/>
    </font>
    <font>
      <b/>
      <sz val="12"/>
      <color theme="1"/>
      <name val="Calibri"/>
      <charset val="134"/>
    </font>
    <font>
      <sz val="12"/>
      <color theme="1"/>
      <name val="Calibri"/>
      <charset val="134"/>
    </font>
    <font>
      <b/>
      <sz val="10"/>
      <color theme="1"/>
      <name val="Google Sans"/>
      <charset val="134"/>
    </font>
    <font>
      <sz val="10"/>
      <color theme="1"/>
      <name val="Google Sans"/>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6">
    <fill>
      <patternFill patternType="none"/>
    </fill>
    <fill>
      <patternFill patternType="gray125"/>
    </fill>
    <fill>
      <patternFill patternType="solid">
        <fgColor rgb="FF4DD0E1"/>
        <bgColor rgb="FF4DD0E1"/>
      </patternFill>
    </fill>
    <fill>
      <patternFill patternType="solid">
        <fgColor rgb="FFFFFFFF"/>
        <bgColor rgb="FFFFFFFF"/>
      </patternFill>
    </fill>
    <fill>
      <patternFill patternType="solid">
        <fgColor rgb="FFE0F7FA"/>
        <bgColor rgb="FFE0F7FA"/>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000000"/>
      </left>
      <right style="thin">
        <color rgb="FF000000"/>
      </right>
      <top style="thin">
        <color rgb="FF000000"/>
      </top>
      <bottom style="thin">
        <color rgb="FF000000"/>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bottom style="thin">
        <color rgb="FFABABAB"/>
      </bottom>
      <diagonal/>
    </border>
    <border>
      <left/>
      <right style="thin">
        <color rgb="FFABABAB"/>
      </right>
      <top/>
      <bottom style="thin">
        <color rgb="FFABABAB"/>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177" fontId="12" fillId="0" borderId="0" applyFont="0" applyFill="0" applyBorder="0" applyAlignment="0" applyProtection="0">
      <alignment vertical="center"/>
    </xf>
    <xf numFmtId="42" fontId="12"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5" borderId="1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2" applyNumberFormat="0" applyFill="0" applyAlignment="0" applyProtection="0">
      <alignment vertical="center"/>
    </xf>
    <xf numFmtId="0" fontId="19" fillId="0" borderId="12" applyNumberFormat="0" applyFill="0" applyAlignment="0" applyProtection="0">
      <alignment vertical="center"/>
    </xf>
    <xf numFmtId="0" fontId="20" fillId="0" borderId="13" applyNumberFormat="0" applyFill="0" applyAlignment="0" applyProtection="0">
      <alignment vertical="center"/>
    </xf>
    <xf numFmtId="0" fontId="20" fillId="0" borderId="0" applyNumberFormat="0" applyFill="0" applyBorder="0" applyAlignment="0" applyProtection="0">
      <alignment vertical="center"/>
    </xf>
    <xf numFmtId="0" fontId="21" fillId="6" borderId="14" applyNumberFormat="0" applyAlignment="0" applyProtection="0">
      <alignment vertical="center"/>
    </xf>
    <xf numFmtId="0" fontId="22" fillId="7" borderId="15" applyNumberFormat="0" applyAlignment="0" applyProtection="0">
      <alignment vertical="center"/>
    </xf>
    <xf numFmtId="0" fontId="23" fillId="7" borderId="14" applyNumberFormat="0" applyAlignment="0" applyProtection="0">
      <alignment vertical="center"/>
    </xf>
    <xf numFmtId="0" fontId="24" fillId="8" borderId="16" applyNumberFormat="0" applyAlignment="0" applyProtection="0">
      <alignment vertical="center"/>
    </xf>
    <xf numFmtId="0" fontId="25" fillId="0" borderId="17" applyNumberFormat="0" applyFill="0" applyAlignment="0" applyProtection="0">
      <alignment vertical="center"/>
    </xf>
    <xf numFmtId="0" fontId="26" fillId="0" borderId="18" applyNumberFormat="0" applyFill="0" applyAlignment="0" applyProtection="0">
      <alignment vertical="center"/>
    </xf>
    <xf numFmtId="0" fontId="27" fillId="9" borderId="0" applyNumberFormat="0" applyBorder="0" applyAlignment="0" applyProtection="0">
      <alignment vertical="center"/>
    </xf>
    <xf numFmtId="0" fontId="28" fillId="10" borderId="0" applyNumberFormat="0" applyBorder="0" applyAlignment="0" applyProtection="0">
      <alignment vertical="center"/>
    </xf>
    <xf numFmtId="0" fontId="29" fillId="11" borderId="0" applyNumberFormat="0" applyBorder="0" applyAlignment="0" applyProtection="0">
      <alignment vertical="center"/>
    </xf>
    <xf numFmtId="0" fontId="30"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0" fillId="15" borderId="0" applyNumberFormat="0" applyBorder="0" applyAlignment="0" applyProtection="0">
      <alignment vertical="center"/>
    </xf>
    <xf numFmtId="0" fontId="30"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0" fillId="35" borderId="0" applyNumberFormat="0" applyBorder="0" applyAlignment="0" applyProtection="0">
      <alignment vertical="center"/>
    </xf>
  </cellStyleXfs>
  <cellXfs count="47">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0" fontId="0" fillId="0" borderId="1" xfId="0" applyFont="1" applyBorder="1" applyAlignment="1"/>
    <xf numFmtId="0" fontId="0" fillId="0" borderId="2" xfId="0" applyFont="1" applyBorder="1" applyAlignment="1"/>
    <xf numFmtId="9" fontId="2" fillId="0" borderId="3" xfId="0" applyNumberFormat="1" applyFont="1" applyBorder="1" applyAlignment="1"/>
    <xf numFmtId="0" fontId="2" fillId="0" borderId="3" xfId="0" applyFont="1" applyBorder="1" applyAlignment="1"/>
    <xf numFmtId="10" fontId="2" fillId="0" borderId="0" xfId="0" applyNumberFormat="1" applyFont="1" applyAlignment="1"/>
    <xf numFmtId="0" fontId="0" fillId="0" borderId="4" xfId="0" applyFont="1" applyBorder="1" applyAlignment="1"/>
    <xf numFmtId="9" fontId="2" fillId="0" borderId="3" xfId="0" applyNumberFormat="1" applyFont="1" applyBorder="1"/>
    <xf numFmtId="0" fontId="2" fillId="0" borderId="3" xfId="0" applyFont="1" applyBorder="1"/>
    <xf numFmtId="9" fontId="2" fillId="0" borderId="0" xfId="0" applyNumberFormat="1" applyFont="1"/>
    <xf numFmtId="10" fontId="2" fillId="0" borderId="0" xfId="0" applyNumberFormat="1" applyFont="1"/>
    <xf numFmtId="0" fontId="0" fillId="0" borderId="5" xfId="0" applyFont="1" applyBorder="1" applyAlignment="1"/>
    <xf numFmtId="0" fontId="0" fillId="0" borderId="5" xfId="0" applyFont="1" applyBorder="1" applyAlignment="1"/>
    <xf numFmtId="0" fontId="0" fillId="0" borderId="6" xfId="0" applyFont="1" applyBorder="1" applyAlignment="1"/>
    <xf numFmtId="0" fontId="2" fillId="0" borderId="0" xfId="0" applyFo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9" xfId="0" applyFont="1" applyBorder="1" applyAlignment="1"/>
    <xf numFmtId="0" fontId="0" fillId="0" borderId="10" xfId="0" applyFont="1" applyBorder="1" applyAlignment="1"/>
    <xf numFmtId="0" fontId="3" fillId="0" borderId="0" xfId="0" applyFont="1"/>
    <xf numFmtId="0" fontId="2" fillId="0" borderId="0" xfId="0" applyFont="1" applyAlignment="1">
      <alignment wrapText="1"/>
    </xf>
    <xf numFmtId="0" fontId="1"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vertical="top"/>
    </xf>
    <xf numFmtId="0" fontId="4" fillId="4" borderId="0" xfId="0" applyFont="1" applyFill="1" applyAlignment="1">
      <alignment vertical="top"/>
    </xf>
    <xf numFmtId="0" fontId="2" fillId="3" borderId="0" xfId="0" applyFont="1" applyFill="1" applyAlignment="1">
      <alignment vertical="top"/>
    </xf>
    <xf numFmtId="0" fontId="4" fillId="3" borderId="0" xfId="0" applyFont="1" applyFill="1" applyAlignment="1">
      <alignment vertical="top"/>
    </xf>
    <xf numFmtId="0" fontId="1" fillId="0" borderId="0" xfId="0" applyFont="1" applyAlignment="1">
      <alignment horizontal="center"/>
    </xf>
    <xf numFmtId="0" fontId="5" fillId="3" borderId="0" xfId="0" applyFont="1" applyFill="1" applyAlignment="1">
      <alignment horizontal="left"/>
    </xf>
    <xf numFmtId="0" fontId="6" fillId="3" borderId="0" xfId="0" applyFont="1" applyFill="1" applyAlignment="1"/>
    <xf numFmtId="0" fontId="7" fillId="3" borderId="0" xfId="0" applyFont="1" applyFill="1" applyAlignment="1"/>
    <xf numFmtId="0" fontId="4" fillId="0" borderId="0" xfId="0" applyFont="1" applyAlignment="1"/>
    <xf numFmtId="0" fontId="8" fillId="0" borderId="0" xfId="0" applyFont="1" applyAlignment="1"/>
    <xf numFmtId="0" fontId="9" fillId="0" borderId="0" xfId="0" applyFont="1" applyAlignment="1"/>
    <xf numFmtId="0" fontId="9" fillId="0" borderId="0" xfId="0" applyFont="1"/>
    <xf numFmtId="0" fontId="10" fillId="0" borderId="0" xfId="0" applyFont="1" applyAlignment="1"/>
    <xf numFmtId="0" fontId="10" fillId="0" borderId="0" xfId="0" applyFont="1"/>
    <xf numFmtId="0" fontId="11" fillId="0" borderId="0" xfId="0" applyFont="1" applyAlignment="1"/>
    <xf numFmtId="0" fontId="11" fillId="0" borderId="0" xfId="0" applyFont="1"/>
    <xf numFmtId="0" fontId="1" fillId="0" borderId="0" xfId="0" applyFont="1" applyAlignment="1">
      <alignment horizontal="left" vertical="top" wrapText="1"/>
    </xf>
    <xf numFmtId="0" fontId="2" fillId="0" borderId="0" xfId="0" applyFont="1" applyAlignment="1">
      <alignment vertical="top" wrapText="1"/>
    </xf>
    <xf numFmtId="0" fontId="2" fillId="0" borderId="0" xfId="0" applyFont="1" applyAlignment="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0"/>
          <c:dPt>
            <c:idx val="0"/>
            <c:bubble3D val="0"/>
            <c:spPr>
              <a:solidFill>
                <a:srgbClr val="4285F4"/>
              </a:solidFill>
            </c:spPr>
          </c:dPt>
          <c:dPt>
            <c:idx val="1"/>
            <c:bubble3D val="0"/>
            <c:spPr>
              <a:solidFill>
                <a:srgbClr val="EA4335"/>
              </a:solidFill>
            </c:spPr>
          </c:dPt>
          <c:dLbls>
            <c:delete val="1"/>
          </c:dLbls>
          <c:cat>
            <c:strRef>
              <c:f>'Overall Progress'!$I$3:$I$4</c:f>
              <c:strCache>
                <c:ptCount val="2"/>
                <c:pt idx="0">
                  <c:v>Words done</c:v>
                </c:pt>
                <c:pt idx="1">
                  <c:v>Words left</c:v>
                </c:pt>
              </c:strCache>
            </c:strRef>
          </c:cat>
          <c:val>
            <c:numRef>
              <c:f>'Overall Progress'!$J$3:$J$4</c:f>
              <c:numCache>
                <c:formatCode>General</c:formatCode>
                <c:ptCount val="2"/>
                <c:pt idx="0">
                  <c:v>1447</c:v>
                </c:pt>
                <c:pt idx="1">
                  <c:v>97</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5</xdr:col>
      <xdr:colOff>866775</xdr:colOff>
      <xdr:row>4</xdr:row>
      <xdr:rowOff>190500</xdr:rowOff>
    </xdr:from>
    <xdr:ext cx="3800475" cy="2352675"/>
    <xdr:graphicFrame>
      <xdr:nvGraphicFramePr>
        <xdr:cNvPr id="2" name="Chart 1" title="Chart"/>
        <xdr:cNvGraphicFramePr/>
      </xdr:nvGraphicFramePr>
      <xdr:xfrm>
        <a:off x="5598795" y="990600"/>
        <a:ext cx="3800475" cy="23526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invalid="1" refreshOnLoad="1" refreshedVersion="5" refreshedDate="45586.002025463" refreshedBy="prana" recordCount="1545">
  <cacheSource type="worksheet">
    <worksheetSource ref="A1:L2051" sheet="Main"/>
  </cacheSource>
  <cacheFields count="12">
    <cacheField name="ID" numFmtId="0">
      <sharedItems containsString="0" containsBlank="1" containsNumber="1" containsInteger="1" minValue="1" maxValue="1544" count="1545">
        <n v="293"/>
        <n v="436"/>
        <n v="470"/>
        <n v="548"/>
        <n v="592"/>
        <n v="631"/>
        <n v="662"/>
        <n v="810"/>
        <n v="915"/>
        <n v="930"/>
        <n v="1088"/>
        <n v="1093"/>
        <n v="1154"/>
        <n v="1297"/>
        <n v="1387"/>
        <n v="37"/>
        <n v="66"/>
        <n v="200"/>
        <n v="227"/>
        <n v="267"/>
        <n v="358"/>
        <n v="448"/>
        <n v="612"/>
        <n v="625"/>
        <n v="1030"/>
        <n v="1056"/>
        <n v="1063"/>
        <n v="1092"/>
        <n v="9"/>
        <n v="97"/>
        <n v="130"/>
        <n v="189"/>
        <n v="229"/>
        <n v="272"/>
        <n v="546"/>
        <n v="585"/>
        <n v="605"/>
        <n v="924"/>
        <n v="1012"/>
        <n v="1065"/>
        <n v="1183"/>
        <n v="1323"/>
        <n v="1489"/>
        <n v="1506"/>
        <n v="14"/>
        <n v="142"/>
        <n v="218"/>
        <n v="228"/>
        <n v="376"/>
        <n v="473"/>
        <n v="511"/>
        <n v="560"/>
        <n v="721"/>
        <n v="722"/>
        <n v="731"/>
        <n v="743"/>
        <n v="771"/>
        <n v="782"/>
        <n v="829"/>
        <n v="1033"/>
        <n v="1043"/>
        <n v="1096"/>
        <n v="1123"/>
        <n v="1213"/>
        <n v="1240"/>
        <n v="1274"/>
        <n v="1406"/>
        <n v="1505"/>
        <n v="65"/>
        <n v="68"/>
        <n v="86"/>
        <n v="111"/>
        <n v="163"/>
        <n v="233"/>
        <n v="253"/>
        <n v="282"/>
        <n v="384"/>
        <n v="664"/>
        <n v="709"/>
        <n v="950"/>
        <n v="1029"/>
        <n v="1118"/>
        <n v="1353"/>
        <n v="1354"/>
        <n v="1428"/>
        <n v="4"/>
        <n v="117"/>
        <n v="275"/>
        <n v="367"/>
        <n v="417"/>
        <n v="483"/>
        <n v="651"/>
        <n v="670"/>
        <n v="671"/>
        <n v="696"/>
        <n v="879"/>
        <n v="974"/>
        <n v="978"/>
        <n v="983"/>
        <n v="1008"/>
        <n v="1019"/>
        <n v="1097"/>
        <n v="1144"/>
        <n v="1229"/>
        <n v="3"/>
        <n v="25"/>
        <n v="90"/>
        <n v="207"/>
        <n v="257"/>
        <n v="510"/>
        <n v="644"/>
        <n v="700"/>
        <n v="705"/>
        <n v="706"/>
        <n v="813"/>
        <n v="892"/>
        <n v="977"/>
        <n v="995"/>
        <n v="1039"/>
        <n v="1334"/>
        <n v="1358"/>
        <n v="1415"/>
        <n v="24"/>
        <n v="36"/>
        <n v="270"/>
        <n v="325"/>
        <n v="348"/>
        <n v="649"/>
        <n v="840"/>
        <n v="916"/>
        <n v="1036"/>
        <n v="1040"/>
        <n v="1206"/>
        <n v="1270"/>
        <n v="1340"/>
        <n v="1361"/>
        <n v="1431"/>
        <n v="1497"/>
        <n v="29"/>
        <n v="69"/>
        <n v="357"/>
        <n v="394"/>
        <n v="503"/>
        <n v="792"/>
        <n v="798"/>
        <n v="837"/>
        <n v="880"/>
        <n v="1156"/>
        <n v="1177"/>
        <n v="1283"/>
        <n v="1363"/>
        <n v="1377"/>
        <n v="1486"/>
        <n v="1510"/>
        <n v="110"/>
        <n v="144"/>
        <n v="198"/>
        <n v="355"/>
        <n v="469"/>
        <n v="479"/>
        <n v="554"/>
        <n v="753"/>
        <n v="764"/>
        <n v="775"/>
        <n v="790"/>
        <n v="809"/>
        <n v="1112"/>
        <n v="1160"/>
        <n v="1184"/>
        <n v="1188"/>
        <n v="1212"/>
        <n v="1339"/>
        <n v="1447"/>
        <n v="295"/>
        <n v="629"/>
        <n v="745"/>
        <n v="827"/>
        <n v="938"/>
        <n v="1054"/>
        <n v="1225"/>
        <n v="1302"/>
        <n v="1380"/>
        <n v="1381"/>
        <n v="1507"/>
        <n v="84"/>
        <n v="287"/>
        <n v="443"/>
        <n v="484"/>
        <n v="702"/>
        <n v="963"/>
        <n v="979"/>
        <n v="1351"/>
        <n v="1440"/>
        <n v="1465"/>
        <n v="1515"/>
        <n v="1529"/>
        <n v="79"/>
        <n v="186"/>
        <n v="308"/>
        <n v="373"/>
        <n v="495"/>
        <n v="516"/>
        <n v="542"/>
        <n v="636"/>
        <n v="944"/>
        <n v="1015"/>
        <n v="1091"/>
        <n v="1403"/>
        <n v="1434"/>
        <n v="1539"/>
        <n v="61"/>
        <n v="82"/>
        <n v="98"/>
        <n v="154"/>
        <n v="182"/>
        <n v="196"/>
        <n v="356"/>
        <n v="363"/>
        <n v="364"/>
        <n v="547"/>
        <n v="599"/>
        <n v="617"/>
        <n v="932"/>
        <n v="947"/>
        <n v="975"/>
        <n v="1026"/>
        <n v="1180"/>
        <n v="1198"/>
        <n v="1277"/>
        <n v="1443"/>
        <n v="1536"/>
        <n v="28"/>
        <n v="247"/>
        <n v="289"/>
        <n v="690"/>
        <n v="725"/>
        <n v="868"/>
        <n v="1005"/>
        <n v="1074"/>
        <n v="1189"/>
        <n v="1244"/>
        <n v="1267"/>
        <n v="1284"/>
        <n v="1378"/>
        <n v="1538"/>
        <n v="158"/>
        <n v="311"/>
        <n v="337"/>
        <n v="404"/>
        <n v="418"/>
        <n v="460"/>
        <n v="611"/>
        <n v="672"/>
        <n v="677"/>
        <n v="865"/>
        <n v="1058"/>
        <n v="1192"/>
        <n v="1326"/>
        <n v="1500"/>
        <n v="1523"/>
        <n v="1532"/>
        <n v="23"/>
        <n v="35"/>
        <n v="138"/>
        <n v="147"/>
        <n v="210"/>
        <n v="223"/>
        <n v="657"/>
        <n v="694"/>
        <n v="911"/>
        <n v="1105"/>
        <n v="1367"/>
        <n v="1496"/>
        <n v="285"/>
        <n v="383"/>
        <n v="438"/>
        <n v="615"/>
        <n v="982"/>
        <n v="985"/>
        <n v="1002"/>
        <n v="1085"/>
        <n v="1197"/>
        <n v="1220"/>
        <n v="1293"/>
        <n v="1305"/>
        <n v="1399"/>
        <n v="1499"/>
        <n v="193"/>
        <n v="400"/>
        <n v="447"/>
        <n v="545"/>
        <n v="550"/>
        <n v="570"/>
        <n v="597"/>
        <n v="654"/>
        <n v="689"/>
        <n v="718"/>
        <n v="801"/>
        <n v="816"/>
        <n v="894"/>
        <n v="971"/>
        <n v="1139"/>
        <n v="1254"/>
        <n v="1279"/>
        <n v="1308"/>
        <n v="1410"/>
        <n v="238"/>
        <n v="261"/>
        <n v="284"/>
        <n v="342"/>
        <n v="352"/>
        <n v="361"/>
        <n v="369"/>
        <n v="396"/>
        <n v="410"/>
        <n v="463"/>
        <n v="465"/>
        <n v="779"/>
        <n v="850"/>
        <n v="933"/>
        <n v="1023"/>
        <n v="1053"/>
        <n v="1061"/>
        <n v="1090"/>
        <n v="1110"/>
        <n v="1227"/>
        <n v="1373"/>
        <n v="1453"/>
        <n v="132"/>
        <n v="139"/>
        <n v="244"/>
        <n v="509"/>
        <n v="695"/>
        <n v="733"/>
        <n v="763"/>
        <n v="774"/>
        <n v="855"/>
        <n v="897"/>
        <n v="939"/>
        <n v="981"/>
        <n v="1076"/>
        <n v="1127"/>
        <n v="1208"/>
        <n v="1325"/>
        <n v="1402"/>
        <n v="1533"/>
        <n v="108"/>
        <n v="288"/>
        <n v="324"/>
        <n v="353"/>
        <n v="391"/>
        <n v="424"/>
        <n v="451"/>
        <n v="555"/>
        <n v="595"/>
        <n v="728"/>
        <n v="732"/>
        <n v="838"/>
        <n v="870"/>
        <n v="872"/>
        <n v="1000"/>
        <n v="1098"/>
        <n v="1149"/>
        <n v="1172"/>
        <n v="1218"/>
        <n v="1383"/>
        <n v="1418"/>
        <n v="1435"/>
        <n v="1452"/>
        <n v="88"/>
        <n v="141"/>
        <n v="165"/>
        <n v="532"/>
        <n v="719"/>
        <n v="836"/>
        <n v="941"/>
        <n v="980"/>
        <n v="1083"/>
        <n v="1298"/>
        <n v="1341"/>
        <n v="1395"/>
        <n v="1404"/>
        <n v="1441"/>
        <n v="1463"/>
        <n v="1475"/>
        <n v="1531"/>
        <n v="604"/>
        <n v="624"/>
        <n v="704"/>
        <n v="826"/>
        <n v="1115"/>
        <n v="1262"/>
        <n v="1508"/>
        <n v="201"/>
        <n v="252"/>
        <n v="344"/>
        <n v="427"/>
        <n v="603"/>
        <n v="687"/>
        <n v="727"/>
        <n v="806"/>
        <n v="873"/>
        <n v="942"/>
        <n v="992"/>
        <n v="1146"/>
        <n v="1167"/>
        <n v="1338"/>
        <n v="1348"/>
        <n v="1375"/>
        <n v="1503"/>
        <n v="1512"/>
        <n v="103"/>
        <n v="148"/>
        <n v="164"/>
        <n v="351"/>
        <n v="386"/>
        <n v="419"/>
        <n v="477"/>
        <n v="569"/>
        <n v="620"/>
        <n v="639"/>
        <n v="729"/>
        <n v="976"/>
        <n v="1001"/>
        <n v="1185"/>
        <n v="1269"/>
        <n v="1466"/>
        <n v="49"/>
        <n v="263"/>
        <n v="346"/>
        <n v="425"/>
        <n v="513"/>
        <n v="596"/>
        <n v="606"/>
        <n v="746"/>
        <n v="853"/>
        <n v="858"/>
        <n v="918"/>
        <n v="1100"/>
        <n v="1126"/>
        <n v="1258"/>
        <n v="1345"/>
        <n v="52"/>
        <n v="114"/>
        <n v="202"/>
        <n v="217"/>
        <n v="378"/>
        <n v="388"/>
        <n v="565"/>
        <n v="567"/>
        <n v="669"/>
        <n v="684"/>
        <n v="715"/>
        <n v="802"/>
        <n v="804"/>
        <n v="1094"/>
        <n v="1114"/>
        <n v="1151"/>
        <n v="1288"/>
        <n v="1301"/>
        <n v="1461"/>
        <n v="1469"/>
        <n v="1494"/>
        <n v="156"/>
        <n v="171"/>
        <n v="349"/>
        <n v="405"/>
        <n v="525"/>
        <n v="637"/>
        <n v="748"/>
        <n v="927"/>
        <n v="954"/>
        <n v="1059"/>
        <n v="1070"/>
        <n v="1315"/>
        <n v="1347"/>
        <n v="1364"/>
        <n v="7"/>
        <n v="208"/>
        <n v="450"/>
        <n v="467"/>
        <n v="770"/>
        <n v="787"/>
        <n v="860"/>
        <n v="1107"/>
        <n v="1108"/>
        <n v="1243"/>
        <n v="1294"/>
        <n v="1366"/>
        <n v="1386"/>
        <n v="1495"/>
        <n v="99"/>
        <n v="236"/>
        <n v="251"/>
        <n v="466"/>
        <n v="496"/>
        <n v="713"/>
        <n v="766"/>
        <n v="805"/>
        <n v="905"/>
        <n v="928"/>
        <n v="946"/>
        <n v="1052"/>
        <n v="1071"/>
        <n v="1078"/>
        <n v="1203"/>
        <n v="1285"/>
        <n v="1290"/>
        <n v="1299"/>
        <n v="151"/>
        <n v="343"/>
        <n v="428"/>
        <n v="621"/>
        <n v="647"/>
        <n v="678"/>
        <n v="759"/>
        <n v="864"/>
        <n v="903"/>
        <n v="1374"/>
        <n v="1454"/>
        <n v="157"/>
        <n v="213"/>
        <n v="564"/>
        <n v="572"/>
        <n v="951"/>
        <n v="1006"/>
        <n v="1032"/>
        <n v="1073"/>
        <n v="1101"/>
        <n v="1129"/>
        <n v="1498"/>
        <n v="92"/>
        <n v="162"/>
        <n v="292"/>
        <n v="519"/>
        <n v="568"/>
        <n v="656"/>
        <n v="675"/>
        <n v="1273"/>
        <n v="1502"/>
        <n v="101"/>
        <n v="166"/>
        <n v="317"/>
        <n v="464"/>
        <n v="476"/>
        <n v="549"/>
        <n v="697"/>
        <n v="742"/>
        <n v="791"/>
        <n v="803"/>
        <n v="857"/>
        <n v="888"/>
        <n v="1147"/>
        <n v="1187"/>
        <n v="1222"/>
        <n v="1238"/>
        <n v="1518"/>
        <n v="1521"/>
        <n v="1543"/>
        <n v="237"/>
        <n v="529"/>
        <n v="643"/>
        <n v="650"/>
        <n v="667"/>
        <n v="908"/>
        <n v="925"/>
        <n v="1051"/>
        <n v="1165"/>
        <n v="1181"/>
        <n v="1191"/>
        <n v="1316"/>
        <n v="326"/>
        <n v="380"/>
        <n v="392"/>
        <n v="446"/>
        <n v="521"/>
        <n v="531"/>
        <n v="536"/>
        <n v="693"/>
        <n v="929"/>
        <n v="937"/>
        <n v="1018"/>
        <n v="1021"/>
        <n v="1322"/>
        <n v="1392"/>
        <n v="1426"/>
        <n v="1484"/>
        <n v="122"/>
        <n v="245"/>
        <n v="300"/>
        <n v="399"/>
        <n v="403"/>
        <n v="586"/>
        <n v="665"/>
        <n v="692"/>
        <n v="890"/>
        <n v="931"/>
        <n v="962"/>
        <n v="994"/>
        <n v="1124"/>
        <n v="1478"/>
        <n v="1491"/>
        <n v="1535"/>
        <n v="160"/>
        <n v="194"/>
        <n v="211"/>
        <n v="215"/>
        <n v="336"/>
        <n v="576"/>
        <n v="688"/>
        <n v="811"/>
        <n v="846"/>
        <n v="849"/>
        <n v="1120"/>
        <n v="1159"/>
        <n v="1311"/>
        <n v="1360"/>
        <n v="1384"/>
        <n v="1514"/>
        <n v="150"/>
        <n v="655"/>
        <n v="823"/>
        <n v="877"/>
        <n v="1102"/>
        <n v="1103"/>
        <n v="1174"/>
        <n v="1193"/>
        <n v="1215"/>
        <n v="1272"/>
        <n v="1419"/>
        <n v="1470"/>
        <n v="149"/>
        <n v="264"/>
        <n v="332"/>
        <n v="478"/>
        <n v="485"/>
        <n v="726"/>
        <n v="772"/>
        <n v="783"/>
        <n v="795"/>
        <n v="824"/>
        <n v="874"/>
        <n v="917"/>
        <n v="923"/>
        <n v="960"/>
        <n v="1044"/>
        <n v="1069"/>
        <n v="1128"/>
        <n v="1211"/>
        <n v="1251"/>
        <n v="1268"/>
        <n v="1287"/>
        <n v="1409"/>
        <n v="1417"/>
        <n v="1481"/>
        <n v="5"/>
        <n v="167"/>
        <n v="269"/>
        <n v="271"/>
        <n v="459"/>
        <n v="580"/>
        <n v="610"/>
        <n v="685"/>
        <n v="698"/>
        <n v="762"/>
        <n v="767"/>
        <n v="863"/>
        <n v="922"/>
        <n v="1064"/>
        <n v="1246"/>
        <n v="1296"/>
        <n v="1430"/>
        <n v="220"/>
        <n v="304"/>
        <n v="368"/>
        <n v="423"/>
        <n v="480"/>
        <n v="581"/>
        <n v="737"/>
        <n v="738"/>
        <n v="859"/>
        <n v="919"/>
        <n v="972"/>
        <n v="1047"/>
        <n v="1119"/>
        <n v="1190"/>
        <n v="1196"/>
        <n v="1289"/>
        <n v="1335"/>
        <n v="8"/>
        <n v="17"/>
        <n v="310"/>
        <n v="321"/>
        <n v="453"/>
        <n v="474"/>
        <n v="482"/>
        <n v="641"/>
        <n v="711"/>
        <n v="848"/>
        <n v="882"/>
        <n v="886"/>
        <n v="935"/>
        <n v="1079"/>
        <n v="1275"/>
        <n v="1407"/>
        <n v="1439"/>
        <n v="1504"/>
        <n v="58"/>
        <n v="77"/>
        <n v="80"/>
        <n v="195"/>
        <n v="312"/>
        <n v="411"/>
        <n v="429"/>
        <n v="527"/>
        <n v="600"/>
        <n v="613"/>
        <n v="618"/>
        <n v="653"/>
        <n v="707"/>
        <n v="789"/>
        <n v="1082"/>
        <n v="1121"/>
        <n v="1228"/>
        <n v="1307"/>
        <n v="1319"/>
        <n v="1329"/>
        <n v="1343"/>
        <n v="15"/>
        <n v="95"/>
        <n v="205"/>
        <n v="240"/>
        <n v="435"/>
        <n v="755"/>
        <n v="757"/>
        <n v="876"/>
        <n v="1066"/>
        <n v="1370"/>
        <n v="1487"/>
        <n v="107"/>
        <n v="219"/>
        <n v="231"/>
        <n v="281"/>
        <n v="499"/>
        <n v="530"/>
        <n v="534"/>
        <n v="674"/>
        <n v="866"/>
        <n v="1010"/>
        <n v="1230"/>
        <n v="1330"/>
        <n v="1485"/>
        <n v="64"/>
        <n v="67"/>
        <n v="119"/>
        <n v="191"/>
        <n v="197"/>
        <n v="437"/>
        <n v="582"/>
        <n v="926"/>
        <n v="966"/>
        <n v="1016"/>
        <n v="1141"/>
        <n v="1152"/>
        <n v="1164"/>
        <n v="1217"/>
        <n v="1250"/>
        <n v="1455"/>
        <n v="1467"/>
        <n v="1522"/>
        <n v="1528"/>
        <n v="1530"/>
        <n v="129"/>
        <n v="296"/>
        <n v="488"/>
        <n v="518"/>
        <n v="579"/>
        <n v="714"/>
        <n v="754"/>
        <n v="785"/>
        <n v="834"/>
        <n v="1022"/>
        <n v="1477"/>
        <n v="250"/>
        <n v="409"/>
        <n v="475"/>
        <n v="486"/>
        <n v="506"/>
        <n v="691"/>
        <n v="828"/>
        <n v="830"/>
        <n v="861"/>
        <n v="884"/>
        <n v="1140"/>
        <n v="1142"/>
        <n v="1219"/>
        <n v="1237"/>
        <n v="1337"/>
        <n v="1355"/>
        <n v="1450"/>
        <n v="177"/>
        <n v="280"/>
        <n v="497"/>
        <n v="517"/>
        <n v="526"/>
        <n v="683"/>
        <n v="786"/>
        <n v="815"/>
        <n v="1049"/>
        <n v="1155"/>
        <n v="1320"/>
        <n v="1357"/>
        <n v="1400"/>
        <n v="1401"/>
        <n v="309"/>
        <n v="359"/>
        <n v="507"/>
        <n v="574"/>
        <n v="578"/>
        <n v="583"/>
        <n v="614"/>
        <n v="768"/>
        <n v="871"/>
        <n v="914"/>
        <n v="1116"/>
        <n v="1263"/>
        <n v="1356"/>
        <n v="11"/>
        <n v="172"/>
        <n v="381"/>
        <n v="406"/>
        <n v="422"/>
        <n v="515"/>
        <n v="630"/>
        <n v="634"/>
        <n v="991"/>
        <n v="1045"/>
        <n v="1135"/>
        <n v="1201"/>
        <n v="1286"/>
        <n v="1424"/>
        <n v="1460"/>
        <n v="1511"/>
        <n v="401"/>
        <n v="489"/>
        <n v="739"/>
        <n v="769"/>
        <n v="799"/>
        <n v="820"/>
        <n v="920"/>
        <n v="952"/>
        <n v="1109"/>
        <n v="1137"/>
        <n v="1233"/>
        <n v="1256"/>
        <n v="1282"/>
        <n v="1292"/>
        <n v="44"/>
        <n v="316"/>
        <n v="408"/>
        <n v="553"/>
        <n v="640"/>
        <n v="869"/>
        <n v="881"/>
        <n v="948"/>
        <n v="1089"/>
        <n v="1255"/>
        <n v="1389"/>
        <n v="1423"/>
        <n v="1445"/>
        <n v="100"/>
        <n v="134"/>
        <n v="382"/>
        <n v="397"/>
        <n v="462"/>
        <n v="593"/>
        <n v="699"/>
        <n v="744"/>
        <n v="800"/>
        <n v="833"/>
        <n v="1027"/>
        <n v="1067"/>
        <n v="1095"/>
        <n v="1204"/>
        <n v="1300"/>
        <n v="1309"/>
        <n v="1344"/>
        <n v="1369"/>
        <n v="1427"/>
        <n v="1457"/>
        <n v="10"/>
        <n v="126"/>
        <n v="232"/>
        <n v="302"/>
        <n v="331"/>
        <n v="520"/>
        <n v="831"/>
        <n v="901"/>
        <n v="958"/>
        <n v="1037"/>
        <n v="1106"/>
        <n v="1143"/>
        <n v="1194"/>
        <n v="1371"/>
        <n v="1492"/>
        <n v="1526"/>
        <n v="13"/>
        <n v="45"/>
        <n v="55"/>
        <n v="91"/>
        <n v="152"/>
        <n v="161"/>
        <n v="322"/>
        <n v="440"/>
        <n v="514"/>
        <n v="623"/>
        <n v="735"/>
        <n v="1077"/>
        <n v="1138"/>
        <n v="1150"/>
        <n v="1365"/>
        <n v="1462"/>
        <n v="106"/>
        <n v="226"/>
        <n v="350"/>
        <n v="449"/>
        <n v="504"/>
        <n v="666"/>
        <n v="817"/>
        <n v="839"/>
        <n v="845"/>
        <n v="851"/>
        <n v="899"/>
        <n v="967"/>
        <n v="1062"/>
        <n v="1313"/>
        <n v="1388"/>
        <n v="30"/>
        <n v="59"/>
        <n v="83"/>
        <n v="102"/>
        <n v="430"/>
        <n v="635"/>
        <n v="663"/>
        <n v="673"/>
        <n v="891"/>
        <n v="1004"/>
        <n v="1084"/>
        <n v="1113"/>
        <n v="1221"/>
        <n v="1253"/>
        <n v="1382"/>
        <n v="1482"/>
        <n v="1516"/>
        <n v="87"/>
        <n v="115"/>
        <n v="128"/>
        <n v="135"/>
        <n v="286"/>
        <n v="330"/>
        <n v="375"/>
        <n v="389"/>
        <n v="442"/>
        <n v="512"/>
        <n v="563"/>
        <n v="601"/>
        <n v="780"/>
        <n v="968"/>
        <n v="997"/>
        <n v="1158"/>
        <n v="1327"/>
        <n v="1474"/>
        <n v="57"/>
        <n v="602"/>
        <n v="724"/>
        <n v="842"/>
        <n v="943"/>
        <n v="1011"/>
        <n v="1266"/>
        <n v="1459"/>
        <n v="1472"/>
        <n v="46"/>
        <n v="89"/>
        <n v="96"/>
        <n v="187"/>
        <n v="221"/>
        <n v="255"/>
        <n v="297"/>
        <n v="334"/>
        <n v="340"/>
        <n v="354"/>
        <n v="407"/>
        <n v="492"/>
        <n v="533"/>
        <n v="607"/>
        <n v="741"/>
        <n v="953"/>
        <n v="969"/>
        <n v="1265"/>
        <n v="1411"/>
        <n v="145"/>
        <n v="502"/>
        <n v="609"/>
        <n v="626"/>
        <n v="646"/>
        <n v="1117"/>
        <n v="1232"/>
        <n v="1236"/>
        <n v="1310"/>
        <n v="1416"/>
        <n v="1425"/>
        <n v="62"/>
        <n v="235"/>
        <n v="265"/>
        <n v="307"/>
        <n v="319"/>
        <n v="659"/>
        <n v="712"/>
        <n v="818"/>
        <n v="844"/>
        <n v="1031"/>
        <n v="1048"/>
        <n v="1099"/>
        <n v="1163"/>
        <n v="1173"/>
        <n v="1209"/>
        <n v="1342"/>
        <n v="1464"/>
        <n v="313"/>
        <n v="421"/>
        <n v="508"/>
        <n v="543"/>
        <n v="716"/>
        <n v="736"/>
        <n v="812"/>
        <n v="900"/>
        <n v="986"/>
        <n v="1179"/>
        <n v="1205"/>
        <n v="1483"/>
        <n v="1501"/>
        <n v="20"/>
        <n v="32"/>
        <n v="112"/>
        <n v="116"/>
        <n v="239"/>
        <n v="328"/>
        <n v="415"/>
        <n v="591"/>
        <n v="652"/>
        <n v="788"/>
        <n v="856"/>
        <n v="1081"/>
        <n v="1235"/>
        <n v="1271"/>
        <n v="1324"/>
        <n v="1480"/>
        <n v="127"/>
        <n v="212"/>
        <n v="338"/>
        <n v="445"/>
        <n v="457"/>
        <n v="710"/>
        <n v="781"/>
        <n v="1068"/>
        <n v="1314"/>
        <n v="1352"/>
        <n v="1438"/>
        <n v="1442"/>
        <n v="1520"/>
        <n v="1534"/>
        <n v="18"/>
        <n v="155"/>
        <n v="327"/>
        <n v="701"/>
        <n v="784"/>
        <n v="835"/>
        <n v="1017"/>
        <n v="1041"/>
        <n v="1359"/>
        <n v="1405"/>
        <n v="6"/>
        <n v="274"/>
        <n v="303"/>
        <n v="365"/>
        <n v="395"/>
        <n v="434"/>
        <n v="472"/>
        <n v="500"/>
        <n v="628"/>
        <n v="686"/>
        <n v="761"/>
        <n v="910"/>
        <n v="989"/>
        <n v="1024"/>
        <n v="1132"/>
        <n v="1169"/>
        <n v="1231"/>
        <n v="1488"/>
        <n v="26"/>
        <n v="121"/>
        <n v="124"/>
        <n v="262"/>
        <n v="537"/>
        <n v="566"/>
        <n v="661"/>
        <n v="750"/>
        <n v="776"/>
        <n v="904"/>
        <n v="1148"/>
        <n v="1214"/>
        <n v="1224"/>
        <n v="1247"/>
        <n v="1350"/>
        <n v="1471"/>
        <n v="31"/>
        <n v="56"/>
        <n v="185"/>
        <n v="298"/>
        <n v="335"/>
        <n v="573"/>
        <n v="703"/>
        <n v="760"/>
        <n v="796"/>
        <n v="1038"/>
        <n v="1304"/>
        <n v="1449"/>
        <n v="1468"/>
        <n v="19"/>
        <n v="94"/>
        <n v="268"/>
        <n v="371"/>
        <n v="431"/>
        <n v="619"/>
        <n v="854"/>
        <n v="984"/>
        <n v="1216"/>
        <n v="1537"/>
        <n v="1540"/>
        <n v="294"/>
        <n v="523"/>
        <n v="551"/>
        <n v="756"/>
        <n v="902"/>
        <n v="998"/>
        <n v="1013"/>
        <n v="1034"/>
        <n v="1171"/>
        <n v="1321"/>
        <n v="1368"/>
        <n v="1422"/>
        <n v="1432"/>
        <n v="42"/>
        <n v="174"/>
        <n v="216"/>
        <n v="266"/>
        <n v="276"/>
        <n v="398"/>
        <n v="481"/>
        <n v="535"/>
        <n v="598"/>
        <n v="645"/>
        <n v="682"/>
        <n v="862"/>
        <n v="1168"/>
        <n v="1421"/>
        <n v="1527"/>
        <n v="1"/>
        <n v="71"/>
        <n v="258"/>
        <n v="439"/>
        <n v="493"/>
        <n v="749"/>
        <n v="949"/>
        <n v="1087"/>
        <n v="1242"/>
        <n v="1396"/>
        <n v="48"/>
        <n v="178"/>
        <n v="199"/>
        <n v="329"/>
        <n v="420"/>
        <n v="590"/>
        <n v="668"/>
        <n v="822"/>
        <n v="825"/>
        <n v="1035"/>
        <n v="1122"/>
        <n v="1136"/>
        <n v="1226"/>
        <n v="1448"/>
        <n v="33"/>
        <n v="43"/>
        <n v="192"/>
        <n v="222"/>
        <n v="224"/>
        <n v="246"/>
        <n v="416"/>
        <n v="441"/>
        <n v="487"/>
        <n v="540"/>
        <n v="557"/>
        <n v="680"/>
        <n v="717"/>
        <n v="740"/>
        <n v="814"/>
        <n v="909"/>
        <n v="936"/>
        <n v="945"/>
        <n v="1223"/>
        <n v="1278"/>
        <n v="1336"/>
        <n v="1346"/>
        <n v="75"/>
        <n v="179"/>
        <n v="259"/>
        <n v="720"/>
        <n v="1057"/>
        <n v="1161"/>
        <n v="1166"/>
        <n v="1239"/>
        <n v="1264"/>
        <n v="1385"/>
        <n v="1433"/>
        <n v="254"/>
        <n v="362"/>
        <n v="808"/>
        <n v="893"/>
        <n v="990"/>
        <n v="996"/>
        <n v="1134"/>
        <n v="1362"/>
        <n v="1390"/>
        <n v="1436"/>
        <n v="1524"/>
        <n v="54"/>
        <n v="140"/>
        <n v="320"/>
        <n v="432"/>
        <n v="524"/>
        <n v="587"/>
        <n v="632"/>
        <n v="765"/>
        <n v="885"/>
        <n v="921"/>
        <n v="1055"/>
        <n v="1075"/>
        <n v="1295"/>
        <n v="1513"/>
        <n v="27"/>
        <n v="70"/>
        <n v="169"/>
        <n v="183"/>
        <n v="370"/>
        <n v="458"/>
        <n v="658"/>
        <n v="681"/>
        <n v="852"/>
        <n v="959"/>
        <n v="1259"/>
        <n v="225"/>
        <n v="291"/>
        <n v="339"/>
        <n v="468"/>
        <n v="777"/>
        <n v="867"/>
        <n v="1195"/>
        <n v="1199"/>
        <n v="1542"/>
        <n v="1544"/>
        <n v="51"/>
        <n v="170"/>
        <n v="188"/>
        <n v="206"/>
        <n v="209"/>
        <n v="242"/>
        <n v="315"/>
        <n v="387"/>
        <n v="471"/>
        <n v="501"/>
        <n v="588"/>
        <n v="594"/>
        <n v="841"/>
        <n v="843"/>
        <n v="847"/>
        <n v="956"/>
        <n v="993"/>
        <n v="1003"/>
        <n v="1014"/>
        <n v="1153"/>
        <n v="1318"/>
        <n v="22"/>
        <n v="38"/>
        <n v="214"/>
        <n v="454"/>
        <n v="456"/>
        <n v="561"/>
        <n v="627"/>
        <n v="1509"/>
        <n v="505"/>
        <n v="558"/>
        <n v="660"/>
        <n v="751"/>
        <n v="887"/>
        <n v="898"/>
        <n v="934"/>
        <n v="964"/>
        <n v="970"/>
        <n v="1414"/>
        <n v="1456"/>
        <n v="16"/>
        <n v="40"/>
        <n v="53"/>
        <n v="105"/>
        <n v="131"/>
        <n v="133"/>
        <n v="184"/>
        <n v="204"/>
        <n v="277"/>
        <n v="412"/>
        <n v="455"/>
        <n v="541"/>
        <n v="556"/>
        <n v="584"/>
        <n v="794"/>
        <n v="875"/>
        <n v="906"/>
        <n v="940"/>
        <n v="1252"/>
        <n v="47"/>
        <n v="136"/>
        <n v="241"/>
        <n v="260"/>
        <n v="461"/>
        <n v="490"/>
        <n v="498"/>
        <n v="577"/>
        <n v="730"/>
        <n v="752"/>
        <n v="793"/>
        <n v="821"/>
        <n v="832"/>
        <n v="878"/>
        <n v="999"/>
        <n v="1186"/>
        <n v="1207"/>
        <n v="1245"/>
        <n v="1446"/>
        <n v="1473"/>
        <n v="1525"/>
        <n v="63"/>
        <n v="85"/>
        <n v="175"/>
        <n v="230"/>
        <n v="390"/>
        <n v="494"/>
        <n v="723"/>
        <n v="797"/>
        <n v="965"/>
        <n v="987"/>
        <n v="1080"/>
        <n v="1086"/>
        <n v="1200"/>
        <n v="1437"/>
        <n v="21"/>
        <n v="72"/>
        <n v="109"/>
        <n v="249"/>
        <n v="273"/>
        <n v="305"/>
        <n v="345"/>
        <n v="372"/>
        <n v="452"/>
        <n v="539"/>
        <n v="571"/>
        <n v="895"/>
        <n v="1007"/>
        <n v="1060"/>
        <n v="1104"/>
        <n v="1178"/>
        <n v="1261"/>
        <n v="1280"/>
        <n v="1312"/>
        <n v="1429"/>
        <n v="39"/>
        <n v="104"/>
        <n v="377"/>
        <n v="379"/>
        <n v="616"/>
        <n v="638"/>
        <n v="648"/>
        <n v="747"/>
        <n v="807"/>
        <n v="1020"/>
        <n v="1145"/>
        <n v="1328"/>
        <n v="1349"/>
        <n v="1451"/>
        <n v="74"/>
        <n v="283"/>
        <n v="290"/>
        <n v="323"/>
        <n v="522"/>
        <n v="538"/>
        <n v="896"/>
        <n v="907"/>
        <n v="912"/>
        <n v="913"/>
        <n v="973"/>
        <n v="1210"/>
        <n v="12"/>
        <n v="113"/>
        <n v="120"/>
        <n v="143"/>
        <n v="146"/>
        <n v="176"/>
        <n v="234"/>
        <n v="301"/>
        <n v="341"/>
        <n v="347"/>
        <n v="360"/>
        <n v="444"/>
        <n v="559"/>
        <n v="708"/>
        <n v="883"/>
        <n v="955"/>
        <n v="1042"/>
        <n v="1182"/>
        <n v="1202"/>
        <n v="1241"/>
        <n v="1372"/>
        <n v="125"/>
        <n v="159"/>
        <n v="279"/>
        <n v="676"/>
        <n v="773"/>
        <n v="1025"/>
        <n v="1028"/>
        <n v="1072"/>
        <n v="1162"/>
        <n v="1248"/>
        <n v="1260"/>
        <n v="1281"/>
        <n v="1306"/>
        <n v="1376"/>
        <n v="1379"/>
        <n v="1393"/>
        <n v="1394"/>
        <n v="1398"/>
        <n v="1412"/>
        <n v="1420"/>
        <n v="1490"/>
        <n v="81"/>
        <n v="93"/>
        <n v="181"/>
        <n v="203"/>
        <n v="306"/>
        <n v="491"/>
        <n v="562"/>
        <n v="778"/>
        <n v="1133"/>
        <n v="1317"/>
        <n v="1458"/>
        <n v="1476"/>
        <n v="1541"/>
        <n v="123"/>
        <n v="153"/>
        <n v="168"/>
        <n v="190"/>
        <n v="413"/>
        <n v="414"/>
        <n v="608"/>
        <n v="633"/>
        <n v="819"/>
        <n v="1009"/>
        <n v="1050"/>
        <n v="1517"/>
        <n v="2"/>
        <n v="78"/>
        <n v="243"/>
        <n v="256"/>
        <n v="318"/>
        <n v="385"/>
        <n v="544"/>
        <n v="589"/>
        <n v="1111"/>
        <n v="1234"/>
        <n v="1408"/>
        <n v="1479"/>
        <n v="1493"/>
        <n v="1519"/>
        <n v="34"/>
        <n v="73"/>
        <n v="76"/>
        <n v="137"/>
        <n v="248"/>
        <n v="278"/>
        <n v="333"/>
        <n v="642"/>
        <n v="889"/>
        <n v="988"/>
        <n v="1157"/>
        <n v="1170"/>
        <n v="1331"/>
        <n v="1332"/>
        <n v="1391"/>
        <n v="1413"/>
        <n v="1444"/>
        <n v="60"/>
        <n v="118"/>
        <n v="180"/>
        <n v="299"/>
        <n v="366"/>
        <n v="402"/>
        <n v="433"/>
        <n v="528"/>
        <n v="575"/>
        <n v="679"/>
        <n v="734"/>
        <n v="1249"/>
        <n v="1276"/>
        <n v="1291"/>
        <n v="1303"/>
        <n v="1333"/>
        <n v="41"/>
        <n v="50"/>
        <n v="173"/>
        <n v="314"/>
        <n v="374"/>
        <n v="393"/>
        <n v="426"/>
        <n v="552"/>
        <n v="622"/>
        <n v="758"/>
        <n v="957"/>
        <n v="961"/>
        <n v="1046"/>
        <n v="1125"/>
        <n v="1130"/>
        <n v="1131"/>
        <n v="1175"/>
        <n v="1176"/>
        <n v="1257"/>
        <n v="1397"/>
        <m/>
      </sharedItems>
    </cacheField>
    <cacheField name="Set" numFmtId="0">
      <sharedItems containsString="0" containsBlank="1" containsNumber="1" containsInteger="1" minValue="1" maxValue="100" count="1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m/>
      </sharedItems>
    </cacheField>
    <cacheField name="Word" numFmtId="0">
      <sharedItems containsBlank="1" count="1545">
        <s v="Contemporary"/>
        <s v="Disseminate"/>
        <s v="Ecological"/>
        <s v="Exalt"/>
        <s v="Feign"/>
        <s v="Frailty"/>
        <s v="Gracious"/>
        <s v="Intimately"/>
        <s v="Misanthropic"/>
        <s v="Mortify"/>
        <s v="Portentous"/>
        <s v="Precarious"/>
        <s v="Quandary"/>
        <s v="Sluggish"/>
        <s v="Temper"/>
        <s v="Adroit"/>
        <s v="Amenable"/>
        <s v="Calumny"/>
        <s v="Chauvinistic"/>
        <s v="Compliance"/>
        <s v="Deferential"/>
        <s v="Divulge"/>
        <s v="Flummoxed"/>
        <s v="Forgo"/>
        <s v="Peculiar"/>
        <s v="Pertinacious"/>
        <s v="Phony"/>
        <s v="Pragmatism"/>
        <s v="Abjure"/>
        <s v="Appropriate"/>
        <s v="Auspicious"/>
        <s v="Buoyant"/>
        <s v="Cherish"/>
        <s v="Compounded"/>
        <s v="Exact"/>
        <s v="Fascinate"/>
        <s v="Flamboyant"/>
        <s v="Momentary"/>
        <s v="Panacea"/>
        <s v="Pious"/>
        <s v="Redouble"/>
        <s v="Startling"/>
        <s v="Utterly"/>
        <s v="Viable"/>
        <s v="Abrogate"/>
        <s v="Baffling"/>
        <s v="Cease"/>
        <s v="Check"/>
        <s v="Deprecate"/>
        <s v="Ecstatic"/>
        <s v="Enmity"/>
        <s v="Exotic"/>
        <s v="Impediment"/>
        <s v="Impenetrable"/>
        <s v="Implausible"/>
        <s v="Incensed"/>
        <s v="Industrious"/>
        <s v="Ingenuous"/>
        <s v="Ironclad"/>
        <s v="Pejorative"/>
        <s v="Perfunctory"/>
        <s v="Precipitous"/>
        <s v="Profligate"/>
        <s v="Repudiate"/>
        <s v="Ruinous"/>
        <s v="Shallowness"/>
        <s v="Thwarted"/>
        <s v="Vexation"/>
        <s v="Ameliorate"/>
        <s v="Amiable"/>
        <s v="Antithesis"/>
        <s v="Ascetic"/>
        <s v="Benevolent"/>
        <s v="Circumscribe"/>
        <s v="Collaborate"/>
        <s v="Confound"/>
        <s v="Detente"/>
        <s v="Gratuitous"/>
        <s v="Illustrative"/>
        <s v="Nettlesome"/>
        <s v="Peccadillo"/>
        <s v="Probity"/>
        <s v="Supplant"/>
        <s v="Supple"/>
        <s v="Truculent"/>
        <s v="Abet"/>
        <s v="Assuage"/>
        <s v="Conciliatory"/>
        <s v="Delusion"/>
        <s v="Discrepancy"/>
        <s v="Elated"/>
        <s v="Genealogy"/>
        <s v="Grumble"/>
        <s v="Gullible"/>
        <s v="Hyperbole"/>
        <s v="Magisterial"/>
        <s v="Obsolete"/>
        <s v="Occlude"/>
        <s v="Omniscient"/>
        <s v="Painstaking"/>
        <s v="Partial"/>
        <s v="Preclude"/>
        <s v="Provoke"/>
        <s v="Retrench"/>
        <s v="Aberrant"/>
        <s v="Acerbic"/>
        <s v="Apogee"/>
        <s v="Caprice"/>
        <s v="Commence"/>
        <s v="Enlighten"/>
        <s v="Gaffe"/>
        <s v="Iconoclastic"/>
        <s v="Idyllic"/>
        <s v="Illiberal"/>
        <s v="Intrepid"/>
        <s v="Marginalize"/>
        <s v="Obviate"/>
        <s v="Oust"/>
        <s v="Penurious"/>
        <s v="Strife"/>
        <s v="Surfeit"/>
        <s v="Tractable"/>
        <s v="Accord"/>
        <s v="Admonish"/>
        <s v="Complimentary"/>
        <s v="Craft"/>
        <s v="Debilitating"/>
        <s v="Gauche"/>
        <s v="Judicious"/>
        <s v="Misconstrue"/>
        <s v="Penetrate"/>
        <s v="Perceptive"/>
        <s v="Renounce"/>
        <s v="Serendipitous"/>
        <s v="Subservient"/>
        <s v="Surpass"/>
        <s v="Turgid"/>
        <s v="Venerate"/>
        <s v="Acrimonious"/>
        <s v="Amicable"/>
        <s v="Deference"/>
        <s v="Dictate"/>
        <s v="Endow"/>
        <s v="Insipid"/>
        <s v="Integrate"/>
        <s v="Jeopardize"/>
        <s v="Magnanimous"/>
        <s v="Quarantine"/>
        <s v="Recluse"/>
        <s v="Simultaneity"/>
        <s v="Surrogate"/>
        <s v="Tailored"/>
        <s v="Upbraid"/>
        <s v="Vindicate"/>
        <s v="Ascertain"/>
        <s v="Banal"/>
        <s v="Callous"/>
        <s v="Decry"/>
        <s v="Eclipse"/>
        <s v="Egoism"/>
        <s v="Exhilarating"/>
        <s v="Incredulous"/>
        <s v="Indiscernible"/>
        <s v="Inestimable"/>
        <s v="Insidious"/>
        <s v="Intimate"/>
        <s v="Pretentious"/>
        <s v="Quirky"/>
        <s v="Redoubtable"/>
        <s v="Refute"/>
        <s v="Reprobate"/>
        <s v="Subordinate"/>
        <s v="Undemonstrative"/>
        <s v="Contemptuous"/>
        <s v="Foster"/>
        <s v="Inchoate"/>
        <s v="Ire"/>
        <s v="Myopic"/>
        <s v="Perspicacity"/>
        <s v="Resurgent"/>
        <s v="Soliloquy"/>
        <s v="Tangible"/>
        <s v="Tantalizing"/>
        <s v="Vigilant"/>
        <s v="Antipathy"/>
        <s v="Consensus"/>
        <s v="Distill"/>
        <s v="Elementary"/>
        <s v="Ideologue"/>
        <s v="Numinous"/>
        <s v="Odious"/>
        <s v="Superfluous"/>
        <s v="Unappealing"/>
        <s v="Uninformed"/>
        <s v="Vitality"/>
        <s v="Wearisome"/>
        <s v="Anomalous"/>
        <s v="Brook"/>
        <s v="Convoluted"/>
        <s v="Deportment"/>
        <s v="Emulate"/>
        <s v="Entitled"/>
        <s v="Evasive"/>
        <s v="Frivolous"/>
        <s v="Narrative"/>
        <s v="Paradox"/>
        <s v="Potent"/>
        <s v="Thrift"/>
        <s v="Ubiquitous"/>
        <s v="Xenophobic"/>
        <s v="Altruistic"/>
        <s v="Antagonize"/>
        <s v="Apropos"/>
        <s v="Befriend"/>
        <s v="Brazen"/>
        <s v="Calamitous"/>
        <s v="Defamatory"/>
        <s v="Deleterious"/>
        <s v="Deliberate"/>
        <s v="Exacting"/>
        <s v="Fickle"/>
        <s v="Foolhardy"/>
        <s v="Multifaceted"/>
        <s v="Negligent"/>
        <s v="Obstinate"/>
        <s v="Patent"/>
        <s v="Recourse"/>
        <s v="Relentless"/>
        <s v="Showcase"/>
        <s v="Uncharacteristically"/>
        <s v="Witty"/>
        <s v="Acquisitive"/>
        <s v="Coercion"/>
        <s v="Conspicuous"/>
        <s v="Hodgepodge"/>
        <s v="Impertinent"/>
        <s v="Long-Winded"/>
        <s v="Overuse"/>
        <s v="Plausible"/>
        <s v="Regress"/>
        <s v="Sagacious"/>
        <s v="Self-Serving"/>
        <s v="Sinecure"/>
        <s v="Tangent"/>
        <s v="Woo"/>
        <s v="Belie"/>
        <s v="Cordial"/>
        <s v="Curb"/>
        <s v="Diminutive"/>
        <s v="Disdain"/>
        <s v="Duplicity"/>
        <s v="Flout"/>
        <s v="Hackneyed"/>
        <s v="Harbinger"/>
        <s v="Lionize"/>
        <s v="Pervasive"/>
        <s v="Reinterpret"/>
        <s v="Stern"/>
        <s v="Verisimilitude"/>
        <s v="Wane"/>
        <s v="Whimsical"/>
        <s v="Accolade"/>
        <s v="Ad hoc"/>
        <s v="Aversion"/>
        <s v="Baroque"/>
        <s v="Caricature"/>
        <s v="Chagrin"/>
        <s v="Gloom"/>
        <s v="Humdrum"/>
        <s v="Meticulous"/>
        <s v="Premonition"/>
        <s v="Sway"/>
        <s v="Venal"/>
        <s v="Conjecture"/>
        <s v="Detached"/>
        <s v="Dissident"/>
        <s v="Foil"/>
        <s v="Omnipresent"/>
        <s v="Opaque"/>
        <s v="Overshadow"/>
        <s v="Ponderous"/>
        <s v="Relent"/>
        <s v="Resolve"/>
        <s v="Slavishly"/>
        <s v="Soporific"/>
        <s v="Terse"/>
        <s v="Verbose"/>
        <s v="Byzantine"/>
        <s v="Dilate"/>
        <s v="Divorced"/>
        <s v="Exacerbate"/>
        <s v="Excoriate"/>
        <s v="Extenuating"/>
        <s v="Fervor"/>
        <s v="Glib"/>
        <s v="Histrionic"/>
        <s v="Impartial"/>
        <s v="Intercept"/>
        <s v="Inundate"/>
        <s v="Martinet"/>
        <s v="Oblivious"/>
        <s v="Prosaic"/>
        <s v="Schism"/>
        <s v="Shrewd"/>
        <s v="Sovereignty"/>
        <s v="Toll"/>
        <s v="Clandestine"/>
        <s v="Compel"/>
        <s v="Conjectural"/>
        <s v="Daunt"/>
        <s v="Deceptive"/>
        <s v="Defy"/>
        <s v="Demur"/>
        <s v="Didactic"/>
        <s v="Disciple"/>
        <s v="Dwindling"/>
        <s v="Ebullient"/>
        <s v="Infelicity"/>
        <s v="Languish"/>
        <s v="Multitudinous"/>
        <s v="Passivity"/>
        <s v="Perspicacious"/>
        <s v="Philistine"/>
        <s v="Posturing"/>
        <s v="Presumptuous"/>
        <s v="Reticent"/>
        <s v="Tacit"/>
        <s v="Understate"/>
        <s v="Austerity"/>
        <s v="Avert"/>
        <s v="Coalesce"/>
        <s v="Enlarge"/>
        <s v="Hybrid"/>
        <s v="Impolitic"/>
        <s v="Indignant"/>
        <s v="Inertia"/>
        <s v="Lavish"/>
        <s v="Maunder"/>
        <s v="Myriad"/>
        <s v="Ominous"/>
        <s v="Plodding"/>
        <s v="Prognosis"/>
        <s v="Repertoire"/>
        <s v="Steadfast"/>
        <s v="Thoroughgoing"/>
        <s v="Wilful"/>
        <s v="Articulate"/>
        <s v="Consequential"/>
        <s v="Coy"/>
        <s v="Decipher"/>
        <s v="Dexter"/>
        <s v="Disintegrate"/>
        <s v="Dogged"/>
        <s v="Exhort"/>
        <s v="Fervent"/>
        <s v="Impetuous"/>
        <s v="Implicit"/>
        <s v="Jettison"/>
        <s v="Lucid"/>
        <s v="Ludicrous"/>
        <s v="Overly"/>
        <s v="Precocious"/>
        <s v="Puerile"/>
        <s v="Rationalize"/>
        <s v="Resolute"/>
        <s v="Tarnish"/>
        <s v="Transgression"/>
        <s v="Ulterior"/>
        <s v="Underscore"/>
        <s v="Aphorism"/>
        <s v="Axiomatic"/>
        <s v="Berate"/>
        <s v="Erudite"/>
        <s v="Impecunious"/>
        <s v="Itinerant"/>
        <s v="Nadir"/>
        <s v="Officious"/>
        <s v="Polymath"/>
        <s v="Snare"/>
        <s v="Subside"/>
        <s v="Tentative"/>
        <s v="Thrilled"/>
        <s v="Unappreciated"/>
        <s v="Unformed"/>
        <s v="Unpropitious"/>
        <s v="Wheedle"/>
        <s v="Flagrant"/>
        <s v="Forgery"/>
        <s v="Idiosyncratic"/>
        <s v="Irascible"/>
        <s v="Prevaricate"/>
        <s v="Seductive"/>
        <s v="Vigorous"/>
        <s v="Camaraderie"/>
        <s v="Coin"/>
        <s v="Dawdle"/>
        <s v="Dislocation"/>
        <s v="Fixate"/>
        <s v="Hidebound"/>
        <s v="Impervious"/>
        <s v="Internalize"/>
        <s v="Lugubrious"/>
        <s v="Naive"/>
        <s v="Ornamental"/>
        <s v="Proxy"/>
        <s v="Ramification"/>
        <s v="Subjective"/>
        <s v="Sullen"/>
        <s v="Tact"/>
        <s v="Verve"/>
        <s v="Virtuosity"/>
        <s v="Archetype"/>
        <s v="Barrage"/>
        <s v="Benign"/>
        <s v="Deceit"/>
        <s v="Detractor"/>
        <s v="Disenchant"/>
        <s v="Effrontery"/>
        <s v="Extempore"/>
        <s v="Foreground"/>
        <s v="Fulcrum"/>
        <s v="Impetus"/>
        <s v="Obstreperous"/>
        <s v="Overreaching"/>
        <s v="Redundant"/>
        <s v="Sentimental"/>
        <s v="Unintelligible"/>
        <s v="Aggrandize"/>
        <s v="Compete"/>
        <s v="Debacle"/>
        <s v="Disinterested"/>
        <s v="Ensue"/>
        <s v="Fervid"/>
        <s v="Flattery"/>
        <s v="Incidental"/>
        <s v="Latitude"/>
        <s v="Leeway"/>
        <s v="Miserly"/>
        <s v="Predilection"/>
        <s v="Profuse"/>
        <s v="Scrupulous"/>
        <s v="Subtle"/>
        <s v="Agreeable"/>
        <s v="Assail"/>
        <s v="Candid"/>
        <s v="Cavalier"/>
        <s v="Derivative"/>
        <s v="Deviate"/>
        <s v="Explicit"/>
        <s v="Exposition"/>
        <s v="Grovel"/>
        <s v="Herald"/>
        <s v="Immure"/>
        <s v="Interchangeable"/>
        <s v="Interminable"/>
        <s v="Precedence"/>
        <s v="Prevalent"/>
        <s v="Punctilious"/>
        <s v="Skeptic"/>
        <s v="Solicitous"/>
        <s v="Unexceptional"/>
        <s v="Unobjectionable"/>
        <s v="Vanquish"/>
        <s v="Beguile"/>
        <s v="Blithe"/>
        <s v="Debunk"/>
        <s v="Dirge"/>
        <s v="Equivocal"/>
        <s v="Frugality"/>
        <s v="Inclined"/>
        <s v="Morbid"/>
        <s v="Nominal"/>
        <s v="Pessimism"/>
        <s v="Placid"/>
        <s v="Sporadic"/>
        <s v="Subvert"/>
        <s v="Susceptible"/>
        <s v="Abide"/>
        <s v="Capricious"/>
        <s v="Documentary"/>
        <s v="Echelon"/>
        <s v="Inductive"/>
        <s v="Innocuous"/>
        <s v="Levity"/>
        <s v="Prescient"/>
        <s v="Prescribe"/>
        <s v="Sadistic"/>
        <s v="Slight"/>
        <s v="Sustained"/>
        <s v="Temerity"/>
        <s v="Vapid"/>
        <s v="Apt"/>
        <s v="Cite"/>
        <s v="Coherent"/>
        <s v="Eccentric"/>
        <s v="Enamor"/>
        <s v="Imminent"/>
        <s v="Indiscriminate"/>
        <s v="Intermittent"/>
        <s v="Mendacity"/>
        <s v="Mordant"/>
        <s v="Necessitate"/>
        <s v="Personify"/>
        <s v="Plaintive"/>
        <s v="Plucky"/>
        <s v="Remuneration"/>
        <s v="Singular"/>
        <s v="Skittish"/>
        <s v="Sober"/>
        <s v="Baseness"/>
        <s v="Daunting"/>
        <s v="Dismantle"/>
        <s v="Foreseeable"/>
        <s v="Games"/>
        <s v="Harmonious"/>
        <s v="Indemnify"/>
        <s v="Limpid"/>
        <s v="Mellow"/>
        <s v="Taciturn"/>
        <s v="Undertake"/>
        <s v="Beholden"/>
        <s v="Catastrophe"/>
        <s v="Explicate"/>
        <s v="Extraneous"/>
        <s v="Neutralize"/>
        <s v="Overwhelm"/>
        <s v="Pedestrian"/>
        <s v="Platitude"/>
        <s v="Predominant"/>
        <s v="Prolific"/>
        <s v="Veracious"/>
        <s v="Appease"/>
        <s v="Beneficent"/>
        <s v="Construe"/>
        <s v="Entrench"/>
        <s v="Extant"/>
        <s v="Global"/>
        <s v="Hapless"/>
        <s v="Severe"/>
        <s v="Versatile"/>
        <s v="Arcane"/>
        <s v="Bereft"/>
        <s v="Countercultural"/>
        <s v="Dynamism"/>
        <s v="Efficacy"/>
        <s v="Exasperate"/>
        <s v="Hypocrite"/>
        <s v="Incendiary"/>
        <s v="Insightful"/>
        <s v="Intermediary"/>
        <s v="Layperson"/>
        <s v="Malleable"/>
        <s v="Prudent"/>
        <s v="Refuge"/>
        <s v="Restive"/>
        <s v="Row"/>
        <s v="Vocal"/>
        <s v="Voluble"/>
        <s v="Zealous"/>
        <s v="Clamorous"/>
        <s v="Erratic"/>
        <s v="Futile"/>
        <s v="Gawky"/>
        <s v="Grievance"/>
        <s v="Meretricious"/>
        <s v="Monologue"/>
        <s v="Persistence"/>
        <s v="Rallying"/>
        <s v="Recrudesce"/>
        <s v="Rein"/>
        <s v="Spurious"/>
        <s v="Crafty"/>
        <s v="Despair"/>
        <s v="Diatribe"/>
        <s v="Divergent"/>
        <s v="Enviable"/>
        <s v="Erstwhile"/>
        <s v="Estimable"/>
        <s v="Hospitable"/>
        <s v="Morose"/>
        <s v="Mutiny"/>
        <s v="Parsimonious"/>
        <s v="Partisan"/>
        <s v="Staple"/>
        <s v="Tenable"/>
        <s v="Triumph"/>
        <s v="Unverifiable"/>
        <s v="Attainment"/>
        <s v="Coddle"/>
        <s v="Contravene"/>
        <s v="Digression"/>
        <s v="Dilettante"/>
        <s v="Fastidious"/>
        <s v="Gravity"/>
        <s v="Hortatory"/>
        <s v="Manifest"/>
        <s v="Mounting"/>
        <s v="Nullify"/>
        <s v="Ostentatious"/>
        <s v="Profound"/>
        <s v="Unrestrained"/>
        <s v="Vacuous"/>
        <s v="Wistful"/>
        <s v="Belligerent"/>
        <s v="Cacophonous"/>
        <s v="Castigate"/>
        <s v="Catholic"/>
        <s v="Cupid"/>
        <s v="Facetious"/>
        <s v="Hinder"/>
        <s v="Intractable"/>
        <s v="Lambaste"/>
        <s v="Languid"/>
        <s v="Prodigal"/>
        <s v="Quiescent"/>
        <s v="Spartan"/>
        <s v="Surmount"/>
        <s v="Tedious"/>
        <s v="Visionary"/>
        <s v="Base"/>
        <s v="Gloat"/>
        <s v="Inviolate"/>
        <s v="Lurid"/>
        <s v="Preeminent"/>
        <s v="Prefigure"/>
        <s v="Recant"/>
        <s v="Reinvent"/>
        <s v="Resent"/>
        <s v="Sever"/>
        <s v="Transient"/>
        <s v="Unorthodox"/>
        <s v="Barren"/>
        <s v="Competent"/>
        <s v="Crumble"/>
        <s v="Egalitarian"/>
        <s v="Elevate"/>
        <s v="Imperturbable"/>
        <s v="Ineluctable"/>
        <s v="Ingrained"/>
        <s v="Institutionalize"/>
        <s v="Inviting"/>
        <s v="Lull"/>
        <s v="Miscreant"/>
        <s v="Mollify"/>
        <s v="Novelty"/>
        <s v="Perilous"/>
        <s v="Placate"/>
        <s v="Proliferate"/>
        <s v="Reproach"/>
        <s v="Satirical"/>
        <s v="Sensational"/>
        <s v="Sinuous"/>
        <s v="Token"/>
        <s v="Transcend"/>
        <s v="Unsettle"/>
        <s v="Abeyance"/>
        <s v="Betray"/>
        <s v="Compliment"/>
        <s v="Comply"/>
        <s v="Duplicitous"/>
        <s v="Fallible"/>
        <s v="Flourish"/>
        <s v="Heterodox"/>
        <s v="Hypothesis"/>
        <s v="Indifferent"/>
        <s v="Indispensable"/>
        <s v="Libertine"/>
        <s v="Modish"/>
        <s v="Picturesque"/>
        <s v="Salutary"/>
        <s v="Slovenly"/>
        <s v="Turbulent"/>
        <s v="Censure"/>
        <s v="Convalescent"/>
        <s v="Demanding"/>
        <s v="Disingenuous"/>
        <s v="Egotist"/>
        <s v="Fallow"/>
        <s v="Impudent"/>
        <s v="Impugn"/>
        <s v="Lethargy"/>
        <s v="Misnomer"/>
        <s v="Obscure"/>
        <s v="Perpetrate"/>
        <s v="Proclivity"/>
        <s v="Rehabilitate"/>
        <s v="Relegate"/>
        <s v="Skirt"/>
        <s v="Stringent"/>
        <s v="Abject"/>
        <s v="Abstract"/>
        <s v="Copious"/>
        <s v="Covert"/>
        <s v="Dormant"/>
        <s v="Edify"/>
        <s v="Elate"/>
        <s v="Furtive"/>
        <s v="Imitate"/>
        <s v="Lampoon"/>
        <s v="Maladroit"/>
        <s v="Malign"/>
        <s v="Munificent"/>
        <s v="Poignant"/>
        <s v="Sham"/>
        <s v="Timorous"/>
        <s v="Unalloyed"/>
        <s v="Vestigial"/>
        <s v="Alleviate"/>
        <s v="Animus"/>
        <s v="Anomaly"/>
        <s v="Cajole"/>
        <s v="Corporeal"/>
        <s v="Discomfit"/>
        <s v="Disorient"/>
        <s v="Eradicate"/>
        <s v="Figurative"/>
        <s v="Fluster"/>
        <s v="Forbear"/>
        <s v="Giddily"/>
        <s v="Illuminate"/>
        <s v="Inscrutable"/>
        <s v="Polemical"/>
        <s v="Prodigious"/>
        <s v="Retiring"/>
        <s v="Sound"/>
        <s v="Staid"/>
        <s v="Stingy"/>
        <s v="Substantive"/>
        <s v="Abscond"/>
        <s v="Apprise"/>
        <s v="Canonize"/>
        <s v="Clearheaded"/>
        <s v="Dissemble"/>
        <s v="Indecipherable"/>
        <s v="Indecorous"/>
        <s v="Lure"/>
        <s v="Piquant"/>
        <s v="Synoptic"/>
        <s v="Urbane"/>
        <s v="Artful"/>
        <s v="Celebrated"/>
        <s v="Chivalrous"/>
        <s v="Conflagration"/>
        <s v="Encyclopedic"/>
        <s v="Erroneous"/>
        <s v="Eschew"/>
        <s v="Haphazard"/>
        <s v="Loathe"/>
        <s v="Palpable"/>
        <s v="Reverence"/>
        <s v="Stint"/>
        <s v="Unwittingly"/>
        <s v="Ambivalent"/>
        <s v="Amend"/>
        <s v="Astound"/>
        <s v="Burnish"/>
        <s v="Calibrate"/>
        <s v="Dissent"/>
        <s v="Falter"/>
        <s v="Monotonous"/>
        <s v="Obfuscate"/>
        <s v="Paragon"/>
        <s v="Providential"/>
        <s v="Puzzle"/>
        <s v="Raillery"/>
        <s v="Resilient"/>
        <s v="Sartorial"/>
        <s v="Undetectable"/>
        <s v="Universal"/>
        <s v="Waggish"/>
        <s v="Wayward"/>
        <s v="Weary"/>
        <s v="August"/>
        <s v="Contend"/>
        <s v="Eloquent"/>
        <s v="Entreaty"/>
        <s v="Fallacious"/>
        <s v="Immunity"/>
        <s v="Indebted"/>
        <s v="Inimical"/>
        <s v="Irresolute"/>
        <s v="Passable"/>
        <s v="Unresolved"/>
        <s v="Cognizance"/>
        <s v="Discernible"/>
        <s v="Efficacious"/>
        <s v="Elicit"/>
        <s v="Engage"/>
        <s v="Homogeneous"/>
        <s v="Irksome"/>
        <s v="Ironic"/>
        <s v="Liability"/>
        <s v="Malevolent"/>
        <s v="Protract"/>
        <s v="Provincial"/>
        <s v="Resolution"/>
        <s v="Robust"/>
        <s v="Subdued"/>
        <s v="Supplement"/>
        <s v="Undermine"/>
        <s v="Boon"/>
        <s v="Conducive"/>
        <s v="Enchant"/>
        <s v="Entreat"/>
        <s v="Equivocate"/>
        <s v="Heed"/>
        <s v="Injudicious"/>
        <s v="Intrinsic"/>
        <s v="Perplex"/>
        <s v="Quantifiable"/>
        <s v="Stalwart"/>
        <s v="Suppress"/>
        <s v="Testable"/>
        <s v="Testimony"/>
        <s v="Cope"/>
        <s v="Deflect"/>
        <s v="Engender"/>
        <s v="Extravagant"/>
        <s v="Factual"/>
        <s v="Fanciful"/>
        <s v="Flustered"/>
        <s v="Indolent"/>
        <s v="Lucrative"/>
        <s v="Minute"/>
        <s v="Prime"/>
        <s v="Sedulous"/>
        <s v="Supplicate"/>
        <s v="Abrasive"/>
        <s v="Blunt"/>
        <s v="Despotic"/>
        <s v="Disaffection"/>
        <s v="Disgruntle"/>
        <s v="Enthrall"/>
        <s v="Fractious"/>
        <s v="Fret"/>
        <s v="Original"/>
        <s v="Peripheral"/>
        <s v="Propitiate"/>
        <s v="Remedial"/>
        <s v="Sinister"/>
        <s v="Trifling"/>
        <s v="Unexceptionable"/>
        <s v="Virtue"/>
        <s v="Dilatory"/>
        <s v="Elucidate"/>
        <s v="Impulsive"/>
        <s v="Inducement"/>
        <s v="Integrity"/>
        <s v="Inveterate"/>
        <s v="Mitigate"/>
        <s v="Nimble"/>
        <s v="Pressing"/>
        <s v="Propped"/>
        <s v="Ridicule"/>
        <s v="Scorn"/>
        <s v="Simpleton"/>
        <s v="Slander"/>
        <s v="Affect"/>
        <s v="Countenance"/>
        <s v="Discern"/>
        <s v="Exhaustive"/>
        <s v="Fungible"/>
        <s v="Loquacious"/>
        <s v="Makeshift"/>
        <s v="Neophyte"/>
        <s v="Posed"/>
        <s v="Scintillating"/>
        <s v="Tempestuous"/>
        <s v="Trenchant"/>
        <s v="Uncritical"/>
        <s v="Arbitrary"/>
        <s v="Auxiliary"/>
        <s v="Desultory"/>
        <s v="Diffident"/>
        <s v="Dwarf"/>
        <s v="Feint"/>
        <s v="Hysterical"/>
        <s v="Incessant"/>
        <s v="Intelligible"/>
        <s v="Irremediable"/>
        <s v="Patronize"/>
        <s v="Pithy"/>
        <s v="Precipitate"/>
        <s v="Render"/>
        <s v="Sobriety"/>
        <s v="Sparing"/>
        <s v="Subsume"/>
        <s v="Sycophant"/>
        <s v="Trivial"/>
        <s v="Undisturbed"/>
        <s v="Abound"/>
        <s v="Audacious"/>
        <s v="Churlish"/>
        <s v="Contrite"/>
        <s v="Croon"/>
        <s v="Entrenched"/>
        <s v="Irreconcilable"/>
        <s v="Megalomaniac"/>
        <s v="Normative"/>
        <s v="Penitent"/>
        <s v="Presage"/>
        <s v="Provocative"/>
        <s v="Reiterate"/>
        <s v="Syntactical"/>
        <s v="Valedictory"/>
        <s v="Warranted"/>
        <s v="Abridge"/>
        <s v="Affectation"/>
        <s v="Alienate"/>
        <s v="Apologist"/>
        <s v="Bawdy"/>
        <s v="Bemuse"/>
        <s v="Covet"/>
        <s v="Dissolution"/>
        <s v="Entail"/>
        <s v="Forestall"/>
        <s v="Improvise"/>
        <s v="Ploy"/>
        <s v="Propriety"/>
        <s v="Pugnacious"/>
        <s v="Suspect"/>
        <s v="Unfathomable"/>
        <s v="Arresting"/>
        <s v="Chastise"/>
        <s v="Decadent"/>
        <s v="Doctrinaire"/>
        <s v="Enervate"/>
        <s v="Gregarious"/>
        <s v="Invaluable"/>
        <s v="Jocund"/>
        <s v="Laconic"/>
        <s v="Largesse"/>
        <s v="Meager"/>
        <s v="Objectivity"/>
        <s v="Phlegmatic"/>
        <s v="Speculative"/>
        <s v="Temperate"/>
        <s v="Activism"/>
        <s v="Allusive"/>
        <s v="Antedate"/>
        <s v="Archaic"/>
        <s v="Disparate"/>
        <s v="Fringe"/>
        <s v="Gratify"/>
        <s v="Hamper"/>
        <s v="Manipulate"/>
        <s v="Overt"/>
        <s v="Pomposity"/>
        <s v="Preternatural"/>
        <s v="Resonate"/>
        <s v="Scathe"/>
        <s v="Tantamount"/>
        <s v="Unsound"/>
        <s v="Vitiate"/>
        <s v="Apathy"/>
        <s v="Assertive"/>
        <s v="Augment"/>
        <s v="Avarice"/>
        <s v="Connoisseur"/>
        <s v="Crestfallen"/>
        <s v="Depravity"/>
        <s v="Devious"/>
        <s v="Distend"/>
        <s v="Ennui"/>
        <s v="Expedite"/>
        <s v="Finicky"/>
        <s v="Inform"/>
        <s v="Objurgate"/>
        <s v="Outlandish"/>
        <s v="Quibble"/>
        <s v="Stigmatize"/>
        <s v="Unprincipled"/>
        <s v="Allegorical"/>
        <s v="Fitfully"/>
        <s v="Imperious"/>
        <s v="Keen"/>
        <s v="Narcissism"/>
        <s v="Paltry"/>
        <s v="Self-Righteous"/>
        <s v="Unexampled"/>
        <s v="Unpremeditated"/>
        <s v="Affinity"/>
        <s v="Aplomb"/>
        <s v="Approbation"/>
        <s v="Bucolic"/>
        <s v="Cerebral"/>
        <s v="Collusion"/>
        <s v="Contentious"/>
        <s v="Cumbersome"/>
        <s v="Curtail"/>
        <s v="Decorum"/>
        <s v="Disapprobation"/>
        <s v="Embellish"/>
        <s v="Escalate"/>
        <s v="Fledgling"/>
        <s v="Inarticulate"/>
        <s v="Noble"/>
        <s v="Obligate"/>
        <s v="Self-Indulgence"/>
        <s v="Torpid"/>
        <s v="Banish"/>
        <s v="Endorse"/>
        <s v="Florid"/>
        <s v="Forsake"/>
        <s v="Galvanize"/>
        <s v="Pristine"/>
        <s v="Rhetoric"/>
        <s v="Ritual"/>
        <s v="Sparse"/>
        <s v="Tranquil"/>
        <s v="Trite"/>
        <s v="Amalgamate"/>
        <s v="Circumstantial"/>
        <s v="Complacent"/>
        <s v="Convivial"/>
        <s v="Counterintuitive"/>
        <s v="Glum"/>
        <s v="Immaculate"/>
        <s v="Invasive"/>
        <s v="Laborious"/>
        <s v="Pedantic"/>
        <s v="Perpetuate"/>
        <s v="Predicament"/>
        <s v="Radical"/>
        <s v="Ravage"/>
        <s v="Replenish"/>
        <s v="Substantiate"/>
        <s v="Unfounded"/>
        <s v="Correlate"/>
        <s v="Disgorge"/>
        <s v="Enigmatic"/>
        <s v="Eventuate"/>
        <s v="Immutable"/>
        <s v="Imprudent"/>
        <s v="Intransigent"/>
        <s v="Mediate"/>
        <s v="Open-Ended"/>
        <s v="Recondite"/>
        <s v="Renege"/>
        <s v="Untapped"/>
        <s v="Veritable"/>
        <s v="Accentuate"/>
        <s v="Acute"/>
        <s v="Ascribe"/>
        <s v="Assiduous"/>
        <s v="Clangor"/>
        <s v="Credible"/>
        <s v="Discredit"/>
        <s v="Feeble"/>
        <s v="Germane"/>
        <s v="Inquisitive"/>
        <s v="Lax"/>
        <s v="Polarize"/>
        <s v="Risible"/>
        <s v="Serene"/>
        <s v="Starvation"/>
        <s v="Unseemly"/>
        <s v="Audacity"/>
        <s v="Cataclysmic"/>
        <s v="Curmudgeon"/>
        <s v="Distressed"/>
        <s v="Dubious"/>
        <s v="Imbroglio"/>
        <s v="Ingenious"/>
        <s v="Pivotal"/>
        <s v="Spendthrift"/>
        <s v="Supersede"/>
        <s v="Unaffected"/>
        <s v="Unattainable"/>
        <s v="Volatile"/>
        <s v="Wily"/>
        <s v="Abstraction"/>
        <s v="Befuddled"/>
        <s v="Craven"/>
        <s v="Idealistic"/>
        <s v="Inhibit"/>
        <s v="Irreverent"/>
        <s v="Parochial"/>
        <s v="Perennial"/>
        <s v="Surly"/>
        <s v="Thrive"/>
        <s v="Abhor"/>
        <s v="Compromise"/>
        <s v="Conundrum"/>
        <s v="Delicacy"/>
        <s v="Dictum"/>
        <s v="Disquiet"/>
        <s v="Economy"/>
        <s v="Endanger"/>
        <s v="Fortuitous"/>
        <s v="Heterogeneous"/>
        <s v="Indictment"/>
        <s v="Metaphorical"/>
        <s v="Optimistic"/>
        <s v="Pastiche"/>
        <s v="Propagate"/>
        <s v="Rapacious"/>
        <s v="Rhapsody"/>
        <s v="Utilitarian"/>
        <s v="Acolyte"/>
        <s v="Astute"/>
        <s v="Attribute"/>
        <s v="Compelling"/>
        <s v="Estrange"/>
        <s v="Exploit"/>
        <s v="Goosebump"/>
        <s v="Inconsequential"/>
        <s v="Inevitable"/>
        <s v="Menace"/>
        <s v="Prurient"/>
        <s v="Repugnant"/>
        <s v="Restrain"/>
        <s v="Sanctimonious"/>
        <s v="Superficiality"/>
        <s v="Unprecedented"/>
        <s v="Acumen"/>
        <s v="All-Encompassing"/>
        <s v="Bromide"/>
        <s v="Contentment"/>
        <s v="Cunning"/>
        <s v="Extrapolate"/>
        <s v="Ideology"/>
        <s v="Indict"/>
        <s v="Insular"/>
        <s v="Pensive"/>
        <s v="Sophist"/>
        <s v="Underlying"/>
        <s v="Unmistakable"/>
        <s v="Abstruse"/>
        <s v="Apprehension"/>
        <s v="Compliant"/>
        <s v="Denigrate"/>
        <s v="Dispassionate"/>
        <s v="Forebode"/>
        <s v="Laudable"/>
        <s v="Onerous"/>
        <s v="Residual"/>
        <s v="Woeful"/>
        <s v="Yield"/>
        <s v="Contempt"/>
        <s v="Equanimity"/>
        <s v="Exculpate"/>
        <s v="Indecision"/>
        <s v="Melding"/>
        <s v="Outmoded"/>
        <s v="Panache"/>
        <s v="Pellucid"/>
        <s v="Rational"/>
        <s v="Stanch"/>
        <s v="Swindle"/>
        <s v="Treatise"/>
        <s v="Turpitude"/>
        <s v="Aesthetic"/>
        <s v="Boisterous"/>
        <s v="Caustic"/>
        <s v="Complementary"/>
        <s v="Conclusive"/>
        <s v="Diffuse"/>
        <s v="Egregious"/>
        <s v="Esoteric"/>
        <s v="Fester"/>
        <s v="Gainsay"/>
        <s v="Heady"/>
        <s v="Liberate"/>
        <s v="Rampant"/>
        <s v="Transparency"/>
        <s v="Wary"/>
        <s v="Abandon"/>
        <s v="Amuse"/>
        <s v="Commensurate"/>
        <s v="Dissimilar"/>
        <s v="Empathy"/>
        <s v="Incongruous"/>
        <s v="Nettles"/>
        <s v="Portend"/>
        <s v="Sacrosanct"/>
        <s v="Tenuous"/>
        <s v="Affront"/>
        <s v="Boorish"/>
        <s v="Callow"/>
        <s v="Crescendo"/>
        <s v="Disentangle"/>
        <s v="Fecund"/>
        <s v="Grouchy"/>
        <s v="Invigorate"/>
        <s v="Involved"/>
        <s v="Penchant"/>
        <s v="Proficient"/>
        <s v="Proportionate"/>
        <s v="Retaliate"/>
        <s v="Undercut"/>
        <s v="Adept"/>
        <s v="Affable"/>
        <s v="Buttress"/>
        <s v="Cessation"/>
        <s v="Champion"/>
        <s v="Code"/>
        <s v="Discreet"/>
        <s v="Distaste"/>
        <s v="Elitist"/>
        <s v="Evade"/>
        <s v="Exonerate"/>
        <s v="Haughty"/>
        <s v="Impair"/>
        <s v="Inalienable"/>
        <s v="Intrigue"/>
        <s v="Meritorious"/>
        <s v="Murky"/>
        <s v="Nascent"/>
        <s v="Restless"/>
        <s v="Showy"/>
        <s v="Stun"/>
        <s v="Subversion"/>
        <s v="Anecdote"/>
        <s v="Braggart"/>
        <s v="Commiserate"/>
        <s v="Impede"/>
        <s v="Pertinent"/>
        <s v="Quixotic"/>
        <s v="Ramble"/>
        <s v="Rudimentary"/>
        <s v="Self-Evident"/>
        <s v="Temerarious"/>
        <s v="Tyrannical"/>
        <s v="Collude"/>
        <s v="Deify"/>
        <s v="Interweave"/>
        <s v="Marketable"/>
        <s v="Opulent"/>
        <s v="Outdated"/>
        <s v="Prophetic"/>
        <s v="Surreptitious"/>
        <s v="Temporal"/>
        <s v="Umbrage"/>
        <s v="Waning"/>
        <s v="Alacrity"/>
        <s v="Avid"/>
        <s v="Counterproductive"/>
        <s v="Dispense"/>
        <s v="Equitable"/>
        <s v="Fawn"/>
        <s v="Fraught"/>
        <s v="Indiscretion"/>
        <s v="Malfeasance"/>
        <s v="Modest"/>
        <s v="Persuasive"/>
        <s v="Pliant"/>
        <s v="Sloth"/>
        <s v="Virulent"/>
        <s v="Acquiesce"/>
        <s v="Amorphous"/>
        <s v="Blemish"/>
        <s v="Brevity"/>
        <s v="Demystify"/>
        <s v="Dupe"/>
        <s v="Glorification"/>
        <s v="Headstrong"/>
        <s v="Lassitude"/>
        <s v="Novel"/>
        <s v="Scrutinize"/>
        <s v="Chary"/>
        <s v="Constraining"/>
        <s v="Cursory"/>
        <s v="Eclectic"/>
        <s v="Inexhaustible"/>
        <s v="Lofty"/>
        <s v="Rejuvenate"/>
        <s v="Relinquish"/>
        <s v="Zealot"/>
        <s v="Zenith"/>
        <s v="Agitate"/>
        <s v="Blight"/>
        <s v="Buoyancy"/>
        <s v="Capitulate"/>
        <s v="Captious"/>
        <s v="Cloak"/>
        <s v="Cosmopolitan"/>
        <s v="Detrimental"/>
        <s v="Economical"/>
        <s v="Endemic"/>
        <s v="Feasible"/>
        <s v="Felicitous"/>
        <s v="Juxtaposition"/>
        <s v="Kindred"/>
        <s v="Lament"/>
        <s v="Noninterventionist"/>
        <s v="Ossify"/>
        <s v="Overstate"/>
        <s v="Paradigm"/>
        <s v="Qualm"/>
        <s v="Squander"/>
        <s v="Acclaim"/>
        <s v="Adulation"/>
        <s v="Cathartic"/>
        <s v="Dowdy"/>
        <s v="Droll"/>
        <s v="Expatiate"/>
        <s v="Fortitude"/>
        <s v="Vilify"/>
        <s v="Enfeeble"/>
        <s v="Exorbitant"/>
        <s v="Goad"/>
        <s v="Inconsiderable"/>
        <s v="Malignant"/>
        <s v="Mawkish"/>
        <s v="Mundane"/>
        <s v="Obdurate"/>
        <s v="Oblige"/>
        <s v="Tout"/>
        <s v="Undiminished"/>
        <s v="Abstain"/>
        <s v="Adverse"/>
        <s v="Ahistorical"/>
        <s v="Arduous"/>
        <s v="Austere"/>
        <s v="Autonomous"/>
        <s v="Bridle"/>
        <s v="Canny"/>
        <s v="Condescending"/>
        <s v="Disconcert"/>
        <s v="Draconian"/>
        <s v="Evanescent"/>
        <s v="Exigent"/>
        <s v="Farsighted"/>
        <s v="Instigate"/>
        <s v="Luminary"/>
        <s v="Mercenary"/>
        <s v="Mystification"/>
        <s v="Scant"/>
        <s v="Affluence"/>
        <s v="Avaricious"/>
        <s v="Clerical"/>
        <s v="Commonplace"/>
        <s v="Duress"/>
        <s v="Elusive"/>
        <s v="Encroach"/>
        <s v="Factious"/>
        <s v="Implacable"/>
        <s v="Incontrovertible"/>
        <s v="Insolent"/>
        <s v="Invidious"/>
        <s v="Irrefutable"/>
        <s v="Macabre"/>
        <s v="Outstrip"/>
        <s v="Refine"/>
        <s v="Repercussion"/>
        <s v="Salubrious"/>
        <s v="Uncultivated"/>
        <s v="Unpretentious"/>
        <s v="Wanting"/>
        <s v="Ambiguity"/>
        <s v="Antiquity"/>
        <s v="Bolster"/>
        <s v="Chicanery"/>
        <s v="Devolve"/>
        <s v="Empirical"/>
        <s v="Imperative"/>
        <s v="Insurmountable"/>
        <s v="Obeisance"/>
        <s v="Opportunism"/>
        <s v="Poise"/>
        <s v="Populous"/>
        <s v="Relish"/>
        <s v="Unadorned"/>
        <s v="Accessible"/>
        <s v="Anachronism"/>
        <s v="Artless"/>
        <s v="Cogitate"/>
        <s v="Comprehensive"/>
        <s v="Conventional"/>
        <s v="Dearth"/>
        <s v="Denounce"/>
        <s v="Dogmatic"/>
        <s v="Euphoric"/>
        <s v="Extol"/>
        <s v="Mask"/>
        <s v="Pacify"/>
        <s v="Petulant"/>
        <s v="Premeditate"/>
        <s v="Reconcile"/>
        <s v="Secondhand"/>
        <s v="Shrill"/>
        <s v="Specious"/>
        <s v="Turbid"/>
        <s v="Adulterate"/>
        <s v="Ardent"/>
        <s v="Deride"/>
        <s v="Desiccate"/>
        <s v="Foment"/>
        <s v="Fruitful"/>
        <s v="Garrulous"/>
        <s v="Incitement"/>
        <s v="Intertwined"/>
        <s v="Partiality"/>
        <s v="Prowess"/>
        <s v="Stimulate"/>
        <s v="Superficial"/>
        <s v="Underreport"/>
        <s v="Analogous"/>
        <s v="Congenial"/>
        <s v="Conspire"/>
        <s v="Cow"/>
        <s v="Ephemeral"/>
        <s v="Euphemism"/>
        <s v="Materialize"/>
        <s v="Mercurial"/>
        <s v="Mettlesome"/>
        <s v="Mimic"/>
        <s v="Obsequious"/>
        <s v="Replicate"/>
        <s v="Abreast"/>
        <s v="Aspersion"/>
        <s v="Astringent"/>
        <s v="Balloon"/>
        <s v="Banter"/>
        <s v="Bombastic"/>
        <s v="Circumspect"/>
        <s v="Contretemps"/>
        <s v="Cynical"/>
        <s v="Debase"/>
        <s v="Deft"/>
        <s v="Distort"/>
        <s v="Exorcise"/>
        <s v="Illusory"/>
        <s v="Malady"/>
        <s v="Nonchalant"/>
        <s v="Perfidy"/>
        <s v="Redemption"/>
        <s v="Remote"/>
        <s v="Ruminate"/>
        <s v="Synthesize"/>
        <s v="Atypical"/>
        <s v="Belligerence"/>
        <s v="Condone"/>
        <s v="Harangue"/>
        <s v="Inept"/>
        <s v="Pastoral"/>
        <s v="Paucity"/>
        <s v="Plastic"/>
        <s v="Quotidian"/>
        <s v="Sanction"/>
        <s v="Scuffle"/>
        <s v="Sift"/>
        <s v="Sordid"/>
        <s v="Tactless"/>
        <s v="Tangential"/>
        <s v="Tenacity"/>
        <s v="Tendentious"/>
        <s v="Terrific"/>
        <s v="Torpor"/>
        <s v="Transitory"/>
        <s v="Vacillate"/>
        <s v="Antagonistic"/>
        <s v="Apposite"/>
        <s v="Bravado"/>
        <s v="Candor"/>
        <s v="Conviction"/>
        <s v="Embargo"/>
        <s v="Expedient"/>
        <s v="Infallible"/>
        <s v="Propensity"/>
        <s v="Spurn"/>
        <s v="Undo"/>
        <s v="Unquantifiable"/>
        <s v="Zeal"/>
        <s v="Attenuate"/>
        <s v="Bearing"/>
        <s v="Bias"/>
        <s v="Burgeon"/>
        <s v="Discord"/>
        <s v="Discount"/>
        <s v="Fleeting"/>
        <s v="Frenetic"/>
        <s v="Inveigle"/>
        <s v="Palliate"/>
        <s v="Perseverance"/>
        <s v="Vivacious"/>
        <s v="Abate"/>
        <s v="Anoint"/>
        <s v="Clumsy"/>
        <s v="Comity"/>
        <s v="Counterfeit"/>
        <s v="Deter"/>
        <s v="Evoke"/>
        <s v="Feckless"/>
        <s v="Presuppose"/>
        <s v="Rigor"/>
        <s v="Tirade"/>
        <s v="Unscrupulous"/>
        <s v="Valor"/>
        <s v="Vociferous"/>
        <s v="Adherent"/>
        <s v="Anachronistic"/>
        <s v="Animosity"/>
        <s v="Aver"/>
        <s v="Cogent"/>
        <s v="Conditional"/>
        <s v="Culprit"/>
        <s v="Fusion"/>
        <s v="Manacle"/>
        <s v="Opprobrium"/>
        <s v="Quash"/>
        <s v="Rapprochement"/>
        <s v="Stoic"/>
        <s v="Stolid"/>
        <s v="Tempting"/>
        <s v="Tortuous"/>
        <s v="Uncontroversial"/>
        <s v="Aloof"/>
        <s v="Astonish"/>
        <s v="Brandish"/>
        <s v="Contingent"/>
        <s v="Delineate"/>
        <s v="Dilemma"/>
        <s v="Disperse"/>
        <s v="Erode"/>
        <s v="Fabricate"/>
        <s v="Harrow"/>
        <s v="Improbable"/>
        <s v="Sanguine"/>
        <s v="Shirk"/>
        <s v="Skullduggery"/>
        <s v="Somnolent"/>
        <s v="Strategic"/>
        <s v="Advocate"/>
        <s v="Aghast"/>
        <s v="Bogus"/>
        <s v="Corroborate"/>
        <s v="Depose"/>
        <s v="Dichotomy"/>
        <s v="Disjunction"/>
        <s v="Exegesis"/>
        <s v="Foresight"/>
        <s v="Indefatigable"/>
        <s v="Nonplussed"/>
        <s v="Noxious"/>
        <s v="Pernicious"/>
        <s v="Profundity"/>
        <s v="Prolix"/>
        <s v="Promulgate"/>
        <s v="Recapitulate"/>
        <s v="Recipe"/>
        <s v="Scornful"/>
        <s v="Tepid"/>
        <m/>
      </sharedItems>
    </cacheField>
    <cacheField name="Group" numFmtId="0">
      <sharedItems containsBlank="1" count="15">
        <s v="Temporal"/>
        <s v="Spatial"/>
        <s v="Physical Sensation"/>
        <s v="Positive Traits"/>
        <s v="Negative Traits"/>
        <s v="Philosophical"/>
        <s v="Emotional"/>
        <s v="Sound"/>
        <s v="Linguistic"/>
        <s v="Taste"/>
        <s v="Intellectual"/>
        <s v="Visual"/>
        <s v="Religious"/>
        <s v="Mythological"/>
        <m/>
      </sharedItems>
    </cacheField>
    <cacheField name="Etymology" numFmtId="0">
      <sharedItems containsBlank="1" count="18">
        <s v="Latin Origin"/>
        <s v="Greek Origin"/>
        <s v="Old French Origin"/>
        <s v="Middle English Origin"/>
        <s v="Old English Origin"/>
        <s v="French Origin"/>
        <s v="Unknown Origin"/>
        <s v="Scottish Origin"/>
        <s v="Old Norse Origin"/>
        <s v="Spanish Origin"/>
        <s v="Italian Origin"/>
        <s v="Portuguese Origin"/>
        <s v="Arabic Origin"/>
        <s v="American English Origin"/>
        <s v="Old French/Latin Origin"/>
        <s v="German Origin"/>
        <s v="Old Italian Origin"/>
        <m/>
      </sharedItems>
    </cacheField>
    <cacheField name="Bucket" numFmtId="0">
      <sharedItems containsBlank="1" count="83">
        <s v="Temporal Latin Origin"/>
        <s v="Spatial Greek Origin"/>
        <s v="Temporal Old French Origin"/>
        <s v="Physical Sensation Middle English Origin"/>
        <s v="Positive Traits Latin Origin"/>
        <s v="Negative Traits Greek Origin"/>
        <s v="Negative Traits Latin Origin"/>
        <s v="Negative Traits Old English Origin"/>
        <s v="Positive Traits French Origin"/>
        <s v="Negative Traits French Origin"/>
        <s v="Temporal Unknown Origin"/>
        <s v="Temporal Old English Origin"/>
        <s v="Negative Traits Unknown Origin"/>
        <s v="Positive Traits Greek Origin"/>
        <s v="Philosophical Latin Origin"/>
        <s v="Spatial French Origin"/>
        <s v="Positive Traits Old English Origin"/>
        <s v="Emotional Scottish Origin"/>
        <s v="Spatial Old French Origin"/>
        <s v="Emotional Greek Origin"/>
        <s v="Negative Traits Old French Origin"/>
        <s v="Emotional Latin Origin"/>
        <s v="Temporal Old Norse Origin"/>
        <s v="Philosophical Greek Origin"/>
        <s v="Spatial Latin Origin"/>
        <s v="Temporal French Origin"/>
        <s v="Negative Traits Spanish Origin"/>
        <s v="Positive Traits Old French Origin"/>
        <s v="Temporal Greek Origin"/>
        <s v="Sound Unknown Origin"/>
        <s v="Linguistic Greek Origin"/>
        <s v="Taste Latin Origin"/>
        <s v="Emotional Italian Origin"/>
        <s v="Intellectual Old English Origin"/>
        <s v="Linguistic French Origin"/>
        <s v="Spatial Old English Origin"/>
        <s v="Positive Traits Unknown Origin"/>
        <s v="Temporal Italian Origin"/>
        <s v="Positive Traits Old Norse Origin"/>
        <s v="Emotional Old English Origin"/>
        <s v="Emotional Middle English Origin"/>
        <s v="Spatial Portuguese Origin"/>
        <s v="Visual Italian Origin"/>
        <s v="Emotional French Origin"/>
        <s v="Emotional Old French Origin"/>
        <s v="Linguistic Old Norse Origin"/>
        <s v="Religious Latin Origin"/>
        <s v="Temporal Middle English Origin"/>
        <s v="Intellectual Latin Origin"/>
        <s v="Temporal Arabic Origin"/>
        <s v="Positive Traits Italian Origin"/>
        <s v="Linguistic Latin Origin"/>
        <s v="Philosophical American English Origin"/>
        <s v="Sound Latin Origin"/>
        <s v="Philosophical Old English Origin"/>
        <s v="Negative Traits Middle English Origin"/>
        <s v="Spatial Unknown Origin"/>
        <s v="Spatial Middle English Origin"/>
        <s v="Negative Traits Italian Origin"/>
        <s v="Physical Sensation Latin Origin"/>
        <s v="Sound Greek Origin"/>
        <s v="Religious Greek Origin"/>
        <s v="Mythological Latin Origin"/>
        <s v="Emotional Unknown Origin"/>
        <s v="Temporal Old French/Latin Origin"/>
        <s v="Intellectual Greek Origin"/>
        <s v="Negative Traits Old Norse Origin"/>
        <s v="Positive Traits Middle English Origin"/>
        <s v="Sound Old English Origin"/>
        <s v="Sound Middle English Origin"/>
        <s v="Philosophical French Origin"/>
        <s v="Positive Traits Old French/Latin Origin"/>
        <s v="Physical Sensation Old English Origin"/>
        <s v="Positive Traits German Origin"/>
        <s v="Linguistic Old English Origin"/>
        <s v="Sound Italian Origin"/>
        <s v="Positive Traits Scottish Origin"/>
        <s v="Spatial Italian Origin"/>
        <s v="Temporal Old Italian Origin"/>
        <s v="Temporal Spanish Origin"/>
        <s v="Negative Traits Scottish Origin"/>
        <s v="Negative Traits American English Origin"/>
        <m/>
      </sharedItems>
    </cacheField>
    <cacheField name="length" numFmtId="0">
      <sharedItems containsString="0" containsBlank="1" containsNumber="1" containsInteger="1" minValue="3" maxValue="20" count="18">
        <n v="12"/>
        <n v="11"/>
        <n v="10"/>
        <n v="5"/>
        <n v="7"/>
        <n v="8"/>
        <n v="6"/>
        <n v="9"/>
        <n v="4"/>
        <n v="13"/>
        <n v="15"/>
        <n v="3"/>
        <n v="20"/>
        <n v="14"/>
        <n v="16"/>
        <m/>
        <n v="17"/>
        <n v="18"/>
      </sharedItems>
    </cacheField>
    <cacheField name="Meaning" numFmtId="0">
      <sharedItems containsBlank="1" count="1446">
        <s v="Things that are contemporary are either happening at the same time or happening now. Contemporary art is recent art."/>
        <s v="Disseminate means to spread information, knowledge, opinions widely. Semin- derives from the Latin word for seed; the idea with disseminate is that information travels like seeds sown by a farmer."/>
        <s v="1. Ecological means involved with or concerning ecology. _x000a_2. Ecological groups, movements, and people are concerned with preserving the environment and natural resources, so that they can be used in a sensible way, rather than being wasted. "/>
        <s v="To exalt someone or something means to praise them very highly. "/>
        <s v="If someone feigns a particular feeling, attitude, or physical condition, they try to make other people think that they have it or are experiencing it, although this is not true. "/>
        <s v="physical weakness; lack of health or strength OR moral weakness"/>
        <s v="1. pleasant, kind, and polite: &quot;You’re a gracious host.&quot;_x000a_2. having the qualities great comfort and luxury made possible by wealth: &quot;He was used to gracious living&quot;"/>
        <s v="1. closely in a personal or sexual way_x000a_2. in a very detailed way"/>
        <s v="If you describe a person or their feelings as misanthropic, you mean that they do not like other people."/>
        <s v="If you say that something mortifies you, you mean that it offends or embarrasses you a great deal. "/>
        <s v="1. If someone's way of speaking, writing, or behaving is portentous, they speak, write, or behave more seriously than necessary because they want to impress other people. _x000a_2. Something that is portentous is important in indicating or affecting future even"/>
        <s v="not securely held or in position; dangerously likely to fall or collapse."/>
        <s v="If you are in a quandary, you have to make a decision but cannot decide what to do"/>
        <s v="You can describe something as sluggish if it moves, works, or reacts much slower than you would like or is normal. "/>
        <s v="1. tendency to anger_x000a_2. one’s mood in general_x000a_3. To temper something means to make it less extreme. "/>
        <s v="Someone who is adroit is quick and skilful in their thoughts, behaviour, or actions. "/>
        <s v="If you are amenable to something, you are willing to do it or accept it. "/>
        <s v="Calumny or a calumny is an untrue statement made about someone in order to reduce other people's respect and admiration for them. "/>
        <s v="1. If you describe someone as chauvinistic, you believe that they think their own country is more important and morally better than any other. _x000a_2. If you describe a man or his behaviour as chauvinistic, you disapprove of him for believing that men are nat"/>
        <s v="Compliance with something, for example a law, treaty, or agreement means doing what you are required or expected to do. "/>
        <s v="Someone who is deferential is polite and respectful towards someone else. "/>
        <s v="If you divulge a piece of secret or private information, you tell it to someone. "/>
        <s v="so confused that you do not know what to do"/>
        <s v="same as forego; to give up or do without"/>
        <s v="1. If you describe someone or something as peculiar, you think that they are strange or unusual, sometimes in an unpleasant way. _x000a_2. If something is peculiar to a particular thing, person, or situation, it belongs or relates only to that thing, person, or"/>
        <s v="Someone who is pertinacious continues trying to do something difficult rather than giving up quickly. "/>
        <s v="fake/nor real, like your attitude, a gigantic diamond, or that obnoxious guy's claims that he knows everything about quantum physics_x000a_also &quot;phoney&quot;, also n"/>
        <s v="Pragmatism means thinking of or dealing with problems in a practical way, rather than by using theory or abstract principles. "/>
        <s v="If you abjure something such as a belief or way of life, you state publicly that you will give it up or that you reject it. "/>
        <s v="1. Something that is appropriate is suitable or acceptable for a particular situation. _x000a_2. If someone appropriates something which does not belong to them, they take it, usually without the right to do so. _x000a_3. If a government or organization appropriates "/>
        <s v="Something that is auspicious indicates that success is likely. "/>
        <s v="Something that is buoyant floats in water. Since floating is happier than sinking, buoyant also refers to things are fun and upbeat.(Ex: buoyant mood, buoyant economy)"/>
        <s v="To cherish something is to care for it deeply, to treasure it, like the way you cherish the time you spend with a favorite person you don't see often."/>
        <s v="If something is compounded of different things, it is a mixture of those things. "/>
        <s v="1. in perfect detail; complete and correct_x000a_2. Exact is sometimes used to increase emphasis on the following word_x000a_3. to demand and obtain something, sometimes using threats or force: Ex: exact revenge, exact $$"/>
        <s v="Anything that sparks your interest or makes you wonder has the ability to fascinate."/>
        <s v="If you say that someone or something is flamboyant, you mean that they are very noticeable, stylish, and exciting. "/>
        <s v="Something that is momentary lasts for a very short period of time, for example for a few seconds or less. "/>
        <s v="something that will solve all problems or cure all illnesses"/>
        <s v="1. Someone who is pious is very religious and moral. _x000a_2. If you describe someone's words as pious, you think that their words are full of good intentions but do not lead to anything useful being done. _x000a_3. If you describe someone as pious, you disapprove o"/>
        <s v="If you redouble your efforts, you try much harder to achieve something. If something redoubles, it increases in volume or intensity. "/>
        <s v="Something that's startling is so unexpected that it shocks or surprises you. It would be startling to open your front door and see a clown standing there."/>
        <s v="Utterly is an intensifying word: something utterly delicious is very, very delicious."/>
        <s v="1. Something that is viable is capable of doing what it is intended to do. _x000a_2.  Foetuses, seeds, or eggs are described as viable if they are capable of developing into living beings without outside help. "/>
        <s v="1. to end a law, agreement, or custom formally (ex: &quot;The treaty was abrogated in 1929.&quot;)_x000a_2. to avoid something that you should do (ex: &quot;Companies are really abrogating responsibility for safety&quot;)"/>
        <s v="impossible to understand; perplexing; bewildering; puzzling"/>
        <s v="1. If something ceases, it stops happening or existing. _x000a_2. If you cease to do something, you stop doing it. _x000a_3. If you cease something, you stop it happening or working. "/>
        <s v="1. examine _x000a_2. If you check on someone or something, you make sure they are in a safe or satisfactory condition. _x000a_3. tick_x000a_4. To check something, usually something bad, means to stop it from spreading or continuing. _x000a_5. If you check yourself or if somethin"/>
        <s v="If you deprecate something, you criticize it. "/>
        <s v="entranced, enthusiastic"/>
        <s v="Enmity is a feeling of hatred towards someone that lasts for a long time. "/>
        <s v="Something so unusual that it must be from some unfamiliar place is exotic. An exotic pet might be a panda, instead of a hamster. An exotic trip might be a journey to the Galapagos Islands, instead of to Orlando's Sea World."/>
        <s v="An impediment is anything that slows or blocks progress. It can refer to a physical thing, like a fallen tree in the road, or something more intangible, like how your short stature is an impediment to becoming a professional basketball player."/>
        <s v="Impenetrable describes something that's impossible to get through. Whether it's a brick wall or a difficult reading passage, something impenetrable won't let you in."/>
        <s v="The adjective implausible breaks down into im, meaning “not,” and plausible, meaning &quot;likely.&quot; So it simply means &quot;not likely.&quot;"/>
        <s v="extremely angry"/>
        <s v="If someone comments that you are very industrious, they are complimenting you for working hard and tirelessly. You can have the evening to yourself if you're industrious enough during the afternoon to get your homework and chores done."/>
        <s v="Someone who is ingenuous shows a childlike innocence, trust, and openness."/>
        <s v="If you describe a guarantee or plan as ironclad, you are emphasizing that it has been carefully put together, and that you think it is absolutely certain to work or be successful"/>
        <s v="Call a word or phrase pejorative if it is used as a disapproving expression or a term of abuse. Tree-hugger is a pejorative term for an environmentalist."/>
        <s v="A perfunctory action is done quickly and carelessly, and shows a lack of interest in what you are doing. "/>
        <s v="A sharp, steep drop — whether it's in a stock price, a roller coaster, or a star's popularity — could be described as a precipitous one. Put simply, precipitous means perilously steep."/>
        <s v="Someone who is profligate spends too much money or uses too much of something. "/>
        <s v="If you repudiate something or someone, you show that you strongly disagree with them and do not want to be connected with them in any way. "/>
        <s v="1. If you describe the cost of something as ruinous, you mean that it costs far more money than you can afford or than is reasonable_x000a_2. A ruinous process or course of action is one that is likely to lead to ruin"/>
        <s v="not deep"/>
        <s v="If you thwart someone or thwart their plans, you prevent them from doing or getting what they want. "/>
        <s v="Vexation is a feeling of being annoyed, puzzled, and frustrated"/>
        <s v="to make a bad or unpleasant situation better"/>
        <s v="Someone who is amiable is friendly and pleasant to be with. "/>
        <s v="1. The antithesis of something is its exact opposite. _x000a_2. If there is an antithesis between two things, there is a contrast between them. "/>
        <s v="An ascetic person has a way of life that is simple and strict, usually because of their religious beliefs. "/>
        <s v="doing or inclined to do good; kindly; charitable "/>
        <s v="If someone's power or freedom is circumscribed, it is limited or restricted. "/>
        <s v="When you work together on shared goal, you collaborate. If you don't just split a project up evenly but work together on creating solutions, you collaborate."/>
        <s v="If someone or something confounds you, they make you feel surprised or confused, often by showing you that your opinions or expectations of them were wrong. &quot;The singer confounded her critics with a remarkable follow-up album&quot;_x000a__x000a_confounding variable influe"/>
        <s v="Detente is a state of friendly relations between two countries when previously there had been problems between them. "/>
        <s v="Gratuitous can be used to refer to something that’s unnecessary and mildly annoying/inappropriate; &quot;If a friend frequently gives you fashion tips, even though you’ve expressed no interest in receiving them, you’d be correct in labeling her advice as gratu"/>
        <s v="If you use something as an illustrative example, or for illustrative purposes, you use it to show that what you are saying is true or to make your meaning clearer. "/>
        <s v="causing or susceptible to irritation"/>
        <s v="Peccadilloes are small, unimportant sins or faults. "/>
        <s v="Probity is a high standard of correct moral behaviour. "/>
        <s v="If a person or thing is supplanted, another person or thing takes their place. "/>
        <s v="1. A supple object or material bends or changes shape easily without cracking or breaking. _x000a_2. A supple person can move and bend their body very easily. _x000a_3. If you describe something such as a flavour or a sound as supple, you like it because it is smooth"/>
        <s v="If you say that someone is truculent, you mean that they are bad-tempered and aggressive. "/>
        <s v="1. If one person abets another, they help or encourage them to do something criminal or wrong. Abet is often used in the legal expression ' aid and abet'. _x000a_2. To abet something, especially something bad or undesirable, means to make it possible. "/>
        <s v="1. If you assuage an unpleasant feeling that someone has, you make them feel it less strongly. _x000a_2. If you assuage a need or desire for something, you satisfy it. "/>
        <s v="When you are conciliatory in your actions or behaviour, you show that you are willing to end a disagreement with someone. "/>
        <s v="Delusion is the state of believing things that are not true"/>
        <s v="There is a discrepancy when there is a difference between two things that should be alike. For example, there can be a wide discrepancy or a slight discrepancy between two objects, stories, or facts."/>
        <s v="extremely happy and excited"/>
        <s v="Your genealogy is the story of your ancestry, sometimes referred to as your family tree."/>
        <s v="When you grumble, you complain about something clearly but quietly, in a low mutter."/>
        <s v="If you describe someone as gullible, you mean they are easily tricked because they are too trusting. "/>
        <s v="exaggeration for effect and not meant to be taken literally (Ex: He's as strong as an ox.)"/>
        <s v="having or seeming to have complete authority"/>
        <s v="outdated"/>
        <s v="to block something"/>
        <s v="If you describe someone as omniscient, you mean they know or seem to know everything. "/>
        <s v="extremely careful and correct, and involving a lot of effort"/>
        <s v="1. You use partial to refer to something that is not complete or whole. _x000a_2. If you are partial to something, you like it. _x000a_3. Someone who is partial supports a particular person or thing, for example in a competition or dispute, instead of being completel"/>
        <s v="1. If something precludes an event or action, it prevents the event or action from happening. _x000a_2. If something precludes you from doing something or going somewhere, it prevents you from doing it or going there. "/>
        <s v="1. If you provoke someone, you deliberately annoy them and try to make them behave aggressively. _x000a_2. If something provokes a reaction, it causes it. "/>
        <s v="If a person or organization retrenches, they spend less money. "/>
        <s v="Aberrant means unusual and not socially acceptable. "/>
        <s v="1. sour or bitter in taste_x000a_2. (of a person or what they say) critical in a direct and rather cruel way"/>
        <s v="The apogee of something such as a culture or a business is its highest or its greatest point. "/>
        <s v="unexpected action or decision which has no strong reason or purpose"/>
        <s v="When something commences or you commence it, it begins. "/>
        <s v="To enlighten someone means to give them more knowledge and greater understanding about something"/>
        <s v="a social blunder"/>
        <s v="If you describe someone or their words or ideas as iconoclastic, you mean that they contradict established beliefs. "/>
        <s v="If you describe something as idyllic, you mean that it is extremely pleasant, simple, and peaceful without any difficulties or dangers. "/>
        <s v="If you describe someone or something as illiberal, you are critical of them because they do not allow or approve of much freedom or choice of action"/>
        <s v="extremely brave and showing no fear of dangerous situations"/>
        <s v="To marginalize a group of people means to make them feel isolated and unimportant. "/>
        <s v="To obviate something such as a problem or a need means to remove it or make it unnecessary. "/>
        <s v="If someone is ousted from a position of power, job, or place, they are forced to leave it"/>
        <s v="1. extremely poor_x000a_2. general dislike of spending money"/>
        <s v="Strife is strong disagreement or fighting"/>
        <s v="A surfeit of something is an amount which is too large. "/>
        <s v="If you say that a person, problem, or device is tractable, you mean that they can be easily controlled or dealt with"/>
        <s v="1. An accord between countries or groups of people is a formal agreement, for example to end a war. _x000a_2. If one fact, idea, or condition accords with another, they are in agreement and there is no conflict between them. _x000a_3. If you are accorded a particular"/>
        <s v="If you admonish someone, you tell them very seriously that they have done something wrong. "/>
        <s v="1. If you are complimentary about something, you express admiration for it. _x000a_2. A complimentary seat, ticket, or book is given to you free. "/>
        <s v="There are many different meanings of the word craft, but most of them involve skill, whether it's the craft of cheese making or crafting tiny dollhouse furniture or being crafty — good at fooling people. Another meaning of the noun craft is &quot;vehicle,&quot; esp"/>
        <s v="Something that's debilitating seriously affects someone or something's strength or ability to carry on with regular activities, like a debilitating illness."/>
        <s v="If you describe someone as gauche, you mean that they are awkward and uncomfortable in the company of other people. "/>
        <s v="If you describe an action or decision as judicious, you approve of it because you think that it shows good judgment and sense. "/>
        <s v="misinterpret"/>
        <s v="1. If something or someone penetrates a physical object or an area, they succeed in getting into it or passing through it. _x000a_2. If someone penetrates an organization, a group, or a profession, they succeed in entering it although it is difficult to do so. "/>
        <s v="If you describe a person or their remarks or thoughts as perceptive, you think that they are good at noticing or realizing things, especially things that are not obvious. "/>
        <s v="1. If you renounce a belief or a way of behaving, you decide and declare publicly that you no longer have that belief or will no longer behave in that way. _x000a_2. If you renounce a claim, rank, or title, you officially give it up. "/>
        <s v="A serendipitous event is one that is not planned but has a good result. "/>
        <s v="1. If you are subservient, you do whatever someone wants you to do. _x000a_2. If you treat one thing as subservient to another, you treat it as less important than the other thing. "/>
        <s v="1. outdo, beat_x000a_2. If something surpasses understanding, it is too difficult to understand"/>
        <s v="1. (of speech, writing, style, etc.) boring and too serious about its subject matter: _x000a_2. (of water) not flowing easily: _x000a_3. (of an organ or living tissue) swollen or firm, usually because of being full of liquid"/>
        <s v="If you venerate someone or something, you value them or feel great respect for them. "/>
        <s v="Acrimonious words or quarrels are bitter and angry"/>
        <s v="The adjective amicable means &quot;friendly&quot; — but in particular, use it when describing relations one might otherwise expect to be unfriendly. The end of a romantic relationship that's less than amicable might involve broken dishes or broken bones."/>
        <s v="Deference is a polite and respectful attitude towards someone, especially because they have an important position. "/>
        <s v="When you dictate something, you are giving orders — acting a bit like a dictator._x000a__x000a_Dictate can also be used in a broader sense. Weather often dictates how many layers of clothes you wear, and the school rules dictate how you behave in and out of class. In"/>
        <s v="1. You say that someone is endowed with a particular desirable ability, characteristic, or possession when they have it by chance or by birth. _x000a_2. If you endow something with a particular feature or quality, you provide it with that feature or quality. _x000a_3"/>
        <s v="1. If you describe food or drink as insipid, you dislike it because it has very little taste. _x000a_2. If you describe someone or something as insipid, you mean they are dull and boring. "/>
        <s v="To integrate is to make parts of something into a whole. It also means to become one unit, or to make a place (like a school) open to people of all races and ethnic groups."/>
        <s v="To jeopardize a situation or activity means to do something that may destroy it or cause it to fail. "/>
        <s v="If you are magnanimous, you behave kindly and generously towards someone, especially after defeating them or being treated badly by them. "/>
        <s v="If a person or animal is in quarantine, they are being kept separate from other people or animals for a set period of time, usually because they have or may have a disease; also v"/>
        <s v="A recluse is a person who lives alone and deliberately avoids other people. "/>
        <s v="Things which are simultaneous happen or exist at the same time. "/>
        <s v="You use surrogate to describe a person or thing that is given a particular role because the person or thing that should have the role is not available. "/>
        <s v="Tailored clothes are designed to fit close to the body, rather than being loose. "/>
        <s v="If you upbraid someone, you tell them that they have done something wrong and criticize them for doing it. "/>
        <s v="If a person or their decisions, actions, or ideas are vindicated, they are proved to be correct, after people have said that they were wrong. "/>
        <s v="If you ascertain the truth about something, you find out what it is, especially by making a deliberate effort to do so. "/>
        <s v="If you describe something as banal, you do not like it because you think that it is so ordinary that it is not at all effective or interesting"/>
        <s v="A callous person or action is very cruel and shows no concern for other people or their feelings. "/>
        <s v="If someone decries an idea or action, they criticize it strongly. "/>
        <s v="If one thing is eclipsed by a second thing that is bigger, newer, or more important than it, the first thing is no longer noticed because the second thing gets all the attention. "/>
        <s v="same as egotism; the tendency to think only about yourself and consider yourself better and more important than other people"/>
        <s v="If you describe an experience or feeling as exhilarating, you mean that it makes you feel very happy and excited. "/>
        <s v="If someone is incredulous, they are unable to believe something because it is very surprising or shocking. "/>
        <s v="Indiscernible things can't be seen or sensed clearly. A black cat is indiscernible in the dark, and the tiny amount of gray in your hair might also be indiscernible."/>
        <s v="If you describe the value, benefit, or importance of something as inestimable, you mean that it is extremely great and cannot be calculated. "/>
        <s v="If something is slowly and secretly causing harm, it's insidious — like the rumors no one seems to listen to until suddenly someone's reputation is ruined."/>
        <s v="1. If you have an intimate friendship with someone, you know them very well and like them a lot. _x000a_2. If two people are in an intimate relationship, they are involved with each other in a loving or sexual way. _x000a_3. An intimate conversation or detail, for ex"/>
        <s v="Use the adjective pretentious as a way to criticize people who try to act like they are more important or knowledgeable than they really are."/>
        <s v="odd/unusual in an attractive and interesting way"/>
        <s v="If you describe someone as redoubtable, you respect them because they have a very strong character, even though you are slightly afraid of them. _x000a__x000a_But it isn't the redoubtable person that you doubt — it's yourself or your ability to compete against or be "/>
        <s v="The verb refute is to prove that something is wrong. When the kids you're babysitting swear they brushed their teeth, you can refute their claim by presenting the dry toothbrushes."/>
        <s v="If you describe someone as a reprobate, you mean that they behave in a way that is not respectable or morally correct. "/>
        <s v="n: A subordinate is someone who works for someone else. _x000a__x000a_v: to subordinate means to place or rank one thing below another. When you're doing a group project, sometimes you have to subordinate your ideas to the desires of the larger group."/>
        <s v="Someone who is undemonstrative does not often show affection. "/>
        <s v="If you insult someone or dismiss them in a hateful way, you're being contemptuous. The difference between being hateful and contemptuous is subtle. It involves disdain."/>
        <s v="1. If you foster a child, you take it into your family for a period of time, without becoming its legal parent_x000a_2. To foster something such as an activity or idea means to help it to develop"/>
        <s v="If something is inchoate, it is recent or new, and vague or not yet properly developed. _x000a__x000a_Inchoate means just beginning to form. You can have an inchoate idea, like the earliest flickers of images for your masterpiece, or an inchoate feeling, like your in"/>
        <s v="anger"/>
        <s v="narrow-minded, short-sighted"/>
        <s v="Perspicacity comes from the Latin word for penetrating sight. If you have perspicacity, you are good at discerning what is really going on where others might only see surface clues."/>
        <s v="You use resurgent to say that something is becoming stronger and more popular after a period when it has been weak and unimportant. _x000a__x000a_&quot;An old song's popularity might be resurgent after it's featured on the soundtrack of a popular new movie.&quot;"/>
        <s v="A soliloquy is a speech in a play in which an actor speaks to himself or herself and to the audience, rather than to another actor. "/>
        <s v="real and able to be shown or touched"/>
        <s v="When something is tantalizing, it makes you want it, even if it's totally out of reach. An exciting movie trailer could be tantalizing if it makes you want to see the movie. A little part of a song can be tantalizing if it tempts you to hear more. Smells "/>
        <s v="Use vigilant to describe someone who keeps awake and alert in order to avoid danger or problems. When taking the subway, be vigilant about your wallet — always know where it is, or someone might steal it from you."/>
        <s v="strong or deep-rooted dislike; aversion "/>
        <s v="A consensus is general agreement among a group of people. "/>
        <s v="When you distill something, you are boiling it down to its essence — its most important part. Whether it's alcohol or ideas, the distilled part is the most powerful."/>
        <s v="Something that is elementary is very simple and basic. "/>
        <s v="An ideologue is someone who has very strong beliefs or opinions and stubbornly sticks to them no matter what. An ideologue will insist they're right even when evidence suggests they might be wrong._x000a__x000a_An ideologue is the same as an ideologist. "/>
        <s v="Something numinous has a strong religious quality, suggesting the presence of a divine power. When you enter a temple, church, or mosque, you might feel as though you've entered a numinous space."/>
        <s v="If you describe people or things as odious, you think that they are extremely unpleasant. "/>
        <s v="literally means &quot;overflowing&quot;: super (&quot;over&quot;) + fluere (&quot;to flow&quot;); surplus;_x000a_When something is so unnecessary that it could easily be done away with, like a fifth wheel on a car or a fifth person on a double date, call it superfluous."/>
        <s v="If you describe someone or something as unappealing, you find them unpleasant and unattractive. "/>
        <s v="If you describe someone as uninformed, you mean that they have very little knowledge or information about a particular situation or subject. "/>
        <s v="energy and strength"/>
        <s v="If you describe something as wearisome, you mean that it is very tiring and boring or frustrating. "/>
        <s v="Something that is anomalous is different from what is usual or expected. "/>
        <s v="1. n: creek/small stream_x000a_2. v: put up with; &quot;I will brook no trespassing on my land.&quot;"/>
        <s v="If you describe a sentence, idea, or system as convoluted, you mean that it is complicated and difficult to understand. "/>
        <s v="Your deportment is the way you behave, especially the way you walk and move. "/>
        <s v="If you emulate something or someone, you imitate them because you admire them a great deal. "/>
        <s v="The adjective entitled means you have a legal right to something._x000a__x000a_Entitled is often used in a more casual way, to mean &quot;allowed.&quot; For example, volunteers at the park clean-up are entitled to the water and snacks at the pavilion. Sometimes, though, people"/>
        <s v="To be evasive is to avoid something"/>
        <s v="1. If you describe someone as frivolous, you mean they behave in a silly or light-hearted way, rather than being serious and sensible. _x000a_2. If you describe an activity as frivolous, you disapprove of it because it is not useful and wastes time or money. &quot;s"/>
        <s v="A narrative is a story that you write or tell to someone, usually in great detail. A narrative can be a work of poetry or prose, or even song, theater, or dance."/>
        <s v="1. You describe a situation as a paradox when it involves two or more facts or qualities which seem to contradict each other. _x000a_2. A paradox is a statement in which it seems that if one part of it is true, the other part of it cannot be true. "/>
        <s v="Something that is potent is very effective and powerful. "/>
        <s v="Thrift is the quality and practice of being careful with money and not wasting things"/>
        <s v="If you describe something or someone as ubiquitous, you mean that they seem to be everywhere"/>
        <s v="If you describe someone as xenophobic, you disapprove of them because they show strong dislike or fear of people from other countries"/>
        <s v="If your behaviour or motives are altruistic, you show concern for the happiness and welfare of other people rather than for yourself"/>
        <s v="annoy, anger, insult, offend"/>
        <s v="1. Apropos or apropos of is used to introduce something that you are going to say which is related to the subject you have just been talking about. _x000a_&quot;Apropos what you said yesterday, I think you made the right decision&quot;_x000a_2. Something which is apropos, or a"/>
        <s v="If you befriend someone, especially someone who is lonely or far from home, you make friends with them. "/>
        <s v="If you describe a person or their behaviour as brazen, you mean that they are very bold and do not care what other people think about them or their behaviour. "/>
        <s v="If you describe an event or situation as calamitous, you mean it is very unfortunate or serious. _x000a_&quot; ...the calamitous state of the country&quot;"/>
        <s v="Speech or writing that is defamatory is likely to damage someone's good reputation by saying something bad and untrue about them. "/>
        <s v="Something that has a deleterious effect on something has a harmful effect on it. "/>
        <s v="1. If you do something that is deliberate, you planned or decided to do it beforehand, and so it happens on purpose rather than by chance. _x000a_2. If a movement or action is deliberate, it is done slowly and carefully. _x000a_3. If you deliberate, you think about s"/>
        <s v="You use exacting to describe something or someone that demands hard work and a great deal of care. "/>
        <s v="changeable or unstable in affection, interest, loyalty, etc.; capricious"/>
        <s v="taking unnecessary or foolish risks_x000a__x000a_If you decide you are going to scale Mt. Everest next weekend without any training or experience, that would be a foolhardy decision."/>
        <s v="having many different parts or sides"/>
        <s v="Use negligent when you want to describe someone who just doesn't give a hoot. You can be negligent at work if you let the work pile up while you play computer games, or you can be negligent at home if you haven't fed your fish for six days straight."/>
        <s v="1. If you describe someone as obstinate, you are being critical of them because they are very determined to do what they want, and refuse to change their mind or be persuaded to do something else. _x000a_2. You can describe things as obstinate when they are dif"/>
        <s v="1. A patent is an official right to be the only person or company allowed to make or sell a new product for a certain period of time. _x000a_2. If you patent something, you obtain a patent for it. _x000a_3. You use patent to describe something, especially something b"/>
        <s v="using something or someone as a way of getting help, especially in a difficult or dangerous situation_x000a_&quot;The public believes its only recourse is to take to the streets&quot;_x000a_&quot;It enabled its members to settle their differences without recourse to war&quot;"/>
        <s v="1. Something bad that is relentless never stops or never becomes less intense. _x000a_2. Someone who is relentless is determined to do something and refuses to give up, even if what they are doing is unpleasant or cruel. "/>
        <s v="1. A showcase is a glass container with valuable objects inside it, for example at an exhibition or in a museum. _x000a_2. You use showcase to refer to a situation or setting in which something is displayed or presented to its best advantage. _x000a_3. If something i"/>
        <s v="in a way that is not typical of someone"/>
        <s v="Someone or something that is witty is amusing in a clever way. "/>
        <s v="1. eager to own and collect things: _x000a_2. used to describe a person or company that buys other companies"/>
        <s v="Coercion is the act or process of persuading someone forcefully to do something that they do not want to do. "/>
        <s v="Conspicuous can mean either very obvious to the eye (like something that is conspicuous from a distance) or attracting attention (like conspicuous consumption). If you are doing something wrong, it's wise not to be conspicuous about it!"/>
        <s v="untidy mixture of different types of things; BRIT: hotch-potch"/>
        <s v="rude and not showing respect, especially towards someone older or in a higher position than you"/>
        <s v="If you describe something that is written or said as long-winded, you are critical of it because it is longer than necessary. "/>
        <s v="To overuse something is to use it too much; also n"/>
        <s v="1. An explanation or statement that is plausible seems likely to be true or valid. _x000a_2. If you say that someone is plausible, you mean that they seem to be telling the truth and to be sincere and honest. "/>
        <s v="To regress is to return to a former state or condition, and not usually in a good way. It often means &quot;relapse&quot; or &quot;get worse.&quot;"/>
        <s v="A sagacious person is intelligent and has the ability to make good decisions. "/>
        <s v="If you describe someone as self-serving, you are critical of them because they are only interested in what they can get for themselves. "/>
        <s v="A sinecure is a job for which you receive payment but which does not involve much work or responsibility. "/>
        <s v="Tangent is mainly a mathematical term, meaning a line or plane that intersects a curved surface at exactly one point. The non-mathematical meaning of tangent comes from this sense of barely touching something: when a conversation heads off on a tangent, i"/>
        <s v="1. to try to persuade someone to support you or to use your business_x000a_2. To woo someone is to try to persuade them to marry you"/>
        <s v="To belie means to contradict. If you are 93 but look like you are 53, then your young looks belie your age."/>
        <s v="Use cordial to describe a relationship that is friendly and sincere but not overly close. A cordial greeting is perfectly pleasant but doesn't involve lots of hugging or excessive emotion."/>
        <s v="to control or limit something that is not wanted"/>
        <s v="Diminutive means small. A diminutive person is short and small. A diminutive word is a &quot;cute&quot; version of a word or name: for example, &quot;duckling&quot; is a diminutive of &quot;duck&quot; and Billy is a diminutive form of the name William."/>
        <s v="If you feel that something isn't worthy of your consideration, you may disdain it (or treat it with disdain)."/>
        <s v="deceitfulness in speech or conduct; speaking or acting in two different ways concerning the same matter with intent to deceive; double-dealing"/>
        <s v="If you flout something such as a law, an order, or an accepted way of behaving, you deliberately do not obey it or follow it. "/>
        <s v="If you describe something such as a saying or an image as hackneyed, you think it is no longer likely to interest, amuse, or affect people because it has been used, seen, or heard many times before. "/>
        <s v="Something that is a harbinger of something else, especially something bad, is a sign that it is going to happen"/>
        <s v="The lion is the king of beasts. To lionize someone is to see them as important as a lion. Republicans continue to lionize Ronald Reagan as their ultimate hero."/>
        <s v="Something, especially something bad, that is pervasive is present or felt throughout a place or thing. _x000a__x000a_If you're sick of seeing something because you're seeing it again and again, it must be pervasive."/>
        <s v="If you re-examined the meaning of something and found something new or different, you reinterpreted it. You thought that when Brian said, &quot;I love you,&quot; he meant as a friend, but you may want to reinterpret the meaning of those words since he bought you a "/>
        <s v="1. strict, severe, harsh, unforgiving_x000a_2. The stern of a boat is the back part of it"/>
        <s v="Verisimilitude is the quality of seeming to be true or real. _x000a_&quot;She has included photographs in the book to lend verisimilitude to the story.&quot;"/>
        <s v="If something wanes, it becomes gradually weaker or less, often so that it eventually disappears. "/>
        <s v="Whimsical means full of or characterized by whims, which are odd ideas that usually occur to you very suddenly. If you decide at the last minute to fly to Europe, you could say you went there on a whim."/>
        <s v="If someone is given an accolade, something is done or said about them which shows how much people admire them. "/>
        <s v="An ad hoc activity or organization is done or formed only because a situation has made it necessary and is not planned in advance"/>
        <s v="If you have an aversion to someone or something, you dislike them very much. "/>
        <s v="Anything with a complicated design can be baroque but it also refers to a style of art, music, and architecture from 17th Century Italy; anything extravagantly ornamented"/>
        <s v="1. A caricature of someone is a drawing or description of them that exaggerates their appearance or behaviour in a humorous or critical way_x000a_2. If you caricature someone, you draw or describe them in an exaggerated way in order to be humorous or critical"/>
        <s v="feeling of disappointment, upset, or annoyance, perhaps because of your own failure"/>
        <s v="1. The gloom is a state of near darkness_x000a_2. Gloom is a feeling of sadness and lack of hope"/>
        <s v="If you describe someone or something as humdrum, you mean that they are ordinary, dull, or boring. "/>
        <s v="If you describe someone as meticulous, you mean that they do things very carefully and with great attention to detail. "/>
        <s v="If you have a premonition, you have a feeling that something is going to happen, often something unpleasant. "/>
        <s v="1. When people or things sway, they lean or swing slowly from one side to the other_x000a_2. If you are swayed by someone or something, you are influenced by them"/>
        <s v="If you describe someone as venal, you disapprove of them because they are prepared to do almost anything in return for money, even things which are dishonest or immoral. "/>
        <s v="1. A conjecture is a conclusion that is based on information that is not certain or complete. _x000a_2. When you conjecture, you form an opinion or reach a conclusion on the basis of information that is not certain or complete. "/>
        <s v="Someone who is detached is not personally involved in something or has no emotional interest in it"/>
        <s v="n and adj: a person who publicly disagrees with and criticizes their government"/>
        <s v="You can serve as a foil to someone if you show them to be better than you by contrast. If you can't dance but your friend Lisa can, you can be a foil to Lisa's grace._x000a__x000a_If you're having trouble remembering this definition, think about a shiny piece of tin "/>
        <s v="Something that is omnipresent is present everywhere or seems to be always present. "/>
        <s v="Use the adjective opaque either for something that doesn't allow light to pass through (like a heavy curtain) or for something difficult to understand (like bureaucratic gobbledygook)"/>
        <s v="1. You can use this verb in a very literal way, to mean &quot;cast a shadow over something smaller,&quot; like the enormous oak tree in your yard that overshadows your small house. _x000a_2. It's also possible to figuratively overshadow, like when your worry about next w"/>
        <s v="1. Ponderous writing or speech is very serious, uses more words than necessary, and is rather dull. _x000a_2. A movement or action that is ponderous is very slow or clumsy. "/>
        <s v="1. If you relent, you allow someone to do something that you had previously refused to allow them to do. _x000a_2. If bad weather relents, it improves. "/>
        <s v="1. To resolve a problem, argument, or difficulty means to find a solution to it. _x000a_2. If you resolve to do something, you make a firm decision to do it. _x000a_3. Resolve is determination to do what you have decided to do. _x000a_4. If you resolve something into a cle"/>
        <s v="1. You use slavish to describe things that copy or imitate something exactly, without any attempt to be original. _x000a_2. If you describe someone as slavish, you are critical of the fact that they behave like a slave, for example by always doing what another "/>
        <s v="sleep-inducing"/>
        <s v="brief/using few words, sometimes in a way that seems unfriendly"/>
        <s v="If you're verbose, you use far more words than you need to. _x000a__x000a_If a friend asks, &quot;Did you have fun at the party?&quot; you can simply answer, &quot;No.&quot; Or you can provide a verbose reply that describes just how much you hated the party, who was and wasn't there, th"/>
        <s v="1. Byzantine means related to or connected with the Byzantine Empire. _x000a_2. If you describe a system or process as byzantine, you are criticizing it because it seems complicated or secretive. "/>
        <s v="When things such as blood vessels or the pupils of your eyes dilate or when something dilates them, they become wider or bigger. "/>
        <s v="not based on or affected by something"/>
        <s v="If something exacerbates a problem or bad situation, it makes it worse"/>
        <s v="To excoriate a person or organization means to criticize them severely, usually in public. "/>
        <s v="If you say that there are extenuating circumstances for a bad situation or wrong action, you mean that there are reasons or factors which partly excuse it. "/>
        <s v="Fervor for something is a very strong feeling for or belief in it. "/>
        <s v="If you describe what someone says as glib, you disapprove of it because it implies that something is simple or easy, or that there are no problems involved, when this is not the case_x000a_&quot;that sounds a little glib&quot;"/>
        <s v="If you refer to someone's behaviour as histrionic, you are critical of it because it is very dramatic, exaggerated, and insincere. "/>
        <s v="Someone who is impartial is not directly involved in a particular situation, and is therefore able to give a fair opinion or decision about it. "/>
        <s v="If you intercept someone or something that is travelling from one place to another, you stop them before they get to their destination. "/>
        <s v="1. If you say that you are inundated with things such as letters, demands, or requests, you are emphasizing that you receive so many of them that you cannot deal with them all. _x000a_2. If an area of land is inundated, it becomes covered with water. "/>
        <s v="If you say that someone is a martinet, you are criticizing them because they are very strict and demand that people obey their rules and orders. "/>
        <s v="If you are oblivious to something or oblivious of it, you are not aware of it. "/>
        <s v="Something that is prosaic is dull and uninteresting. "/>
        <s v="When there is a schism, a group or organization divides into two groups as a result of differences in thinking and beliefs. "/>
        <s v="able to judge a situation accurately and turn it to your own advantage"/>
        <s v="Sovereignty is the power that a country has to govern itself or another country or state. "/>
        <s v="1. A toll is a small sum of money that you have to pay in order to use a particular bridge or road_x000a_2. a high degree of suffering or damage; &quot;emotional toll on the victims&quot;_x000a_3. When a bell tolls or when someone tolls it, it rings slowly and repeatedly, ofte"/>
        <s v="Something that is clandestine is hidden or kept secret, often because it is illegal. "/>
        <s v="If a situation, a rule, or a person compels you to do something, they force you to do it. "/>
        <s v="A statement that is conjectural is based on information that is not certain or complete. "/>
        <s v="If something daunts you, it makes you feel slightly afraid or worried about dealing with it"/>
        <s v="If something is deceptive, it encourages you to believe something which is not true. "/>
        <s v="1. refuse to obey_x000a_2. If you defy someone to do something, you challenge them to do it when you think that they will be unable to do it or too frightened to do it_x000a_3. If something defies description or understanding, it is so strange, extreme, or surprising"/>
        <s v="If you demur, you say that you do not agree with something or will not do something that you have been asked to do. "/>
        <s v="1. Something that is didactic is intended to teach people something, especially a moral lesson. _x000a_2. Someone who is didactic tells people things rather than letting them find things out."/>
        <s v="A disciple is a follower or a fan of someone."/>
        <s v="gradually becoming smaller in size or amount, or fewer in number"/>
        <s v="If you describe someone as ebullient, you mean that they are lively and full of enthusiasm or excitement about something. "/>
        <s v="the fact that something is not suitable or correct in a situation"/>
        <s v="To languish is to become pitiful or weak because you're sick, in love, or stuck somewhere. A prisoner might languish in jail, longing for her freedom."/>
        <s v="Anything multitudinous is countless, infinite, innumerable, and, myriad: you couldn't count it if you tried."/>
        <s v="state of being passive — passivity applies to someone who accepts the actions or opinions of others without speaking up"/>
        <s v="Someone who is perspicacious notices, realizes, and understands things quickly. "/>
        <s v="a person who enjoys only popular entertainment but does not appreciate art, literature, or music of high quality"/>
        <s v="behaviour or speech that is intended to attract attention and interest, or to make people believe something that is not true"/>
        <s v="If you describe someone or their behaviour as presumptuous, you disapprove of them because they are doing something that they have no right or authority to do"/>
        <s v="Someone who is reticent does not tell people about things. "/>
        <s v="If you refer to someone's tacit agreement or approval, you mean they are agreeing to something or approving it without actually saying so, often because they are unwilling to admit to doing so. "/>
        <s v="If you understate something, you describe it in a way that suggests that it is less important or serious than it really is. "/>
        <s v="1. Austerity is a situation in which people's living standards are reduced because of economic difficulties. _x000a_2. If you refer to something as showing austerity, you like its plain and simple appearance. "/>
        <s v="1. If you avert something unpleasant, you prevent it from happening. _x000a_2. If you avert your eyes or gaze from someone or something, you look away from them. "/>
        <s v="If two or more things coalesce, they come together and form a larger group or system. "/>
        <s v="NA"/>
        <s v="A hybrid is a mixture of two different things, resulting in something that has a little bit of both — like the rare zedonk, a hybrid of a donkey and a zebra."/>
        <s v="If words or actions are impolitic, they are unwise and likely to cause offence or problems, especially in social situations"/>
        <s v="If you are indignant, you are shocked and angry, because you think that something is unjust or unfair. "/>
        <s v="Inertia is resistance to change. You hate looking at people's feet and yet you stay in your job as a shoe salesman year after year. Why? Inertia."/>
        <s v="Lavish means &quot;generous and extravagant&quot; as an adjective and &quot;to give generously&quot; as a verb. If you don't like it when people lavish you with attention, you might appreciate a lavish spread of excellent food instead."/>
        <s v="to move, talk, or act aimlessly or idly "/>
        <s v="Myriad means having a large number or great variety"/>
        <s v="If you describe something as ominous, you mean that it worries you because it makes you think that something unpleasant is going to happen. "/>
        <s v="slow, continuous, and not exciting_x000a_&quot;I'll try not to bore you with lots of plodding details&quot;"/>
        <s v="A prognosis is an estimate of the future of someone or something, especially about whether a patient will recover from an illness. "/>
        <s v="Repertoire refers to the full supply of what you can do. A singer's repertoire is all the songs he can sing. A chef's repertoire is what she knows how to cook."/>
        <s v="If someone is steadfast in something that they are doing, they are convinced that what they are doing is right and they refuse to change it or to give up. "/>
        <s v="1. You use thoroughgoing to emphasize that someone or something is fully or completely the type of person or thing specified. _x000a_2. If you describe a piece of work as thoroughgoing, you approve of it because it has been carefully and thoroughly put together"/>
        <s v="1. If you describe someone as wilful, you mean that they are determined to do what they want to do, even if it is wrong_x000a_2. used to describe a bad or harmful action done deliberately, although the person doing it knows that it is wrong"/>
        <s v="1. If you describe someone as articulate, you mean that they are able to express their thoughts and ideas easily and well. _x000a_2. When you articulate your ideas or feelings, you express them clearly in words. "/>
        <s v="1. Happening as a direct result of an event or situation_x000a_2. Something that is consequential is important or significant. "/>
        <s v="1. A coy person is shy, or pretends to be shy, about love and sex_x000a_2. intentionally keeping something secret"/>
        <s v="decode, crack, solve, understand"/>
        <s v="1. of or on the right-hand side_x000a_2. Dexterity is skill in using your hands, or sometimes your mind"/>
        <s v="to become weaker or be destroyed by breaking into small pieces"/>
        <s v="If you describe someone's actions as dogged, you mean that they are determined to continue with something even if it becomes difficult or dangerous"/>
        <s v="If you exhort someone to do something, you try hard to persuade or encourage them to do it. "/>
        <s v="A fervent person has or shows strong feelings about something, and is very sincere and enthusiastic about it. "/>
        <s v="If you describe someone as impetuous, you mean that they are likely to act quickly and suddenly without thinking or being careful. "/>
        <s v="1. Something that is implicit is understood but not clearly stated_x000a_2. If a quality or element is implicit in something, it is involved in it or is shown by it. _x000a_3. If you say that someone has an implicit belief or faith in something, you mean that they ha"/>
        <s v="Jettison means to push to the side or toss away. If a boat is leaking or an airplane is running out of fuel, you can buy more time by jettisoning cargo, or throwing it overboard."/>
        <s v="1. Lucid writing or speech is clear and easy to understand. _x000a_2. If someone is lucid, they are thinking clearly again after a period of illness or confusion. "/>
        <s v="Ludicrous things are funny, absurd, or nonsensical. If someone says something silly or far-fetched, you could say &quot;That's ludicrous!&quot;"/>
        <s v="Overly means more than is normal, necessary, or reasonable. "/>
        <s v="A precocious child is very clever, mature, or good at something, often in a way that you usually only expect to find in an adult. "/>
        <s v="If you describe someone or something as puerile, you mean that they are silly and childish. "/>
        <s v="1. If you try to rationalize attitudes or actions that are difficult to accept, you think of reasons to justify or explain them. _x000a_2. When a company, system, or industry is rationalized, it is made more efficient, usually by getting rid of staff and equipm"/>
        <s v="If you describe someone as resolute, you approve of them because they are very determined not to change their mind or not to give up a course of action. "/>
        <s v="As a noun, a tarnish is the dull layer of corrosion that sometimes forms on metal items. Metals are most likely to tarnish, but so can anything that once felt sparkly and bright but has lost its luster — even you. If the new kid just beat you in chess, yo"/>
        <s v="A transgression is something that is against a command or law. Whether you are cheating on a test, or cheating on a spouse, you are committing transgressions that are not easily forgiven._x000a__x000a_A transgression can be a failure to do your duty. A sin is a trans"/>
        <s v="If you say that someone has an ulterior motive for doing something, you believe that they have a hidden reason for doing it"/>
        <s v="1. If something such as an action or an event underscores another, it draws attention to the other thing and emphasizes its importance_x000a_2. If you underscore something such as a word or a sentence, you draw a line underneath it in order to make people notic"/>
        <s v="An aphorism is a short witty sentence which expresses a general truth or comment. "/>
        <s v="An axiom is a self-evident truth. If something is axiomatic, it seems to be obviously true. "/>
        <s v="to scold harshly "/>
        <s v="characterized by great knowledge; learned or scholarly"/>
        <s v="poor/broke"/>
        <s v="An itinerant is a person who moves from place to place, typically for work, like the itinerant preacher who moves to a new community every few years."/>
        <s v="1. In astronomy, the nadir is the point at which the sun or moon is directly below you, on the other side of the earth. Opposite to zenith_x000a_2. The nadir of something such as someone's career or the history of an organization is its worst time/lowest point."/>
        <s v="If you describe someone as officious, you are critical of them because they are eager to tell people what to do when you think they should not. "/>
        <s v="a person of great and varied learning"/>
        <s v="1. A snare is a trap for catching birds or small animals. It consists of a loop of wire or rope which pulls tight around the animal. _x000a_2. If you describe a situation as a snare, you mean that it is a trap from which it is difficult to escape. _x000a_3. If someon"/>
        <s v="To subside is to die down or become less violent, like rough ocean waves after a storm has passed, or noise, or fighting, or building collapsing, etc."/>
        <s v="Choose the adjective tentative to describe something you are unsure or hesitant about. On Monday, you can make tentative plans for the weekend, but it's too early to commit to one party or another."/>
        <s v="If someone is thrilled, they are extremely pleased about something. "/>
        <s v="not given or shown thanks or gratitude"/>
        <s v="If you describe someone or something as unformed, you mean that they are in an early stage of development and are not fully formed or matured. "/>
        <s v="not propitious;_x000a_If something is propitious, it is likely to lead to success. "/>
        <s v="persuade by flattery/coax"/>
        <s v="You can use flagrant to describe an action, situation, or someone's behaviour that you find extremely bad or shocking in a very obvious way. "/>
        <s v="an illegal copy of a document, painting, etc. or the crime of making such illegal copies"/>
        <s v="Idiosyncratic means unique to an individual. "/>
        <s v="If you describe someone as irascible, you mean that they become angry very easily. "/>
        <s v="to deviate from the truth"/>
        <s v="Something that is seductive is very attractive or makes you want to do something that you would not otherwise do"/>
        <s v="1. Vigorous physical activities involve using a lot of energy, usually to do short and repeated actions. _x000a_2. A vigorous person does things with great energy and enthusiasm. A vigorous campaign or activity is done with great energy and enthusiasm. _x000a_3. A vi"/>
        <s v="Camaraderie is a feeling of trust and friendship among a group of people who have usually known each other for a long time or gone through some kind of experience together. _x000a__x000a_syn:  comradeship"/>
        <s v="1. If you coin a word or a phrase, you are the first person to say it_x000a_2. If you say that someone is coining it or is coining money, you are emphasizing that they are making a lot of money very quickly, often without really earning it"/>
        <s v="to do something very slowly, as if you do not want to finish it._x000a__x000a_Dawdle implies not only taking extra time but actually wasting it. A leisurely walk in the woods is one thing, but if you have to get to the theater on time, don't dawdle along the way: you"/>
        <s v="Dislocation has something to do with displacement, moving something from its proper place. A joint dislocation happens when a bone is moved (painfully) out of its normal spot. Human dislocation can occur during war, or after a natural disaster forces peop"/>
        <s v="If you fixate on something, you become overly focused on it or attached to it. Don't fixate on your grades — try to enjoy the process of learning!"/>
        <s v="Hidebound things — or people — are stuck in the past, unable to change. Your grandmother's hidebound ideas about fashion mean she never leaves the house without a hat and matching purse."/>
        <s v="An impervious surface is one that can't be penetrated. The word is often followed by &quot;to,&quot; as in &quot;His steely personality made him impervious to jokes about his awful haircut.&quot;"/>
        <s v="If you internalize something such as a belief or a set of values, you make it become part of your attitude or way of thinking. "/>
        <s v="Funerals are lugubrious. So are rainy days and Mondays. Anything that makes you sad, gloomy, or mournful can be called lugubrious."/>
        <s v="If you describe someone as naive, you think they lack experience and so expect things to be easy or people to be honest or kind. "/>
        <s v="Ornamental things have no practical function but are put in a place because they look attractive. "/>
        <s v="1. If you do something by proxy, you arrange for someone else to do it for you_x000a_2. A proxy is a person or thing that is acting or being used in the place of someone or something else"/>
        <s v="The ramifications of a decision, plan, or event are all its consequences and effects, especially ones which are not obvious at first"/>
        <s v="Something that is subjective is based on personal opinions and feelings rather than on facts. "/>
        <s v="Someone who is sullen is bad-tempered and does not speak much. "/>
        <s v="To talk carefully without hurting anyone’s feelings, that’s tact. Politicians have tact, which makes them good at speaking about sensitive matters without making fools of themselves. At least, sometimes they have tact."/>
        <s v="great energy and enthusiasm"/>
        <s v="the quality of being extremely skilled at something"/>
        <s v="An archetype is a perfect example or model of something. If you have long blonde hair, a sparkly ball gown, and a fairy godmother hovering over your head, you're the archetype of a fairytale princess."/>
        <s v="1. A barrage is continuous firing on an area with large guns and tanks. _x000a_2. A barrage of something such as criticism or complaints is a large number of them directed at someone, often in an aggressive way. _x000a_3. If you are barraged by people or things, you "/>
        <s v="kind, gentle, harmless"/>
        <s v="Deceit is behaviour that is deliberately intended to make people believe something which is not true"/>
        <s v="The detractors of a person or thing are people who criticize that person or thing. "/>
        <s v="free from enchantment or illusion"/>
        <s v="extreme rudeness without any ability to understand that your behaviour is not acceptable to other people: "/>
        <s v="Something extempore is spontaneous and unscripted. An extempore dance party on the city bus might be fun, while an extempore speech in front of the whole school could be terrifying."/>
        <s v="1. The foreground of a picture or scene you are looking at is the part or area of it that appears nearest to you. _x000a_2. If something or someone is in the foreground, or comes to the foreground, they receive a lot of attention. _x000a_3. To foreground certain feat"/>
        <s v="1. A fulcrum is the supporting point of a lever. The first fulcrum you encountered was probably on the playground — right underneath the see-saw._x000a_2. use fulcrum to describe something that plays an essential role or serves as the center of an activity or s"/>
        <s v="Something that gives a process impetus or an impetus makes it happen or progress more quickly. _x000a_&quot;The grant for building the opera house gave impetus to the city's cultural life&quot;"/>
        <s v="If you say that someone is obstreperous, you think that they are noisy and difficult to control. "/>
        <s v="If you say that someone overreaches themselves, you mean that they fail at something because they are trying to do more than they are able to. "/>
        <s v="1. Something that is redundant is no longer needed because its job is being done by something else or because its job is no longer necessary or useful_x000a_2. If you are made redundant, your employer tells you to leave because your job is no longer necessary o"/>
        <s v="Call a person sentimental if he or she is led more by emotions than by reason. If you have a sentimental attachment to a favorite stuffed animal, you'll probably even bring it to college with you."/>
        <s v="Unintelligible language is impossible to understand, for example because it is not written or pronounced clearly, or because its meaning is confused or complicated. "/>
        <s v="To aggrandize someone means to make them seem richer, more powerful, and more important than they really are. To aggrandize a building means to make it more impressive. "/>
        <s v="In sports you compete against the opposing team. At work you compete for a promotion. With siblings, you compete for everything. Compete means to vie for a goal."/>
        <s v="A debacle is an event or attempt that is a complete failure. "/>
        <s v="Someone who is disinterested is not involved in a particular situation or not likely to benefit from it and is therefore able to act in a fair and unselfish way;_x000a__x000a_disinterested most often means &quot;not biased,&quot; whereas uninterested simply means &quot;not interest"/>
        <s v="If something ensues, it happens immediately after another event, usually as a result of it. "/>
        <s v="Fervid can be used to describe something that is physically hot such as “a fervid day in August,” but it is more often used to describe heated emotions like anger, love, or desire."/>
        <s v="excessive or insincere praise"/>
        <s v="If one thing is incidental to another, it is less important than the other thing or is not a major part of it. "/>
        <s v="Use the word latitude to describe how much freedom you have in making choices"/>
        <s v="1. freedom to act within particular limits_x000a_2. an amount or period of time that has been lost or wasted_x000a_3. Leeway is also additional time or money"/>
        <s v="stingy"/>
        <s v="If you have a predilection for something, you have a strong liking for it. "/>
        <s v="Profuse is a word for a lot of something or even way too much — a profuse rainfall is a serious amount of rain."/>
        <s v="1. Someone who is scrupulous takes great care to do what is fair, honest, or morally right. _x000a_2. Scrupulous means thorough, exact, and careful about details. "/>
        <s v="Something that is subtle is not obvious: a professional food taster might be able to perceive subtle differences of flavor that most people don't notice."/>
        <s v="1. If something is agreeable, it is pleasant and you enjoy it. _x000a_2. If someone is agreeable, they are pleasant and try to please people. _x000a_3. If you are agreeable to something or if it is agreeable to you, you are willing to do it or to allow it to happen. "/>
        <s v="To assail is to attack or assault — with throwing stars, fists, words or, less tangibly but just as violently, with troubles or doubts."/>
        <s v="1. A candid photograph of someone is one that was taken when the person did not know they were being photographed._x000a_2. When you are candid about something or with someone, you speak honestly. "/>
        <s v="not considering other people's feelings or safety"/>
        <s v="1. derived from something else_x000a_2. unoriginal, copied"/>
        <s v="To deviate from something means to start doing something different or not planned, especially in a way that causes problems for others. "/>
        <s v="fully and clearly expressed, leaving no room for ambiguity"/>
        <s v="1. An exposition of an idea or theory is a detailed explanation or account of it. _x000a_2. An exposition is an exhibition in which something such as goods or works of art are shown to the public. "/>
        <s v="1. If you say that someone grovels, you think they are behaving too respectfully towards another person, for example because they are frightened or because they want something. _x000a_2. If you grovel, you crawl on the ground, for example in order to find somet"/>
        <s v="A herald is a sign of things to come. A chilly day in October is a herald of the coming winter."/>
        <s v="When you immure someone or something, you put it behind a wall, as in a jail or some other kind of confining space."/>
        <s v="Things that are interchangeable can be exchanged with each other without it making any difference. "/>
        <s v="If you describe something as interminable, you are emphasizing that it continues for a very long time and indicating that you wish it was shorter or would stop. "/>
        <s v="If one thing takes precedence over another, it is regarded as more important than the other thing. "/>
        <s v="A condition, practice, or belief that is prevalent is common. "/>
        <s v="Someone who is punctilious is very careful to behave correctly. "/>
        <s v="A skeptic is a person who doesn't believe something is true unless they see evidence."/>
        <s v="A person who is solicitous shows anxious concern for someone or something. "/>
        <s v="If you describe something as unexceptional, you mean that it is ordinary, not very interesting, and often disappointing. "/>
        <s v="not able or likely to be disliked or opposed by people, because of not being unpleasant or wrong in any way"/>
        <s v="To vanquish someone means to defeat them completely in a battle or a competition. "/>
        <s v="1. If something beguiles you, you are charmed and attracted by it. _x000a_2. If someone beguiles you into doing something, they trick you into doing it. "/>
        <s v="1. You use blithe to indicate that something is done casually, without serious or careful thought. _x000a_2. Someone who is blithe is cheerful and has no serious problems. "/>
        <s v="If you debunk a widely held belief, you show that it is false. If you debunk something that is widely admired, you show that it is not as good as people think it is. "/>
        <s v="a slow sad song or piece of music, sometimes played because someone has died"/>
        <s v="that can have more than one interpretation; having two or more meanings; purposely vague, misleading, or ambiguous"/>
        <s v="1. People who are frugal or who live frugal lives do not eat much or spend much money on themselves. _x000a_2. A frugal meal is small and not expensive. "/>
        <s v="If you're inclined to do something, you want to do it, you like doing it, and you may even have an inherent talent for doing it. Alternatively, if the sidewalk outside your house is inclined, that means it slopes upward."/>
        <s v="If you describe a person or their interest in something as morbid, you mean that they are very interested in unpleasant things, especially death, and you think this is strange"/>
        <s v="1. in name or thought, but not in reality_x000a_2. very small compared to an expected price or value_x000a_3. relating to a noun"/>
        <s v="Pessimism is the belief that bad things are going to happen. "/>
        <s v="1. A placid person or animal is calm and does not easily become excited, angry, or upset. _x000a_2. A placid place, area of water, or life is calm and peaceful. "/>
        <s v="Sporadic occurrences of something happen at irregular intervals. "/>
        <s v="When you subvert something, your words or actions criticize or undermine the usual way of doing something or common values. The girl who wears a tuxedo to the prom might subvert traditional ideas about beauty."/>
        <s v="If you are susceptible to something or someone, you are very likely to be influenced or affected by them. "/>
        <s v="Abide means &quot;to be able to live with or put up with.&quot; If you can't abide with something, it means you can't stand it. If you can abide it, it means you can live with it."/>
        <s v="characterized by or liable to sudden unpredictable changes in attitude or behaviour; impulsive; fickle"/>
        <s v="1. A documentary is a television or radio programme, or a film, which shows real events or provides information about a particular subject. _x000a_2. Documentary evidence consists of things that are written down. "/>
        <s v="1. An echelon in an organization or society is a level or rank in it. _x000a_2. An echelon is a military formation in which soldiers, vehicles, ships, or aircraft follow each other but are spaced out sideways so that they can see ahead. "/>
        <s v="Inductive reasoning is based on the process of induction (using a particular set of facts or ideas to form a general principle)"/>
        <s v="Something that is innocuous is not at all harmful or offensive. "/>
        <s v="Levity is behaviour that shows a tendency to treat serious matters in a non-serious way. "/>
        <s v="To be prescient is to have foresight or foreknowledge. We can use this word to describe people themselves, or what they say or do at a given moment."/>
        <s v="1. If a doctor prescribes medicine or treatment for you, he or she tells you what medicine or treatment to have. _x000a_2. If a person or set of laws or rules prescribes an action or duty, they state that it must be carried out. "/>
        <s v="A sadistic person obtains pleasure from hurting other people and making them suffer physically or mentally"/>
        <s v="1. Something that is slight is very small in degree or quantity. _x000a_2. A slight person has a fairly thin and delicate looking body. _x000a_3. If you are slighted, someone does or says something that insults you by treating you as if your views or feelings are not"/>
        <s v="1. If you sustain something, you continue it or maintain it for a period of time. _x000a_2. If you sustain something such as a defeat, loss, or injury, it happens to you. _x000a_3. If something sustains you, it supports you by giving you help, strength, or encouragem"/>
        <s v="foolish or rash boldness"/>
        <s v="If you describe someone or something as vapid, you are critical of them because they are dull and uninteresting. "/>
        <s v="1. appropriate_x000a_2. apt to = likely; &quot;This type of weather is apt to be more common in winter&quot;"/>
        <s v="1. If you cite something, you quote it or mention it, especially as an example or proof of what you are saying_x000a_2. To cite a person means to officially name them in a legal case_x000a_3. If someone is cited, they are officially ordered to appear before a court ("/>
        <s v="1. If something is coherent, it is well planned, so that it is clear and sensible and all its parts go well with each other_x000a_2. If someone is coherent, they express their thoughts in a clear and calm way, so that other people can understand what they are s"/>
        <s v="If you say that someone is eccentric, you mean that they behave in a strange way, and have habits or opinions that are different from those of most people"/>
        <s v="When you are enamored by something or someone, you love it. It attracts you. You might say that you're enamored with your new car, or enamored of the new kid in school."/>
        <s v="If you say that something is imminent, especially something unpleasant, you mean it is almost certain to happen very soon. "/>
        <s v="If you describe an action as indiscriminate, you are critical of it because it does not involve any careful thought or choice. "/>
        <s v="Reach for the adjective intermittent to describe periodic movement and stopping and starting over a period of time."/>
        <s v="Mendacity is a tendency to lie."/>
        <s v="dark or biting artistic style, sense of humor, or psychological outlook"/>
        <s v="If something necessitates an event, action, or situation, it makes it necessary. "/>
        <s v="If you say that someone personifies a particular thing or quality, you mean that they seem to be a perfect example of that thing, or to have that quality to a very large degree. "/>
        <s v="A plaintive sound or voice sounds sad. "/>
        <s v="If someone, for example a sick child, is described as plucky, it means that although they are weak, they face their difficulties with courage. "/>
        <s v="Someone's remuneration is the amount of money that they are paid for the work that they do. "/>
        <s v="1. If something is extraordinary, remarkable, or one of a kind, you can say it is singular. A singular opportunity to sing onstage with a rock star is a remarkable opportunity._x000a_2. If you describe someone or something as singular, you mean that they are st"/>
        <s v="1. If you describe a person or animal as skittish, you mean they are easily made frightened or excited. _x000a_2. Someone who is skittish does not concentrate on anything or take life very seriously. "/>
        <s v="1. When you are sober, you are not drunk. _x000a_2. A sober person is serious and thoughtful. _x000a_3. Sober colours and clothes are plain and rather dull. "/>
        <s v="a lack of any honour or morals"/>
        <s v="Something that is daunting makes you feel slightly afraid or worried about dealing with it"/>
        <s v="1. If you dismantle a machine or structure, you carefully separate it into its different parts. _x000a_2. To dismantle an organization or system means to cause it to stop functioning by gradually reducing its power or purpose. "/>
        <s v="able to be understood in advance"/>
        <s v="an organized competition consisting of different sporting events"/>
        <s v="Things that are harmonious go together nicely, like notes in music or people that work well as a team."/>
        <s v="To indemnify someone against something bad happening means to promise to protect them, especially financially, if it happens. "/>
        <s v="1. If you say that something is limpid, you mean that it is very clear and transparent. _x000a_2. If you describe speech, writing, or music as limpid, you like it because it is clear, simple, and flowing. "/>
        <s v="When something becomes mellow, it gets softer or more relaxed. People are often said to mellow with age, meaning their aggressiveness, their sarcasm, and their short temper have given way to a more easygoing, genial manner."/>
        <s v="A taciturn person does not say very much and can seem unfriendly. "/>
        <s v="1. When you undertake a task or job, you start doing it and accept responsibility for it. _x000a_2. If you undertake to do something, you promise that you will do it. "/>
        <s v="If you are beholden to someone, you are in debt to them in some way or you feel that you have a duty to them because they have helped you"/>
        <s v="A catastrophe is an unexpected event that causes great suffering or damage."/>
        <s v="To explicate something means to explain it and make it clear. "/>
        <s v="Extraneous things are not relevant or essential to the situation you are involved in or the subject you are talking about. "/>
        <s v="1. to make a substance neutral (= not an acid or an alkali)_x000a_2. to stop something or someone from having an effect_x000a_3. to kill someone"/>
        <s v="1. Overwhelm means “give a person too much of something.” _x000a_also n: Overwhelm is the fact or feeling of not being able to cope or deal with something. _x000a_2. If a group of people overwhelm a place or another group, they gain complete control or victory over t"/>
        <s v="1. walker_x000a_2. ordinary, dull, boring; &quot;a pedestrian movie plot&quot;"/>
        <s v="A platitude is a statement which is considered meaningless and boring because it has been made many times before in similar situations. "/>
        <s v="If something is predominant, it is more important or noticeable than anything else in a set of people or things. "/>
        <s v="1. Someone or something that is prolific is fruitful or highly productive._x000a_- A prolific writer, artist, or composer produces a large number of works. _x000a_- A prolific sports player scores a lot of goals or wins a lot of matches or races. _x000a_- An animal, person"/>
        <s v="Someone who is veracious speaks the truth — like your brutally honest friend who always lets you know what she thinks about your outfits, your hairstyle, your lasagna recipe, and your taste in movies._x000a__x000a_The adjective veracious can be applied not just to pe"/>
        <s v="If you try to appease someone, you try to stop them from being angry by giving them what they want. "/>
        <s v="A beneficent person or thing helps people or results in something good. "/>
        <s v="to interpret the meaning, especially of other people's actions and statements, in a particular way_x000a_&quot;What may seem helpful behaviour to you can be construed as interference by others&quot;"/>
        <s v="To entrench is to establish something firmly, so that it would be difficult to change it. Entrench a tent pole in the ground so your tent doesn't fly away, or entrench yourself at your new job so you don’t get fired."/>
        <s v="If something is extant, it is still in existence, in spite of being very old. "/>
        <s v="1. You can use global to describe something that happens in all parts of the world or affects all parts of the world. _x000a_2. A global view or vision of a situation is one in which all the different aspects of it are considered. "/>
        <s v="unlucky"/>
        <s v="1. serious, critical_x000a_2. If you describe the appearance of someone or something as severe, you do not like its plain appearance and lack of decoration"/>
        <s v="adaptable, flexible"/>
        <s v="Something that is arcane is secret or mysterious. "/>
        <s v="If a person or thing is bereft of something, they no longer have it. "/>
        <s v="A group of people who do and believe things outside of what society considers normal or typical can be called a counterculture."/>
        <s v="​energy and enthusiasm to make new things happen or to make things succeed"/>
        <s v="If you talk about the efficacy of something, you are talking about its effectiveness and its ability to do what it is supposed to. "/>
        <m/>
        <s v="someone who says they have particular moral beliefs but behaves in way that shows these are not sincere"/>
        <s v="someone who is not an expert in or does not have a detailed knowledge of a particular subject"/>
        <s v="A malleable metal is able to be pounded or pressed into various shapes, and a malleable personality is capable of being changed or trained. It's easier to learn when you're young and malleable."/>
        <s v="Someone who is prudent is sensible and careful._x000a_&quot;It is always prudent to start any exercise programme gradually at first&quot;"/>
        <s v="To take refuge is to find a safe place. You might take refuge under a bridge in a hail storm, or in a basement during a tornado."/>
        <s v="1. When you row, you sit in a boat and make it move through the water by using oars. If you row someone somewhere, you take them there in a boat, using oars; also a noun_x000a_2. controversy or dispute_x000a_3. noisy argument_x000a_4. loud noise"/>
        <s v="1. You say that people are vocal when they speak forcefully about something that they feel strongly about. _x000a_2. Vocal means involving the use of the human voice, especially in singing. "/>
        <s v="If you say that someone is voluble, you mean that they talk a lot with great energy and enthusiasm. "/>
        <s v="Someone who is zealous spends a lot of time or energy in supporting something that they believe in very strongly, especially a political or religious ideal"/>
        <s v="If you describe people or their voices as clamorous, you mean they are talking loudly or shouting. "/>
        <s v="Like its linguistic relative, error, the adjective erratic means &quot;deviating from the norm,&quot; or &quot;wrong.&quot; It also implies behavior or qualities that are unpredictable or odd."/>
        <s v="If you say that something is futile, you mean there is no point in doing it, usually because it has no chance of succeeding. "/>
        <s v="If you describe someone, especially a young person, as gawky, you mean they are awkward and clumsy. "/>
        <s v="A grievance is a complaint. It can be formal, as when an employee files a grievance because of unsafe working conditions, or more of an emotional matter, like a grievance against an old friend who betrayed you."/>
        <s v="If you describe something as meretricious, you disapprove of it because although it looks attractive it is actually of little value. "/>
        <s v="a long speech by one person"/>
        <s v="1. If you have persistence, you continue to do something even though it is difficult or other people are against it. _x000a_2. The persistence of something, especially something bad, is the fact of its continuing to exist for a long time. "/>
        <s v="1. the sport of racing in cars or on motorcycles, especially over long distances on public roads_x000a_2. causing people to come together in order to support something or make a shared effort"/>
        <s v="1. Reins are the thin leather straps attached round a horse's neck which are used to control the horse_x000a_2. power and control of a country or organization"/>
        <s v="being skilled at getting what you want through manipulation or trickery"/>
        <s v="v: lose hope; also n"/>
        <s v="Divergent things are different from each other. "/>
        <s v="You describe something such as a quality as enviable when someone else has it and you wish that you had it too. "/>
        <s v="You use erstwhile to describe someone that used to be the type of person indicated, but no longer is"/>
        <s v="If you describe someone or something as estimable, you mean that they deserve admiration. "/>
        <s v="1. A hospitable person is friendly, generous, and welcoming to guests or people they have just met. _x000a_2. A hospitable climate or environment is one that encourages the existence or development of particular people or things. "/>
        <s v="Someone who is morose is miserable, bad-tempered, and not willing to talk very much to other people. "/>
        <s v="A mutiny is a refusal by people, usually soldiers or sailors, to continue obeying a person in authority;_x000a_also v"/>
        <s v="Someone who is parsimonious is very unwilling to spend money"/>
        <s v="1. Someone who is partisan strongly supports a particular person or cause, often without thinking carefully about the matter. _x000a_2. Partisans are ordinary people, rather than soldiers, who join together to fight enemy soldiers who are occupying their countr"/>
        <s v="1. A staple food, product, or activity is one that is basic and important in people's everyday lives. _x000a_2. A staple is something that forms an important part of something else. _x000a_&quot;staple of American journalism&quot;_x000a_3. Staples are small pieces of bent wire that "/>
        <s v="If you say that an argument, point of view, or situation is tenable, you believe that it is reasonable and could be successfully defended against criticism. "/>
        <s v="a very great success, achievement, or victory (= when you win a war, fight, or competition), or a feeling of great satisfaction or pleasure caused by this._x000a__x000a_Triumph can be a noun or a verb, so you can have a triumph after the big game when you triumph ove"/>
        <s v="not able to be proved to be true"/>
        <s v="1. The attainment of an aim is the achieving of it. _x000a_2. An attainment is a skill you have learned or something you have achieved. "/>
        <s v="To coddle someone means to treat them too kindly or protect them too much"/>
        <s v="To contravene a law or rule means to do something that is forbidden by the law or rule. "/>
        <s v="the action of moving away from the main subject you are writing or talking about and writing or talking about something else"/>
        <s v="1. If you say that someone is fastidious, you mean that they pay great attention to detail because they like everything to be very neat, accurate, and in good order. _x000a_2. If you say that someone is fastidious, you mean that they are concerned about keeping"/>
        <s v="seriousness; &quot;I don't think you understand the gravity of the situation&quot;, &quot;here was an appealing gravity to everything she said.&quot;"/>
        <s v="Hortatory is a word used to describe a behavior or action that is encouraging. In the face of great economic crisis, the president's speech takes on a hortatory or encouraging tone, at a time when people most need the reassurance."/>
        <s v="1. to show something clearly, through signs or actions: _x000a_&quot;he workers chose to manifest their dissatisfaction in a series of strikes.&quot;_x000a_2. to make something happen by imagining it and consciously thinking that it will happen_x000a_3. easily noticed or obvious_x000a_&quot;ma"/>
        <s v="gradually increasing: (ex: mouting debts)"/>
        <s v="1. To nullify something means to make it have no effect_x000a_2. To nullify a legal decision or procedure means to declare that it is not legally valid"/>
        <s v="show-off, to impress people"/>
        <s v="When you need a word that's deeper than &quot;deep,&quot; consider profound. A philosopher is likely to make many profound pronouncements."/>
        <s v="If you describe someone's behaviour as unrestrained, you mean that it is extreme or intense, for example because they are expressing their feelings strongly or loudly. "/>
        <s v="If you describe a person or their comments as vacuous, you are critical of them because they lack intelligent thought or ideas. "/>
        <s v="Someone who is wistful is rather sad because they want something and know that they cannot have it. "/>
        <s v="1. A belligerent person is hostile and aggressive. _x000a_2. The belligerents in a war are the countries or groups that are fighting each other. _x000a__x000a_bellum = war (in latin)"/>
        <s v="If you describe a mixture of sounds as cacophonous, you mean that they are loud and unpleasant. "/>
        <s v="If you castigate someone or something, you speak to them angrily or criticize them severely. "/>
        <s v="1. A Catholic is a member of the Catholic Church. _x000a_2. If you describe a collection of things or people as catholic, you are emphasizing that they are very varied. _x000a_&quot;He was a man of catholic tastes, a lover of grand opera, history and the fine arts.&quot;"/>
        <s v="a statue or painting representing the Roman god of love, shown as a naked baby boy with wings"/>
        <s v="If you say that someone is being facetious, you are criticizing them because they are making humorous remarks or saying things that they do not mean in a situation where they ought to be serious. "/>
        <s v="obstruct, stop, block"/>
        <s v="very difficult or impossible to control, manage, or solve"/>
        <s v="If you lambaste someone, you criticize them severely, usually in public. "/>
        <s v="If you describe someone as languid, you mean that they show little energy or interest and are very slow and casual in their movements. "/>
        <s v="1. Someone who behaves in a prodigal way spends a lot of money carelessly without thinking about what will happen when they have none left._x000a_2. You can describe someone as a prodigal son or daughter if they leave their family or friends, often after a peri"/>
        <s v="Someone or something that is quiescent is quiet and inactive"/>
        <s v="A spartan lifestyle or existence is very simple or strict, with no luxuries"/>
        <s v="1. If something is surmounted by a particular thing, that thing is on top of it_x000a_2. If you surmount a problem or difficulty, you deal successfully with it"/>
        <s v="If you describe something such as a job, task, or situation as tedious, you mean it is boring and rather frustrating. "/>
        <s v="a person who is able to imagine how a country, society, industry, etc., will or should develop in the future and to plan in a suitable way"/>
        <s v="1. bottom, main place, military base, customer base, necessary part, main part_x000a_2. Base behaviour is behaviour that is immoral or dishonest"/>
        <s v="If you gloat, you express great satisfaction at the misfortune of others. If your team scores a big win, it would be better not to gloat. Be happy for your win, but don't laugh at the other team's loss."/>
        <s v="1. If you say that something is lurid, you are critical of it because it involves a lot of violence, sex, or shocking detail. _x000a_2. If you describe something as lurid, you do not like it because it is very brightly coloured. "/>
        <s v="If someone or something is preeminent in a group, they are more important, powerful, or capable than other people or things in the group. "/>
        <s v="If one thing prefigures another, it is a first indication which suggests or determines that the second thing will happen. "/>
        <s v="To reinvent something is to completely change or remake it so thoroughly that it seems brand new. The driverless car is going to reinvent the way people think about driving."/>
        <s v="If you resent someone or something, you feel bitter and angry about them"/>
        <s v="1. To sever something means to cut completely through it or to cut it completely off_x000a_2. If you sever a relationship or connection that you have with someone, you end it suddenly and completely"/>
        <s v="1. Transient is used to describe a situation that lasts only a short time or is constantly changing. _x000a_2. Transients are people who stay in a place for only a short time and then move somewhere else. "/>
        <s v="Unorthodox describes something that goes against the usual ways of doing things."/>
        <s v="barren is often used to describe an area of land that lacks any signs of life. A barren wilderness is dry and empty, with no foliage or twittering birds to be found. An old-fashioned and unflattering word for a woman who is unable to have children is barr"/>
        <s v="If you are competent to do something, you have the skills, abilities, or experience necessary to do it well. "/>
        <s v="1. If something crumbles, or if you crumble it, it breaks into a lot of small pieces_x000a_2. If someone crumbles, they stop resisting or trying to win, or become unable to cope"/>
        <s v="Egalitarian means supporting or following the idea that all people are equal and should have the same rights and opportunities. "/>
        <s v="promote, raise, advance, upgrade"/>
        <s v="If you describe someone as imperturbable, you mean that they remain calm, even in disturbing or dangerous situations. "/>
        <s v="impossible to avoid"/>
        <s v="Ingrained habits and beliefs are difficult to change or remove. "/>
        <s v="1. If someone such as a sick, mentally ill, or old person is institutionalized, they are sent to stay in a special hospital or home, usually for a long period. _x000a_2. To institutionalize something means to establish it as part of a culture, social system, or"/>
        <s v="If you say that something is inviting, you mean that it has good qualities that attract you or make you want to experience it. "/>
        <s v="1. A lull is a period of quiet or calm in a longer period of activity or excitement_x000a_2. If you are lulled into feeling safe, someone or something causes you to feel safe at a time when you are not safe_x000a_3. If someone or something lulls you, they cause you t"/>
        <s v="A miscreant is someone who has done something illegal or behaved badly. "/>
        <s v="If you mollify someone, you do or say something to make them less upset or angry. "/>
        <s v="1. Novelty is a newness or refreshing quality. Many college freshmen enjoy the novelty of living on their own — until it comes time to do that first load of laundry._x000a_2. novelty is also a term for a small toy or trinket, usually mass-produced. Novelty shop"/>
        <s v="very dangerous"/>
        <s v="If you placate someone, you do or say something to make them stop feeling angry. "/>
        <s v="If things proliferate, they increase in number very quickly. "/>
        <s v="1. If you reproach someone/If you look at or speak to someone with reproach, you say or show that you are disappointed, upset, or angry because they have done something wrong. _x000a_2. If you reproach yourself, you think with regret about something you have do"/>
        <s v="A satirical drawing, piece of writing, or comedy show is one in which humour or exaggeration is used to criticize something"/>
        <s v="1. A sensational result, event, or situation is so remarkable that it causes great excitement and interest. _x000a_2. You can describe something as sensational when you think that it is extremely good. _x000a_3. You can describe stories or reports as sensational if y"/>
        <s v="1. Something that is sinuous moves with smooth twists and turns_x000a_&quot;...the silent, sinuous approach of a snake through the long grass&quot;_x000a_2. Something that is sinuous has many smooth turns and curves_x000a_&quot;I drove along sinuous mountain roads&quot;"/>
        <s v="1. You use token to describe things or actions which are small or unimportant, but are meant to show particular intentions or feelings which may not be sincere. Ex: &quot;token gesture&quot;_x000a_2. If you give something to a person or do something for them as a token o"/>
        <s v="Something that transcends normal limits or boundaries goes beyond them, because it is more significant than them. "/>
        <s v="If something unsettles you, it makes you feel rather worried or uncertain. "/>
        <s v="If something is in abeyance, it is not operating or being used at the present time. "/>
        <s v="1. {the usual meaning I know}_x000a_2 If you betray a feeling or quality, you show it without intending to"/>
        <s v="1. A compliment is a polite remark that you say to someone to show that you like their appearance, appreciate their qualities, or approve of what they have done. _x000a_2. If you compliment someone, you pay them a compliment. _x000a_3. If you consider something that "/>
        <s v="If someone or something complies with an order or set of rules, they are in accordance with what is required or expected. "/>
        <s v="Someone who is duplicitous is almost like two people, saying one thing but then doing something very different, even contradictory. Someone who is duplicitous can also be called &quot;two-faced,&quot; a vivid way to remember that this person shouldn't be trusted or"/>
        <s v="If you say that someone or something is fallible, you mean that they are not perfect and are likely to make mistakes or to fail in what they are doing. "/>
        <s v="1. If something flourishes, it is successful, active, or common, and developing quickly and strongly. _x000a_2. If a plant or animal flourishes, it grows well or is healthy because the conditions are right for it. _x000a_3. If you flourish an object, you wave it abou"/>
        <s v="Heterodox beliefs, opinions, or ideas are different from the accepted or official ones. "/>
        <s v="A hypothesis is an idea which is suggested as a possible explanation for a particular situation or condition, but which has not yet been proved to be correct"/>
        <s v="1. If you accuse someone of being indifferent to something, you mean that they have a complete lack of interest in it. _x000a_2. If you describe something or someone as indifferent, you mean that their standard or quality is not very good, and often quite bad. "/>
        <s v="If you say that someone or something is indispensable, you mean that they are absolutely essential and other people or things cannot function without them. "/>
        <s v="having few moral principles and having sexual relationships with many people"/>
        <s v="Something that is modish is fashionable. "/>
        <s v="1. A picturesque place is attractive and interesting, and has no ugly or modern buildings. _x000a_2. Picturesque words and expressions are unusual or poetic. "/>
        <s v="A salutary experience is good for you, even though it may seem difficult or unpleasant at first. "/>
        <s v="Slovenly people are careless, untidy, or inefficient. "/>
        <s v="1. Turbulent water or air contains strong currents which change direction suddenly. _x000a_2. A turbulent time, place, or relationship is one in which there is a lot of change, confusion, and disorder. "/>
        <s v="If you censure someone for something that they have done, you tell them that you strongly disapprove of it. "/>
        <s v="A person who's recovering from an illness is a convalescent. As a convalescent recovering from surgery, your grandmother would probably love some company to cheer her and help pass the time."/>
        <s v="1. A demanding job or task requires a lot of your time, energy, or attention. _x000a_2. People who are demanding are not easily satisfied or pleased. "/>
        <s v="Someone who is disingenuous is slightly dishonest and insincere in what they say. "/>
        <s v="same as egoist; a person who considers himself or herself to be better or more important than other people"/>
        <s v="1. Fallow land has been dug or ploughed but nothing has been planted in it, especially so that its quality or strength has a chance to improve. _x000a_2. A fallow period is a time when very little is being achieved. "/>
        <s v="If you describe someone as impudent, you mean they are rude or disrespectful, or do something they have no right to do. "/>
        <s v="If you impugn something such as someone's motives or integrity, you imply that they are not entirely honest or honourable. "/>
        <s v="the feeling of having little energy or of being unable or unwilling to do anything"/>
        <s v="If you say that a word or name is a misnomer, you mean that it describes something incorrectly. "/>
        <s v="1. not known to many people_x000a_2. not clear and difficult to understand or see_x000a_3. to make something (2); &quot;obscured his view&quot;"/>
        <s v="If someone perpetrates a crime or any other immoral or harmful act, they do it. "/>
        <s v="A proclivity is a tendency to behave in a particular way or to like a particular thing, often a bad way or thing. "/>
        <s v="to return someone to a healthy or usual condition or way of living, or to return something to good condition"/>
        <s v="Relegate means &quot;to assign to a lower position.&quot; If the quarterback of the football team stops making decent throws, he might be relegated to the position of benchwarmer."/>
        <s v="1. Unlike pants, which fully cover each of your legs separately, a skirt is basically a single piece of fabric covering part of your legs._x000a_2. As a verb, skirt means &quot;go around,&quot; like when you skirt a city instead of driving straight through it. The word o"/>
        <s v="strict"/>
        <s v="1. miserable/hopeless_x000a_2. having no self respect"/>
        <s v="1. existing as an idea, feeling, or quality, not as a material object: _x000a_2. An abstract argument or discussion is general and not based on particular examples_x000a_3. Abstract art makes use of shapes and patterns rather than showing people or things. _x000a_4. An abs"/>
        <s v="A copious amount of something is a large amount of it. "/>
        <s v="Covert means secret or hidden. It comes from the Old French covert, or &quot;covered.&quot; A covert bag of chips you've snuck into the movie theater might literally be covered, hidden under your coat, while a covert plan to throw your dad a surprise party is just "/>
        <s v="Something that is dormant is not active, growing, or being used at the present time but is capable of becoming active later on. "/>
        <s v="to instruct in such a way as to improve, enlighten, or uplift morally, spiritually, or intellectually "/>
        <s v="to make very happy or proud_x000a_&quot;news to elate the hearer&quot;"/>
        <s v="If you describe someone's behaviour as furtive, you disapprove of them behaving as if they want to keep something secret or hidden. "/>
        <s v="1. If you imitate someone, you copy what they do or produce. _x000a_2. If you imitate a person or animal, you copy the way they speak or behave, usually because you are trying to be funny. "/>
        <s v="1. v: If you lampoon someone or something, you criticize them very strongly, using humorous means. _x000a_2. n: A lampoon is a piece of writing or speech which criticizes someone or something very strongly, using humorous means. "/>
        <s v="clumsy, but with a hint of overall incompetence; can mean all kinds of clumsy. Trip over your words? You are verbally maladroit. Stumble in social situations? You're socially maladroit."/>
        <s v="1. If you malign someone, you badmouth them_x000a_2. If something is malign, it causes harm. "/>
        <s v="A munificent person is very generous. "/>
        <s v="Something that is poignant affects you deeply and makes you feel sadness or regret. "/>
        <s v="Something that is a sham is not real or is not really what it seems to be"/>
        <s v="1. If you describe someone as timorous, you mean that they are frightened and nervous of other people and situations. _x000a_2. If you describe someone's actions or decisions as timorous, you are criticizing them for being too cautious or weak, because the pers"/>
        <s v="(especially of a positive feeling) not spoiled by any amount of negative feeling; pure"/>
        <s v="Vestigial is used to describe the small amounts of something that still remain of a larger or more important thing. "/>
        <s v="If you alleviate pain, suffering, or an unpleasant condition, you make it less intense or severe. "/>
        <s v="If a person has an animus against someone, they have a strong feeling of dislike for them, even when there is no good reason for it. "/>
        <s v="If something is an anomaly, it is different from what is usual or expected. "/>
        <s v="Corporeal means involving or relating to the physical world rather than the spiritual world. "/>
        <s v="If you are discomfited by something, it causes you to feel slightly embarrassed or confused. "/>
        <s v="If something disorients you, you lose your sense of direction, or you generally feel lost and uncertain, for example because you are in an unfamiliar environment. "/>
        <s v="To eradicate something means to get rid of it completely. "/>
        <s v="1. If you use a word or expression in a figurative sense, you use it with a more abstract or imaginative meaning than its ordinary literal one. "/>
        <s v="If you fluster someone, you make them feel nervous and confused by rushing them and preventing them from concentrating on what they are doing. _x000a_&quot;She was so flustered that she forgot her reply&quot;"/>
        <s v="in a way that makes you feel as if your sense of balance is not good and that you may fall down"/>
        <s v="Polemical means arguing very strongly for or against a belief or opinion. "/>
        <s v="Something that is prodigious is very large or impressive. "/>
        <s v="Someone who is retiring is shy and avoids meeting other people"/>
        <s v="Sound can also mean &quot;solid or good.&quot; Sound advice is good advice. Sound investments are secure. When you have a sound sleep, it's restful and uninterrupted"/>
        <s v="If you describe someone as stingy, you are criticizing them for being unwilling to spend money. "/>
        <s v="When you talk about substantive change, you mean change that really makes a difference. After a substantive discussion, you will have an in-depth understanding of what you are talking about._x000a__x000a_When something is substantive, there is a lot of there there, b"/>
        <s v="1. If someone absconds from somewhere such as a prison, they escape from it or leave it without permission. _x000a_2. If someone absconds with something, they leave and take it with them, although it does not belong to them. "/>
        <s v="When you are apprised of something, someone tells you about it. "/>
        <s v="1. When you canonize a person, you put him on a pedestal — in other words, you think he's so wonderful that he can do no wrong._x000a_2. (in the Roman Catholic Church) to announce officially that a dead person is a saint"/>
        <s v="having or showing an alert mind "/>
        <s v="When people dissemble, they hide their real intentions or emotions"/>
        <s v="If writing or speech is indecipherable, you cannot understand what the words are. "/>
        <s v="1. To lure someone means to trick them into a particular place or to trick them into doing something that they should not do_x000a_2. A lure is an object which is used to attract animals so that they can be caught_x000a_3. A lure is an attractive quality that somethi"/>
        <s v="1.  Food that is piquant has a pleasantly spicy taste. _x000a_2. Something that is piquant is interesting and exciting. "/>
        <s v="If you’ve heard of a movie synopsis, which gives an overview of the plot, you can guess what synoptic means: summarizing. At the end of your 900-page treatise on morals, try to give a synoptic conclusion to drive your ideas home."/>
        <s v="Urbane people are sophisticated, polished, cultured, refined. Spend enough time in an urban setting–-going to concerts and museums, spending time in crowds––and you'll be urbane too."/>
        <s v="1. If you describe someone as artful, you mean that they are clever and skilful at achieving what they want, especially by deceiving people. _x000a_2. If you use artful to describe the way someone has done or arranged something, you approve of it because it is "/>
        <s v="A celebrated person or thing is famous and much admired. "/>
        <s v="A chivalrous man is polite, kind, and unselfish, especially towards women. "/>
        <s v="A conflagration is a fire that burns over a large area and destroys property. "/>
        <s v="If you describe something as encyclopedic, you mean that it is very full, complete, and thorough in the amount of knowledge or information that it has"/>
        <s v="unsystematic, disorderly, disorganized"/>
        <s v="If you loathe someone or something, you hate them very much"/>
        <s v="so obvious that it can easily be seen or known, or (of a feeling) so strong that it seems as if it can be touched or physically felt: "/>
        <s v="A stint is a period of time which you spend doing a particular job or activity or working in a particular place._x000a_&quot;He is returning to this country after a five-year stint in Hong Kong.&quot;"/>
        <s v="If you describe a person or their actions as unwitting, you mean that the person does something or is involved in something without realizing it. "/>
        <s v="having two opposing feelings at the same time, or being uncertain about how you feel"/>
        <s v="If you amend something that has been written such as a law, or something that is said, you change it in order to improve it or make it more accurate. "/>
        <s v="If something astounds you, you are very surprised by it"/>
        <s v="1. polish/to rub metal until it is smooth and shiny_x000a_2. If you burnish something such as your public image, you take action to improve it and make it more attractive"/>
        <s v="1. If you calibrate an instrument or tool, you mark or adjust it so that you can use it to measure something accurately. _x000a_2. If you calibrate something, you measure it accurately"/>
        <s v="Something that is monotonous is very boring because it has a regular, repeated pattern which never changes"/>
        <s v="To obfuscate something means to deliberately make it seem confusing and difficult to understand. "/>
        <s v="If you refer to someone as a paragon, you mean that they are perfect or have a lot of a good quality. "/>
        <s v="A providential event is lucky because it happens at exactly the right time. "/>
        <s v="1. If something puzzles you, you do not understand it and feel confused_x000a_2. If you puzzle over something, you try hard to think of the answer to it or the explanation for it"/>
        <s v="not able to be perceived, noticed, or discovered "/>
        <s v="1. Something that is universal relates to everyone in the world or everyone in a particular group or society. _x000a_2. Something that is universal affects or relates to every part of the world or the universe. _x000a_3. A universal is a principle that applies in all"/>
        <s v="describes someone who is a wag — the kind of hilarious person who keeps you entertained with witty stories and jokes."/>
        <s v="Someone wayward is a little stubborn and independent — they're determined to find their own way - often, going against what others want you to do - and are not easily controlled."/>
        <s v="1. Weary as an adjective means &quot;very tired or worn out,&quot; like weary students who finished a long week of studying and taking tests._x000a_2. As a verb, weary means &quot;to exhaust or wear out,&quot; like when the children you are babysitting weary you with their game of"/>
        <s v="Someone or something that is august is dignified and impressive. "/>
        <s v="1. If you have to contend with a problem or difficulty, you have to deal with it or overcome it. _x000a_2. If you contend that something is true, you state or argue that it is true. _x000a_3. If you contend with someone for something such as power, you compete with t"/>
        <s v="1. Speech or writing that is eloquent is well expressed and effective in persuading people. _x000a_2. A person who is eloquent is good at speaking and able to persuade people. "/>
        <s v="1. Resistance to or protection against a specified disease; power to resist infection, esp. as a result of antibody formation_x000a_2. Exemption or freedom from something burdensome or otherwise unpleasant, as a legal obligation"/>
        <s v="1. If you say that you are indebted to someone for something, you mean that you are very grateful to them for something_x000a_2. Indebted countries, organizations, or people are ones that owe money to other countries, organizations, or people"/>
        <s v="1. If something is a passable effort or of passable quality, it is satisfactory or quite good. _x000a_2. If a road is passable, it is not completely blocked, and people can still use it. "/>
        <s v="If a problem or difficulty is unresolved, no satisfactory solution has been found to it. "/>
        <s v="1. Cognizance is knowledge or understanding. _x000a_2. If you take cognizance of something, you take notice of it or acknowledge it. "/>
        <s v="If something is discernible, you can see it or recognize that it exists. "/>
        <s v="Something that is efficacious is effective. "/>
        <s v="When you elicit, you're bringing out a response of some sort. A good comedian elicits a lot of laughs."/>
        <s v="1. If you engage in an activity, you do it or are actively involved with it. _x000a_2. If something engages you or your attention or interest, it keeps you interested in it and thinking about it. _x000a_3. If you engage someone in conversation, you have a conversatio"/>
        <s v="Homogeneous is used to describe a group or thing which has members or parts that are all the same. "/>
        <s v="1. If you say that someone or something is a liability, you mean that they cause a lot of problems or embarrassment. _x000a_2. A company's or organization's liabilities are the sums of money which it owes. "/>
        <s v="If someone is malevolent, they wish evil on others"/>
        <s v="To protract something is to stretch it out. If you have a disagreement with a friend that you continue for weeks and weeks, you are protracting the argument."/>
        <s v="1. Provincial means connected with the parts of a country away from the capital city. _x000a_2. Provincial means relating to a large section of a country which has its own administration. _x000a_3. If you describe someone or something as provincial, you disapprove of"/>
        <s v="1. A resolution is a formal decision taken at a meeting by means of a vote. _x000a_2. If you make a resolution, you decide to try very hard to do something. _x000a_3. Resolution is determination to do something or not do something. _x000a_4. The resolution of a problem or "/>
        <s v="Use robust to describe a person or thing that is healthy and strong, or strongly built. This adjective also commonly describes food or drink: a robust wine has a rich, strong flavor."/>
        <s v="1. something that is added to something else in order to improve it or complete it; something extra: _x000a_2. A supplement is also an extra part of a magazine or newspaper_x000a_3. to add to something"/>
        <s v="to gradually weaken or destroy someone or something"/>
        <s v="You can describe something as a boon when it makes life better or easier for someone. "/>
        <s v="If one thing is conducive to another thing, it makes the other thing likely to happen. "/>
        <s v="1. If you are enchanted by someone or something, they cause you to have feelings of great delight or pleasure. _x000a_2. In fairy stories and legends, to enchant someone or something means to put a magic spell on them. "/>
        <s v="When someone equivocates, they deliberately use vague language in order to deceive people or to avoid speaking the truth. "/>
        <s v="pay attention to, listen to, take notice of, follow"/>
        <s v="to puzzle/confuse/bewilder/complicate"/>
        <s v="Something that is quantifiable can be measured or counted in a scientific way"/>
        <s v="1. A stalwart is a loyal worker or supporter of an organization, especially a political party. _x000a_2. A stalwart supporter or worker is loyal, steady, and completely reliable. _x000a_3. A stalwart man is strong. "/>
        <s v="able to be proved by testing/able to be tested"/>
        <s v="1. In a court of law, someone's testimony is a formal statement that they make about what they saw someone do or what they know of a situation, after having promised to tell the truth. _x000a_2. If you say that one thing is testimony to another, you mean that i"/>
        <s v="If you cope with a problem or task, you deal with it successfully"/>
        <s v="When you deflect, you throw someone or something off course, often by using a distraction. _x000a__x000a_Hockey goalies deflect the flying puck with their sticks or blockers, making it travel in a different direction. Another way to deflect something — such as critic"/>
        <s v="If someone or something engenders a particular feeling, atmosphere, or situation, they cause it to occur. "/>
        <s v="Extravagant is an adjective that means expensive, excessive, and over the top. A modest chandelier in your dining room is normal. But crystal-studded walls and gold-plated goblets? That's a bit extravagant."/>
        <s v="in a state of confusion or agitation_x000a_&quot;He gets all flustered and doesn't know what to say&quot;"/>
        <s v="A lucrative activity, job, or business deal is very profitable. "/>
        <s v="1. When someone minutes something that is discussed or decided at a meeting, they make a written record of it. _x000a_2. tiny_x000a_3. &lt;Obvious meanings&gt;"/>
        <s v="1. You use prime to describe something that is most important in a situation. _x000a_2. You use prime to describe something that is of the best possible quality. _x000a_3. You use prime to describe an example of a particular kind of thing that is absolutely typical. "/>
        <s v="A sedulous person is someone who works hard and doesn't give up easily"/>
        <s v="to make a humble request to (someone); plead"/>
        <s v="1. Someone who has an abrasive manner is unkind and rude_x000a_2. An abrasive substance is rough and can be used to clean hard surfaces"/>
        <s v="1. If you are blunt, you say exactly what you think without trying to be polite_x000a_2. A blunt object has a rounded or flat end rather than a sharp one_x000a_3. If something blunts an emotion, a feeling, or a need, it weakens it_x000a_&quot;The passing of time will blunt the "/>
        <s v="Disaffection is the attitude that people have when they stop supporting something such as an organization or political ideal"/>
        <s v="If you describe someone as fractious, you disapprove of them because they become upset or angry very quickly about small unimportant things"/>
        <s v="1. If you fret about something, you worry about it. _x000a_2. The frets on a musical instrument such as a guitar are the raised lines across its neck. "/>
        <s v="the very first"/>
        <s v="1. A peripheral activity or issue is one which is not very important compared with other activities or issues. _x000a_2. Peripheral areas of land are ones which are on the edge of a larger area. _x000a_3. Peripherals are devices that can be attached to computers. "/>
        <s v="If you propitiate someone, you stop them being angry or impatient by doing something to please them. "/>
        <s v="1. Remedial education is intended to improve a person's ability to read, write, or do mathematics, especially when they find these things difficult. _x000a_2. Remedial activities are intended to improve a person's health when they are ill. _x000a_3. Remedial action i"/>
        <s v="Something that is sinister seems evil or harmful"/>
        <s v="A trifling matter is small and unimportant. "/>
        <s v="not bad; having nothing that anyone could criticize or disapprove of"/>
        <s v="1. Virtue is thinking and doing what is right and avoiding what is wrong. _x000a_2. A virtue is a good quality or way of behaving. _x000a_3. The virtue of something is an advantage or benefit that it has, especially in comparison with something else. _x000a_4. You use by v"/>
        <s v="to make clear (something obscure or difficult); clarify"/>
        <s v="If you describe someone as impulsive, you mean that they do things suddenly without thinking about them carefully first. "/>
        <s v="1. If you have integrity, you are honest and firm in your moral principles. _x000a_2. The integrity of something such as a group of people or a text is its state of being a united whole. "/>
        <s v="Choose the verb mitigate when something lessens the unpleasantness of a situation."/>
        <s v="1. Someone who is nimble is able to move their fingers, hands, or legs quickly and easily_x000a_2. If you say that someone has a nimble mind, you mean they are clever and can think very quickly"/>
        <s v="A pressing problem, need, or issue has to be dealt with immediately. "/>
        <s v="n: A prop is something you use as a support, like a broom that serves as a prop to hold a door open. A prop is also something that goes on stage, like a garbage can in a Beckett play._x000a_also v: prop an object on or against something; &quot;propped his feet on th"/>
        <s v="If you ridicule someone or ridicule their ideas or beliefs, you make fun of them in an unkind way"/>
        <s v="A simpleton is an idiot — a person without much common sense or intelligence."/>
        <s v="1. influence/impact_x000a_2. If you affect a particular characteristic or way of behaving, you pretend that it is genuine, or natural for you._x000a_&quot;Since joining the band he’s affected a ridiculous southern accent&quot;"/>
        <s v="1. If someone will not countenance something, they do not agree with it and will not allow it to happen. _x000a_2. Someone's countenance is their face. "/>
        <s v="1. perceive or recognize (make out) something, especially something that is not obvious_x000a_2. If you can discern something, you can just see it, but not clearly"/>
        <s v="If you describe a study, search, or list as exhaustive, you mean that it is very thorough and complete. "/>
        <s v="If you describe someone as loquacious, you mean that they talk a lot. "/>
        <s v="If you have to use a garbage can lid as a sled or a set of drapes as a ball gown, then you know what it means to put together a makeshift creation. Something makeshift has been improvised, thrown together with whatever is around."/>
        <s v="A neophyte is someone who is new to a particular activity. "/>
        <s v="1. If something poses a problem or a danger, it is the cause of that problem or danger. _x000a_2. If you pose a question, you ask it. If you pose an issue that needs considering, you mention the issue. _x000a_3. If you pose as someone, you pretend to be that person i"/>
        <s v="A scintillating conversation or performance is very lively and interesting. "/>
        <s v="The adjective tempestuous can describe violent weather, but it can also figuratively describe something that just has the characteristics of such blustery and turbulent weather."/>
        <s v="You can use trenchant to describe something such as a criticism or comment that is very clear, effective, and forceful. "/>
        <s v="If you describe a person or their behaviour as uncritical, you mean that they do not judge whether someone or something is good or bad, right or wrong, before supporting or believing them. "/>
        <s v="Something that's arbitrary seems like it's chosen at random instead of following a consistent rule."/>
        <s v="When you're offering something in support of an already existing thing, you're offering something auxiliary. The auxiliary police will help out the regular police with things like directing traffic and crowd control when there's a special event in town."/>
        <s v="Something that is desultory is done in an unplanned and disorganized way, and without enthusiasm. "/>
        <s v="Someone who is diffident is rather shy and does not enjoy talking about themselves or being noticed by other people"/>
        <s v="An unusually short, small person is sometimes called a dwarf. The noun dwarf is also used for an unusually small animal or plant, or as a verb meaning &quot;make something seem very small,&quot; as when a new apartment building dwarfs the surrounding houses. "/>
        <s v="In sport or military conflict, if someone feints, they make a brief movement in a different direction from the one they intend to follow, as a way of confusing or deceiving their opponent. "/>
        <s v="1. uncontrolled excitement, anger, or panic_x000a_2. wildly funny"/>
        <s v="An incessant process or activity is one that continues without stopping. "/>
        <s v="Something that is intelligible can be understood. "/>
        <s v="If a bad situation or change is irremediable, the situation cannot be improved. "/>
        <s v="1. If you patronize a business, you shop there regularly_x000a_2. Someone who patronizes artists, writers, or musicians supports them and gives them money_x000a_3. If someone patronizes you, they talk to you as if you were inferior or not very intelligent"/>
        <s v="A pithy comment or piece of writing is short, direct, and full of meaning. "/>
        <s v="1. If something precipitates an event or situation, usually a bad one, it causes it to happen suddenly or sooner than normal. _x000a_2. A precipitate action or decision happens or is made more quickly or suddenly than most people think is sensible. "/>
        <s v="1. You can use render with an adjective that describes a particular state to say that someone or something is changed into that state. For example, if someone or something makes a thing harmless, you can say that they render it harmless. _x000a_2. If you render"/>
        <s v="1. Sobriety is the state of being sober rather than drunk. _x000a_2. Sobriety is serious and thoughtful behaviour. "/>
        <s v="Someone who is sparing with something uses it or gives it only in very small quantities. "/>
        <s v="Subsume means to absorb or include. A successful company might subsume a failing competitor through a merger, or love may subsume you in the early stages of a romance."/>
        <s v="A sycophant is a person who tries to win favor from wealthy or influential people by flattering them. Also known as brown-nosers, teacher's pets or suck-ups."/>
        <s v="unimportant"/>
        <s v="not interrupted or changed in any way"/>
        <s v="If things abound, or if a place abounds with things, there are a lot of them. In spring, birds, flowers, rain, and frisbees abound."/>
        <s v="bold or daring; fearless"/>
        <s v="Someone who is churlish is unfriendly, bad-tempered, or impolite. "/>
        <s v="If you are contrite, you are very sorry because you have done something wrong. "/>
        <s v="1. If you croon, you sing or hum quietly and gently. _x000a_2. If one person talks to another in a soft gentle voice, you can describe them as crooning, especially if you think they are being sentimental or insincere. "/>
        <s v="If something such as power, a custom, or an idea is entrenched, it is firmly established, so that it would be difficult to change it. "/>
        <s v="1. If two things such as opinions or proposals are irreconcilable, they are so different from each other that it is not possible to believe or have both of them. _x000a_2. An irreconcilable disagreement or conflict is so serious that it cannot be settled. "/>
        <s v="If you describe someone as a megalomaniac, you are criticizing them because they enjoy being powerful, or because they believe that they are more powerful or important than they really are"/>
        <s v="Normative means creating or stating particular rules of behaviour. "/>
        <s v="Someone who is penitent is very sorry for something wrong that they have done, and regrets their actions. "/>
        <s v="If something presages a situation or event, it is considered to be a warning or sign of what is about to happen. "/>
        <s v="1. intended to cause a reaction, esp. anger or annoyance, or to force you to think more carefully about something_x000a_2. If behavior or clothing is provocative, it is likely to cause sexual desire"/>
        <s v="relating to or determined by syntax_x000a_another word for syntactic"/>
        <s v="1. A valedictory speech, letter, or performance is one that is intended as a way of saying goodbye when someone leaves another person, a place, or a job. _x000a_2. A valedictory is a speech that is given by the student with the highest marks in their class at t"/>
        <s v="1. permit/authorization: the piece of paper they show you through the keyhole during an investigation_x000a_2. demand/call for: &quot;serious enough to warrant an investigation&quot;_x000a_3. justification/reason: &quot;There is some warrant for holding back on full-scale aid&quot;_x000a_4. I"/>
        <s v="1. to make a book, play, or piece of writing shorter by removing details and information that is not important _x000a_2. to reduce someone's freedom, rights, etc."/>
        <s v="If you say that someone's attitude or behaviour is an affectation, you disapprove of the fact that it is not genuine or natural, but is intended to impress other people."/>
        <s v="1. If you alienate someone, you make them become unfriendly or unsympathetic towards you_x000a_2. To alienate a person from someone or something that they are normally linked with means to cause them to be emotionally or intellectually separated from them"/>
        <s v="An apologist is a person who argues in favor of something unpopular. If you're an apologist for deep sea oil drilling, you would argue that drilling in the ocean is necessary and the benefits make up for any environmental damage."/>
        <s v="A bawdy story or joke contains humorous references to sex. "/>
        <s v="If something bemuses you, it puzzles or confuses you"/>
        <s v="If you covet something, you strongly want to have it for yourself. "/>
        <s v="The dissolution of a relationship means that it's broken up or ended. The dissolution of your band means you better get started on your solo album."/>
        <s v="If one thing entails another, it involves it or causes it. "/>
        <s v="If you forestall someone, you realize what they are likely to do and prevent them from doing it"/>
        <s v="To improvise means to make something up on the spot, or figure it out as you go."/>
        <s v="A ploy is a way of behaving that someone plans carefully and secretly in order to gain an advantage for themselves_x000a_&quot;marketing ploy&quot;"/>
        <s v="Propriety is the quality of being socially or morally acceptable. "/>
        <s v="Someone who is pugnacious is always ready to quarrel or start a fight. "/>
        <s v="1. n: A suspect is a person who is believed to be guilty of a crime_x000a_2. v: To suspect someone of something is to believe that they probably did it_x000a_3. adj: If something such as someone's excuse or motive is suspect, it seems a bit off"/>
        <s v="1. If you describe something as unfathomable, you mean that it cannot be understood or explained, usually because it is very strange or complicated. _x000a_2. If you use unfathomable to describe a person or the expression on their face, you mean that you cannot"/>
        <s v="Something arresting commands your attention. It's stunning, and you can't turn away."/>
        <s v="If you chastise someone, you speak to them angrily or punish them for something wrong that they have done. "/>
        <s v="If you say that a person or society is decadent, you think that they have low moral standards and are interested mainly in pleasure. "/>
        <s v="If you say that someone is doctrinaire or has a doctrinaire attitude, you disapprove of them because they have fixed principles which they try to force on other people. "/>
        <s v="to make someone feel weak and without energy"/>
        <s v="1. Someone who is gregarious enjoys being with other people. _x000a_2. Gregarious animals or birds normally live in large groups. "/>
        <s v="extremely valuable, or priceless"/>
        <s v="merry and cheerful"/>
        <s v="using very few words to express what you mean"/>
        <s v="Largesse is a generous gift of money or a generous act of kindness. "/>
        <s v="If you describe an amount or quantity of something as meager, you are critical of it because it is very small or not enough. "/>
        <s v="the fact of being based on facts and not influenced by personal beliefs or feelings"/>
        <s v="Someone who is phlegmatic stays calm even when upsetting or exciting things happen. "/>
        <s v="1. A piece of information that is speculative is based on guesses rather than knowledge. _x000a_2. Someone who has a speculative expression seems to be trying to guess something about a person or thing. _x000a_3. Speculative is used to describe activities which invol"/>
        <s v="1. Temperate is used to describe a climate or a place which is never extremely hot or extremely cold. _x000a_2. If a person's behaviour is temperate, it is calm and reasonable, so that they do not get angry or lose their temper easily. "/>
        <s v="Activism is the process of campaigning in public or working for an organization in order to bring about political or social change. "/>
        <s v="Allusive speech, writing, or art is full of indirect references to people or things. "/>
        <s v="1. When things antedate something else, they come before it, or happen earlier than it does. World War I antedates World War II._x000a_2. to put a date on a document that is earlier than the date it is signed: (Ex: &quot;to antedate a check&quot;)"/>
        <s v="Archaic means extremely old or extremely old-fashioned. "/>
        <s v="1. Disparate things are clearly different from each other in quality or type. _x000a_2. A disparate thing is made up of very different elements. "/>
        <s v="1. A fringe is hair which is cut so that it hangs over your forehead. _x000a_2. A fringe is a decoration attached to clothes, or other objects such as curtains, consisting of a row of hanging strips or threads. _x000a_3. To be on the fringe or the fringes of a place "/>
        <s v="to please someone, or to satisfy a wish or need"/>
        <s v="1. hinder_x000a_2. basket/package"/>
        <s v="1. to influence or control someone to your advantage, often without that person knowing it: _x000a_2. to control something by using the hands: "/>
        <s v="Overt means open and done in plain sight"/>
        <s v="Pomposity means speaking or behaving in a very serious manner which shows that you think you are more important than you really are. "/>
        <s v="Preternatural abilities, qualities, or events are very unusual in a way that might make you think that unknown forces are involved. "/>
        <s v="1. If something resonates, it vibrates and produces a deep, strong sound. _x000a_2. You say that something resonates when it has a special meaning or when it is particularly important to someone. "/>
        <s v="If you say that one thing is tantamount to a second, more serious thing, you are emphasizing how bad, unacceptable, or unfortunate the first thing is by comparing it to the second. _x000a__x000a_When something is tantamount to another thing it is essentially its equi"/>
        <s v="1. If a person's activities or judgment are unsound, they are not good enough, acceptable, or able to be trusted: _x000a_2. If a building or other structure is unsound, it is in bad condition and likely to fall down or fail: "/>
        <s v="If something is vitiated, its effectiveness is spoiled or weakened. "/>
        <s v="lack of emotion/interest, indifference"/>
        <s v="Someone who is assertive states their needs and opinions clearly, so that people take notice. "/>
        <s v="To augment something means to make it larger, stronger, or more effective by adding something to it. "/>
        <s v="Avarice is a fancy word for good old-fashioned greed"/>
        <s v="A connoisseur is someone who knows a lot about the arts, food, drink, or some other subject. "/>
        <s v="If you look crestfallen, you look sad and disappointed about something. "/>
        <s v="Depravity goes beyond mere bad behavior — it is a total lack of morals, values, and even regard for other living things, like the depravity of a serial killer."/>
        <s v="1. If you describe someone as devious you do not like them because you think they are dishonest and like to keep things secret, often in a complicated way. _x000a_2. A devious route or path to a place involves many changes in direction, rather than being as str"/>
        <s v="If a part of your body is distended, or if it distends, it becomes swollen and unnaturally large. "/>
        <s v="feeling of being tired, bored, and dissatisfied"/>
        <s v="If you expedite something, you cause it to be done more quickly. "/>
        <s v="If you say that someone is finicky, you mean that they are worried about small details and are difficult to please. "/>
        <s v="1. If you inform someone of something, you tell them about it. _x000a_2. If someone informs on a person, they give information about the person to the police or another authority, which causes the person to be suspected or proved guilty of doing something bad. "/>
        <s v="to scold or reprimand "/>
        <s v="If you describe something as outlandish, you disapprove of it because you think it is very unusual, strange, or unreasonable. "/>
        <s v="1. When people quibble over a small matter, they argue about it even though it is not important; also n"/>
        <s v="If someone or something is stigmatized, they are unfairly regarded by many people as being bad or having something to be ashamed of. "/>
        <s v="If you describe a person or their actions as unprincipled, you are criticizing them for their lack of moral principles and because they do things which are immoral or dishonest. "/>
        <s v="(of a story, play, picture, etc. ) using characters or events as symbols to represent an idea or a quality, such as truth, evil, death, etc."/>
        <s v="1. eager/enthusiastic, liking somebody/something_x000a_2. sharp; &quot;a keen mind&quot;, &quot;a keen interest&quot;, &quot;a keen eye for&quot;_x000a_3. extremely cold; &quot;a keen wind&quot;_x000a_4. If someone keens, they cry out or make sounds to express their sorrow at someone's death"/>
        <s v="Narcissism is the habit of always thinking about yourself and admiring yourself"/>
        <s v="1. A paltry amount of money or of something else is one that you consider to be very small. _x000a_2. You can use paltry to describe something or someone that you consider to be small or unimportant. "/>
        <s v="If you describe someone as self-righteous, you disapprove of them because they are convinced that they are right in their beliefs, attitudes, and behaviour and that other people are wrong. "/>
        <s v="without precedent or parallel "/>
        <s v="not premeditated; done without plan or forethought"/>
        <s v="affinity (for/with somebody/something) | affinity (between A and B):_x000a_a close similarity between two things, or an attraction or sympathy for someone or something, esp. because of shared characteristics"/>
        <s v="confidence"/>
        <s v="Approbation is approval of something or agreement to it. "/>
        <s v="Bucolic means relating to the countryside. "/>
        <s v="If you describe someone or something as cerebral, you mean that they are intellectual rather than emotional"/>
        <s v="Collusion is secret or illegal co-operation, especially between countries or organizations. "/>
        <s v="1. A contentious issue causes a lot of disagreement or arguments. _x000a_2. A contentious person seems to like arguing and disagreeing with other people. "/>
        <s v="1. Something that is cumbersome is large and heavy and therefore difficult to carry, wear, or handle. _x000a_2. A cumbersome system or process is very complicated and inefficient. _x000a__x000a_A &quot;cumber&quot; is something that slows you down"/>
        <s v="If you curtail something, you reduce or limit it. "/>
        <s v="Decorum is behaviour that people consider to be correct, polite, and respectable. "/>
        <s v="Disapprobation is a noun for the state of total disapproval and condemnation. It is often used in conjunction with a moral or social offense."/>
        <s v="The word &quot;bell&quot; shows up in the middle of embellish, and bells are something that decorate, or embellish something, making it more attractive. If you embellish speech, though, it can get ugly if you add a lot of details that aren't true."/>
        <s v="If a bad situation escalates or if someone or something escalates it, it becomes greater in size, seriousness, or intensity. "/>
        <s v="If someone is inarticulate, they are unable to express themselves easily or well in speech. "/>
        <s v="1. having or showing high moral qualities or character_x000a_2. having a high social rank, esp. from birth_x000a_3. impressive in appearance"/>
        <s v="If something obligates you to do a particular thing, it creates a situation where you have to do it. "/>
        <s v="Self-indulgence is the act of allowing yourself to have or do the things that you enjoy very much. "/>
        <s v="If you are torpid, you are mentally or physically inactive, especially because you are feeling lazy or sleepy. "/>
        <s v="ban, get rid of, dismiss"/>
        <s v="1. If you endorse someone or something, you say publicly that you support or approve of them. _x000a_2. If someone's driving licence is endorsed, an official record is made on it that they have been found guilty of a driving offence. _x000a_&quot;He also had his licence e"/>
        <s v="1. If you describe something as florid, you disapprove of the fact that it is complicated and extravagant rather than plain and simple. _x000a_2. Someone who is florid always has a red face. "/>
        <s v="to leave forever or to give up completely"/>
        <s v="To galvanize someone means to cause them to take action, for example by making them feel very excited, afraid, or angry. "/>
        <s v="Pristine things are extremely clean or new. "/>
        <s v="1. the study of the ways of using language effectively_x000a_2. clever language that sounds good but is not sincere or has no real meaning"/>
        <s v="You can describe something as a ritual action when it is done in exactly the same way whenever a particular situation occurs"/>
        <s v="thinly spread or distributed; not dense or crowded"/>
        <s v="Something that is tranquil is calm and peaceful. "/>
        <s v="When you want to indicate that something is silly or overused, you would call it trite. A love song with lyrics about holding hands in the sunshine? Totally trite."/>
        <s v="To amalgamate is to combine different things to create something new. Institutions — such as banks, schools, or hospitals — often join forces and amalgamate with one other. But other things — like musical genres — get amalgamated as well."/>
        <s v="1. Circumstantial evidence is evidence that makes it seem likely that something happened, but does not prove it. _x000a_2. Something that is circumstantial is related to a particular circumstance. "/>
        <s v="A complacent person is very pleased with themselves or feels that they do not need to do anything about a situation, even though the situation may be uncertain or dangerous. "/>
        <s v="Convivial people or occasions are pleasant, friendly, and relaxed. _x000a__x000a_Use the adjective convivial to describe your friend who is &quot;the life of the party.&quot;"/>
        <s v="If something is counterintuitive it means it's the opposite of &quot;intuitive&quot; — in other words it's not easily understood in an instinctive, unconscious way. A red light for &quot;go&quot; and a green light for &quot;stop&quot; would be highly counterintuitive, for example."/>
        <s v="Someone who is glum is sad and quiet because they are disappointed or unhappy about something"/>
        <s v="1. If you describe something as immaculate, you mean that it is extremely clean, tidy, or neat. _x000a_2. If you say that something is immaculate, you are emphasizing that it is perfect, without any mistakes or bad parts at all. "/>
        <s v="1. You use invasive to describe something undesirable which spreads very quickly and which is very difficult to stop from spreading. Ex: &quot;invasive cancer&quot;_x000a_2. An invasive medical procedure involves operating on a patient or examining the inside of their bo"/>
        <s v="If you describe a task or job as laborious, you mean that it takes a lot of time and effort. "/>
        <s v="If you think someone is pedantic, you mean that they are too concerned with unimportant details or traditional rules, especially in connection with academic subjects. "/>
        <s v="If someone or something perpetuates a situation, system, or belief, especially a bad one, they cause it to continue. "/>
        <s v="an unpleasant situation that is difficult to get out of"/>
        <s v="1. Radical changes and differences are very important and great in degree. _x000a_2. Radical people believe that there should be great changes in society and try to bring about these changes. "/>
        <s v="A town, country, or economy that has been ravaged is one that has been damaged so much that it is almost completely destroyed"/>
        <s v="If you replenish something, you make it full or complete again. "/>
        <s v="To substantiate a statement or a story means to supply evidence which proves that it is true. "/>
        <s v="If you describe a rumour, belief, or feeling as unfounded, you mean that it is wrong and is not based on facts or evidence. "/>
        <s v="If two or more facts, numbers, etc. correlate or are correlated, there is a relationship between them"/>
        <s v="Someone or something that is enigmatic is mysterious and difficult to understand"/>
        <s v="Something that is immutable will never change or cannot be changed. "/>
        <s v="not prudent"/>
        <s v="1. If someone mediates between two groups of people, or mediates an agreement between them, they try to settle an argument between them by talking to both groups and trying to find things that they can both agree to. _x000a_2. If something mediates a particular"/>
        <s v="When people begin an open-ended discussion or activity, they do not have a particular result, decision, or timespan in mind. "/>
        <s v="not known about by many people and difficult to understand: "/>
        <s v="An untapped supply or source of something has not yet been used"/>
        <s v="used to emphasize how great or unusual something is by comparing it to something else. (ex: &quot;My garden had become a veritable jungle by the time I came back from holiday&quot;)"/>
        <s v="To accentuate something means to emphasize it or make it more noticeable. "/>
        <s v="1. You can use acute to indicate that an undesirable situation or feeling is very severe or intense. _x000a_2. An acute illness is one that becomes severe very quickly but does not last very long. Compare chronic. _x000a_3. If a person's or animal's sight, hearing, o"/>
        <s v="Ascribe means to give credit to, like if you ascribe the A you got on your group project to the hard work of your partners!"/>
        <s v="Someone who is assiduous works hard or does things very thoroughly. "/>
        <s v="A clangor is a loud or harsh noise. "/>
        <s v="Credible means able to be trusted or believed. "/>
        <s v="1. To discredit someone or something means to cause them to lose people's respect or trust_x000a_2. To discredit an idea or evidence means to make it appear false or not certain"/>
        <s v="1. If you describe someone or something as feeble, you mean that they are weak. _x000a_2. If you describe someone as feeble, you are criticizing them because they are afraid of taking strong action or seem to make no effort. _x000a_3. If you describe something that s"/>
        <s v="Something that is germane to a situation or idea is connected with it in an important way. "/>
        <s v="If you are inquisitive that means you love to inquire; you’re always asking questions."/>
        <s v="slack, casual, careless, sloppy; n: laxity"/>
        <s v="To polarize is to divide. Something that's been polarized has been split into two sides that are so different, it seems as though they're from opposite ends of the earth — like the North Pole and the South Pole."/>
        <s v="If you describe something as risible, you mean that it is ridiculous and does not deserve to be taken seriously. "/>
        <s v="Someone or something that is serene is calm and quiet. "/>
        <s v="Starvation is extreme suffering or death, caused by lack of food. "/>
        <s v="If you say that someone's behaviour is unseemly, you disapprove of it because it is not polite or not suitable for a particular situation or occasion. "/>
        <s v="If you have audacity then you're one daring — and perhaps reckless — character"/>
        <s v="A cataclysmic event is one that changes a situation or society very greatly, especially in an unpleasant way. "/>
        <s v="If you call someone a curmudgeon, you do not like them because they are mean or bad-tempered. "/>
        <s v="1. If someone is distressed, they are upset or worried_x000a_2. A distressed object such as a piece of furniture or an item of clothing has been deliberately made to look old"/>
        <s v="Choose the adjective dubious for something you have doubts about or you suspect is not true. That bridge you just &quot;bought&quot; might be of dubious value."/>
        <s v="Something that is ingenious is very clever and involves new ideas, methods, or equipment. "/>
        <s v="A pivotal role, point, or figure in something is one that is very important and affects the success of that thing. "/>
        <s v="If you call someone a spendthrift, you mean that they spend too much money. "/>
        <s v="If something is superseded by something newer, it is replaced because it has become old-fashioned or unacceptable. "/>
        <s v="1. If someone or something is unaffected by an event or occurrence, they are not changed by it in any way. _x000a_2. If someone says you're unaffected they could mean you're genuine; you don't put on an act for people."/>
        <s v="If you say that something is unattainable, you mean that it cannot be achieved or is not available. "/>
        <s v="1. A volatile liquid or substance is one that will quickly change into a gas. _x000a_2. If someone is volatile, their mood often changes quickly. _x000a_3. A situation that is volatile is likely to change suddenly and unexpectedly. "/>
        <s v="If you describe someone or their behaviour as wily, you mean that they are clever at achieving what they want, especially by tricking people"/>
        <s v="1. An abstraction is a general idea rather than one relating to a particular object, person, or situation. _x000a_2. Abstraction is the state of being very deep in thought. _x000a_3. Abstraction is the use of shapes and patterns in art. "/>
        <s v="If something befuddles you, it confuses your mind or thoughts"/>
        <s v="Someone who is craven is very cowardly. "/>
        <s v="When you're idealistic, you dream of perfection, whether in yourself or other people. For example, you might have the idealistic goal of bringing an end to childhood poverty in the world."/>
        <s v="When you inhibit something, you block it or hold it back. If you put plants in a dark room, you inhibit their growth. A teacher who mocks their students for giving wrong answers inhibits their willingness to speak up in class."/>
        <s v="1. relating to a parish (= an area that has its own church or priest): _x000a_2. showing interest only in a narrow range of matters, especially those that directly affect yourself, your town, or your country: "/>
        <s v="1. You use perennial to describe situations or states that keep occurring or which seem to exist all the time; used especially to describe problems or difficulties. _x000a_2 A perennial plant lives for several years and has flowers each year. "/>
        <s v="Someone who is surly behaves in a rude bad-tempered way. "/>
        <s v="1. If someone or something thrives, they do well and are successful, healthy, or strong. _x000a_2. If you say that someone thrives on a particular situation, you mean that they enjoy it or that they can deal with it very well, especially when other people find "/>
        <s v="If you abhor something, you hate it very much, especially for moral reasons"/>
        <s v="1. A compromise is a situation in which people accept something slightly different from what they really want, because of circumstances or because they are considering the wishes of other people. _x000a_2. If you compromise with someone, you reach an agreement "/>
        <s v="A conundrum is a problem or puzzle which is difficult or impossible to solve. "/>
        <s v="1. quality of being delicate_x000a_2. fragile beauty; &quot;the delicacy of a petal&quot;_x000a_3. rare or expensive food that is considered especially nice to eat"/>
        <s v="1. A dictum is a saying that describes an aspect of life in an interesting or wise way_x000a_2. A dictum is a formal statement made by someone who has authority"/>
        <s v="The general sense of economy is careful management of resources such as money and materials, so as not to waste them, but the more familiar reference is to a system of producing, distributing, and consuming goods and services."/>
        <s v="To endanger someone is to put them in a dangerous position, or to threaten their safety. It would endanger your little brother if you encouraged him to jump off the garage roof into a pile of leaves."/>
        <s v="A heterogeneous group consists of many different types of things or people. "/>
        <s v="You use the word metaphorical to indicate that you are not using words with their ordinary meaning, but are describing something by means of an image or symbol"/>
        <s v="Someone who is optimistic is hopeful about the future or the success of something in particular. "/>
        <s v="A pastiche is something such as a piece of writing or music in which the style is copied from somewhere else, or which contains a mixture of different styles. "/>
        <s v="1. If people propagate an idea or piece of information, they spread it and try to make people believe it or support it. _x000a_2. If you propagate plants, you grow more of them from the original ones. "/>
        <s v="A rhapsody is a piece of music which has an irregular form and is full of feeling. "/>
        <s v="1. Utilitarian means based on the idea that the morally correct course of action is the one that produces benefit for the greatest number of people. _x000a_2. Utilitarian objects and buildings are designed to be useful rather than attractive. "/>
        <s v="1. An acolyte is a follower or assistant of an important person. _x000a_2. An acolyte is someone who assists a priest in performing certain religious services. "/>
        <s v="quick to see how to use a situation to your advantage"/>
        <s v="1. If you attribute something to an event or situation, you think that it was caused by that event or situation. _x000a_2. If you attribute a particular quality or feature to someone or something, you think that they have got it. _x000a_3. If a piece of writing, a wo"/>
        <s v="1. Compelling means attractive, or irresistible, or really, really convincing_x000a_2. forceful and persuasive"/>
        <s v="If you get goose bumps, the hairs on your skin stand up so that it is covered with tiny bumps. You get goose bumps when you are cold, frightened, or excited. "/>
        <s v="Something that is inconsequential is not important. "/>
        <s v="If something is inevitable, it is certain to happen and cannot be prevented or avoided. "/>
        <s v="n: If it's threatening you or otherwise posing some sort of danger, then it's a menace. Angry rabid dogs, smog clouds, and annoying little brothers are all probable menaces._x000a_also v_x000a__x000a_&quot;a bad reputation can menace an otherwise promising career, weeds can men"/>
        <s v="If you describe someone as prurient, you mean that they show too much interest in sexual matters. "/>
        <s v="If you think that something is horrible and disgusting, you can say that it is repugnant. "/>
        <s v="1. If you restrain someone, you stop them from doing what they intended or wanted to do, usually by using your physical strength. _x000a_2. If you restrain an emotion or you restrain yourself from doing something, you prevent yourself from showing that emotion "/>
        <s v="If you say that someone is sanctimonious, you disapprove of them because you think that they are trying to appear morally better than other people/pretending to be very holy or pious"/>
        <s v="n form of superficial"/>
        <s v="If something is unprecedented, it has never happened before. "/>
        <s v="Acumen is the ability to make good judgments and quick decisions"/>
        <s v="broad in scope or content _x000a_[Encompass means to contain]"/>
        <s v="1. Bromide is a drug which used to be given to people to calm their nerves when they were worried or upset_x000a_2. A bromide is a comment which is intended to calm someone down when they are angry, but which has been expressed so often that it has become borin"/>
        <s v="Contentment is a feeling of quiet happiness and satisfaction. "/>
        <s v="1. Someone who is cunning has the ability to achieve things in a clever way, often by deceiving other people. _x000a_2. Cunning is the ability to achieve things in a clever way, often by deceiving other people. "/>
        <s v="If you extrapolate from known facts, you use them as a basis for general statements about a situation or about what is likely to happen in the future. "/>
        <s v="An ideology is a set of beliefs, especially the political beliefs on which people, parties, or countries base their actions. "/>
        <s v="If someone is indicted for a crime, they are officially charged with it. "/>
        <s v="If you say that someone is insular, you are being critical of them because they are unwilling to meet new people or to consider new ideas. "/>
        <s v="If you are pensive, you are thinking deeply about something, especially something that worries you slightly. "/>
        <s v="a person who uses sophistry (= clever but untrue arguments) in order to deceive people"/>
        <s v="1. The underlying features of an object, event, or situation are not obvious, and it may be difficult to discover or reveal them. _x000a_2. You describe something as underlying when it is below the surface of something else. "/>
        <s v="If you describe something as unmistakable, you mean that it is so obvious that it cannot be mistaken for anything else. "/>
        <s v="You can describe something as abstruse if you find it difficult to understand, especially when you think it could be explained more simply. "/>
        <s v="1. Apprehension is a feeling of fear that something bad may happen. _x000a_2. The apprehension of someone who is thought to be a criminal is their capture or arrest by the police. _x000a_3. The apprehension of something is awareness and understanding of it. "/>
        <s v="If you say that someone is compliant, you mean they willingly do what they are asked to do. "/>
        <s v="If you denigrate someone or something, you criticize them unfairly or insult them. "/>
        <s v="Dispassionate describes someone who is not getting carried away by — or maybe not even having — feelings. It's something you'd want to see in a surgeon, who keeps cool under pressure, but not in a romantic partner."/>
        <s v="Foreboding = the feeling that something bad is going to happen;_x000a_Forebode =  to indicate beforehand; portend; foretell; predict (esp. something bad or harmful) "/>
        <s v="Something that is laudable deserves to be praised or admired. "/>
        <s v="If you describe a task as onerous, you dislike having to do it because you find it difficult or needing a lot of effort. "/>
        <s v="Residual is used to describe what remains of something when most of it has gone. "/>
        <s v="If someone or something is woeful, they are very sad. "/>
        <s v="1. surrender; &quot;He may yield control&quot;_x000a_2. give way; &quot;If a moving person or a vehicle yields, they slow down or stop in order to allow other people or vehicles to pass in front of them&quot;_x000a_3. produce_x000a_4. profit, return"/>
        <s v="1. If you have contempt for someone or something, you have no respect for them or think that they are unimportant. _x000a_2. Contempt of court is the criminal offence of disobeying an instruction from a judge or a court of law. "/>
        <s v="Equanimity is a calm state of mind and attitude to life, so that you never lose your temper or become upset. "/>
        <s v="To exculpate means to find someone not guilty of criminal charges. If you've been wrongly accused of robbery, you'd better hope a judge will exculpate you"/>
        <s v="To meld is to completely combine or blend two or more things. If you meld breakfast and lunch, you get brunch. If you meld jeans and leggings, you get jeggings."/>
        <s v="If you describe something as outmoded, you mean that you think it is old-fashioned and no longer useful or relevant to modern life. "/>
        <s v="If you do something with panache, you do it in a confident, stylish, and elegant way. "/>
        <s v="Something that is pellucid is extremely clear. "/>
        <s v="Use the adjective rational to describe people or ideas that operate according to logic or reason than on emotion"/>
        <s v="To swindle is to cheat or steal. You can swindle money, goods, ideas, and anything else that can be stolen, but be careful, because someone can also swindle you."/>
        <s v="A treatise is a formal written paper about a specific subject. It’s like an essay but longer. A treatise is usually about a serious subject, so you might read a treatise on democracy, but you probably won't read a treatise about chewing gum."/>
        <s v="Turpitude is very immoral behaviour. "/>
        <s v="Aesthetic is used to talk about beauty or art, and people's appreciation of beautiful things. "/>
        <s v="Someone who is boisterous is noisy, lively, and full of energy. "/>
        <s v="Use the adjective caustic to describe any chemical that is able to burn living tissue or other substances, or, figuratively, a statement that has a similarly burning effect. Caustic in this sense means harshly critical."/>
        <s v="1. Complementary things are different from each other but make a good combination. _x000a_2. Complementary medicine refers to ways of treating patients which are different from the ones used by most Western doctors, for example acupuncture and homoeopathy. "/>
        <s v="Conclusive evidence shows that something is certainly true. "/>
        <s v="Egregious means very bad indeed"/>
        <s v="If you describe something as esoteric, you mean it is known, understood, or appreciated by only a small number of people"/>
        <s v="1. If you say that a situation, problem, or feeling is festering, you disapprove of the fact that it is being allowed to grow more unpleasant or full of anger, because it is not being properly recognized or dealt with. _x000a_2. If a wound festers, it becomes i"/>
        <s v="deny; If there is no gainsaying something, it is true or obvious and everyone would agree with it"/>
        <s v="Use the adjective heady to describe a sensation that is so exciting it makes you a little dizzy, a bit like being intoxicated. "/>
        <s v="To liberate something means to release it from confinement. "/>
        <s v="If you describe something bad, such as a crime or disease, as rampant, you mean that it is very common and is increasing in an uncontrolled way"/>
        <s v="Something has transparency if you can see through it, like the ice on the top of a frozen lake or a glass. Transparency can also refer to a figurative kind of clearness or openness, which is what people mean when they talk about &quot;government transparency.&quot;"/>
        <s v="If you are wary of something or someone, you are cautious because you do not know much about them and you believe they may be dangerous or cause problems"/>
        <s v="1. leave/ditch_x000a_2. stop/drop_x000a_3. If you abandon yourself to an emotion, you think about it a lot and feel it strongly_x000a_4. do something with abandon: recklessness/wildness"/>
        <s v="1. entertain/delight_x000a_2. amuse yourself: occupy/engage; I need to amuse myself so I won't keep thinking about things."/>
        <s v="The word commensurate has to do with things that are similar in size and therefore appropriate. Many people think the death penalty is a commensurate punishment for murder. In other words, the penalty fits the crime."/>
        <s v="If one thing is dissimilar to another, or if two things are dissimilar, they are very different from each other. "/>
        <s v="the power of understanding and imaginatively entering into another person's feelings"/>
        <s v="appearing strange or wrong within a particular situation_x000a_&quot;Such a modern office building looks incongruous in the quaint little town.&quot;"/>
        <s v="1. Nettles are wild plants which have leaves covered with fine hairs that sting you when you touch them. _x000a_2. If you are nettled by something, you are annoyed or offended by it. "/>
        <s v="If something portends something, it indicates that it is likely to happen in the future. "/>
        <s v="If you describe something as sacrosanct, you consider it to be special and are unwilling to see it criticized or changed. "/>
        <s v="If something is tenuous it's thin, either literally or metaphorically. If you try to learn a complicated mathematical concept by cramming for 45 minutes, you will have a tenuous grasp of that concept, at best."/>
        <s v="insult (v,n)"/>
        <s v="Boorish behaviour is rough, uneducated, and rude"/>
        <s v="A callow young person has very little experience or knowledge of the way they should behave as an adult. "/>
        <s v="1. A crescendo is a noise that gets louder and louder. Some people also use crescendo to refer to the point when a noise is at its loudest. _x000a_2. People sometimes describe an increase in the intensity of something, or its most intense point, as a crescendo."/>
        <s v="fruitful or fertile; productive; prolific"/>
        <s v="Are you feeling cranky or irritable and complaining about every little thing that annoys you? You're grouchy."/>
        <s v="to give new energy or strength to someone or something"/>
        <s v="If someone has a penchant for something, they have a special liking for it or a tendency to do it. "/>
        <s v="If you are proficient in something, you can do it well. "/>
        <s v="Proportionate means the same as proportional. If one amount is proportional to another, the two amounts increase and decrease at the same rate so there is always the same relationship between them. "/>
        <s v="To retaliate means to get back at someone, usually through a counterattack"/>
        <s v="1. If you undercut someone or undercut their prices, you sell a product more cheaply than they do. _x000a_2. If your attempts to achieve something are undercut by something, that thing prevents your attempts from being effective. "/>
        <s v="Someone who is adept at something can do it skilfully. "/>
        <s v="Someone who is affable is pleasant and friendly. "/>
        <s v="1. Buttresses are supports, usually made of stone or brick, that support a wall. _x000a_2. To buttress an argument, system, or person means to give them support and strength. "/>
        <s v="The cessation of something is the stopping of it. "/>
        <s v="If you champion (/you are a champion of) a person, a cause, or a principle, you support or defend them. "/>
        <s v="1. &quot;decipher the code&quot; (communication system)_x000a_2. &quot;Indian Penal Code&quot;, &quot;bro code&quot;, &quot;moral code&quot; (Rules)"/>
        <s v="careful about what one says or does; prudent; esp., keeping silent or preserving confidences when necessary"/>
        <s v="When you're disgusted by something, or simply dislike it, you have a distaste for it. You might have such a distaste for the smell of meat cooking that you only go to vegetarian restaurants."/>
        <s v="someone who believes that some things should be controlled or owned only by the richest or best educated people;_x000a_snob"/>
        <s v="When you evade something, you escape it."/>
        <s v="To exonerate someone is to declare him not guilty of criminal charges. This word is pretty much only used in reference to proceedings in a court of law. A word with a similar meaning that might be familiar is “acquit.”"/>
        <s v="Someone who is haughty is arrogant and full of pride. When you're haughty, you have a big attitude and act like you're better than other people."/>
        <s v="When you impair something, you damage it or make it work poorly."/>
        <s v="Something that is yours forever, that can’t be taken away and given to your little brother instead? That something would be called inalienable. The word refers to a natural right that cannot be revoked by an outside force."/>
        <s v="1. Intrigue is the making of secret plans to harm or deceive people. _x000a_2. If something, especially something strange, intrigues you, it interests you and you want to know more about it. "/>
        <s v="having merit; deserving reward, praise, etc."/>
        <s v="1. dark and dirty/cloudy or difficult to see through_x000a_2. used to describe a situation that is complicated and unpleasant, and about which many facts are not clear"/>
        <s v="Nascent things or processes are just beginning, and are expected to become stronger or to grow bigger. Ex: &quot;nascent civilization&quot;"/>
        <s v="When you're restless, you find it hard to sit still or concentrate on anything"/>
        <s v="Something that is showy is very noticeable because it is large, colourful, or bright. "/>
        <s v="1. If you are stunned by something, you are extremely shocked or surprised by it and are therefore unable to speak or do anything. _x000a_2. If something such as a blow on the head stuns you, it makes you unconscious or confused and unsteady. "/>
        <s v="Subversion is the attempt to weaken or destroy a political system or a government. "/>
        <s v="An anecdote is a short, amusing account of something that has happened. "/>
        <s v="bragger"/>
        <s v="If you commiserate with someone, you show them pity or sympathy when something unpleasant has happened to them. "/>
        <s v="If you impede someone or something, you make their movement, development, or progress difficult. "/>
        <s v="Something that is pertinent is relevant to a particular subject. "/>
        <s v="If you describe someone's ideas or plans as quixotic, you mean that they are imaginative or hopeful but unrealistic"/>
        <s v="You ramble when your talking or your walking goes on and on and on. And on. You’re in no hurry to make a point or get to your destination — if there is one at all."/>
        <s v="Rudimentary means basic, or at a very early stage. &quot;The test should be easy: it requires only a rudimentary understanding of the materials.&quot;"/>
        <s v="A fact or situation that is self-evident is so obvious that there is no need for proof or explanation. "/>
        <s v="reckless; rash"/>
        <s v="If you describe someone as tyrannical, you mean that they are severe or unfair towards the people that they have authority over. "/>
        <s v="If one person colludes with another, they co-operate with them secretly or illegally. "/>
        <s v="When you deify someone, you're treating them like a god."/>
        <s v="If two or more things are interwoven or interweave, they are very closely connected or are combined with each other. "/>
        <s v="Something that is marketable is able to be sold because people want to buy it. "/>
        <s v="1. Opulent things or places look grand and expensive. _x000a_2. Opulent people are very wealthy and spend a lot of money. "/>
        <s v="If you describe something as outdated, you mean that you think it is old-fashioned and no longer useful or relevant to modern life. "/>
        <s v="1. If something was prophetic, it described or suggested something that did actually happen later. _x000a_2. Prophetic means related to a prophecy or a prophet. "/>
        <s v="A surreptitious action is done secretly. "/>
        <s v="1. relating to practical matters or physical things, rather than spiritual ones_x000a_2. relating to the temple (= the side of the head behind the eyes) or the temporal bone of the skull beneath the temple_x000a_3. relating to time"/>
        <s v="If you say that a person takes umbrage, you mean that they are upset or offended by something that someone says or does to them, often without much reason. "/>
        <s v="Waning can be used for anything that diminishes, like the brightness of the sunlight in the late afternoon, your interest in cartoons, or your influence over your teenage daughter's fashion choices."/>
        <s v="If you do something with alacrity, you do it quickly and eagerly. "/>
        <s v="enthusiastic/eager"/>
        <s v="Something that is counterproductive achieves the opposite result from the one that you want to achieve. "/>
        <s v="To dispense means to give out or distribute something. A school nurse can dispense students' medication and we all can dispense advice."/>
        <s v="Something that is equitable is fair and reasonable in a way that gives equal treatment to everyone. "/>
        <s v="1. Fawn is a pale yellowish-brown colour. _x000a_2. A fawn is a very young deer. _x000a_3. If you say that someone fawns over a powerful or rich person, you disapprove of them because they flatter that person and like to be with him or her. "/>
        <s v="1. Fraught means filled with something — often something bad. Your Thanksgiving was fraught with awkward moments when your family saw your blue hair, and it only got worse when you told them you'd quit law school to join the circus._x000a_2. Fraught can also de"/>
        <s v="If you talk about someone's indiscretion, you mean that they have done or said something that is risky, careless, or likely to upset people. "/>
        <s v="Whenever you see the prefix &quot;mal-,&quot; you know it's not good. Malfeasance is bad behavior, especially from officials or people who should know better."/>
        <s v="1. A person is modest if he or she is very successful but does not call attention to this._x000a_2. Modest generally means &quot;big enough but not huge&quot; — like a modest house or a modest income."/>
        <s v="Someone or something that is persuasive is likely to persuade a person to believe or do a particular thing. "/>
        <s v="1. If something is pliant, you can bend it easily without breaking it. _x000a_2. A pliant person can be easily influenced and controlled by other people. "/>
        <s v="Sloth is laziness, especially with regard to work. "/>
        <s v="1. (of a disease) dangerous and spreading quickly, or (of poison) having an effect very quickly_x000a_2. fierce and full of hate"/>
        <s v="to agree or consent quietly without protest, but without enthusiasm"/>
        <s v="Something that is amorphous has no clear shape or structure. "/>
        <s v="1. A blemish is a small mark on something that spoils its appearance_x000a_2. A blemish on something is a small fault in it_x000a_3. If something blemishes someone's character or reputation, it spoils it or makes it seem less good than it was in the past"/>
        <s v="the attribute of being brief; The brevity of something is the fact that it is short or lasts for only a short time. "/>
        <s v="If you demystify something, you make it easier to understand by giving a clear explanation of it. "/>
        <s v="1. If a person dupes you, they trick you into doing something or into believing something which is not true_x000a_2. A dupe is someone who is tricked by someone else"/>
        <s v="1. the act of describing something in a way that makes it seem better or more important than it really is_x000a_2. the act of praising and honouring God or a person"/>
        <s v="If you're headstrong, you want to do what you want to do"/>
        <s v="Lassitude is a state of tiredness, laziness, or lack of interest. "/>
        <s v="1. If something is so new and original that it's never been seen, used or even thought of before, call it novel. Ex: novel idea, novel virus_x000a_2. The noun novel describes a book-length work of fiction."/>
        <s v="If you scrutinize something, you examine it very carefully, often to find out some information from it or about it. "/>
        <s v="Being chary (pronounced CHAIR-ee) is being wary or cautious. If you lost two teeth in last year’s rugby season, you should be chary of signing up again this year."/>
        <s v="To constrain someone or something means to limit their development or force them to behave in a particular way. "/>
        <s v="A cursory glance or examination is a brief one in which you do not pay much attention to detail. "/>
        <s v="An eclectic collection of objects, ideas, or beliefs is wide-ranging and comes from many different sources. "/>
        <s v="If there is an inexhaustible supply of something, there is so much of it that it cannot all be used up. "/>
        <s v="Lofty is a good word for describing something that's high above the ground, or someone who acts like she's high above everyone else."/>
        <s v="When you make something young again or give it more life and energy, you rejuvenate it. For example, you can often rejuvenate a not-quite-dead plant, bringing it back to health with some water and some TLC."/>
        <s v="If you relinquish something such as power or control, you give it up. "/>
        <s v="If you describe someone as a zealot, you think that their views and actions are very extreme, especially in following a particular political or religious belief"/>
        <s v="1. The zenith is the point at which the sun or moon is directly above you and seems to be at its highest_x000a_2. The zenith of something is the time when it is most successful or powerful"/>
        <s v="1. If people agitate for something, they protest or take part in political activity in order to get it_x000a_2. If you agitate something, you shake it so that it moves about_x000a_3. If something agitates you, it worries you and makes you unable to think clearly or c"/>
        <s v="1. Blight is a disease which makes plants dry up and die_x000a_2. You can refer to something as a blight when it causes great difficulties, and damages or spoils other things_x000a_3. If something blights your life or your hopes, it damages and spoils them. If someth"/>
        <s v="Buoyancy is a quality that makes things float in water. It's also a type of happiness: if you're full of buoyancy, your mood is light and happy."/>
        <s v="If you capitulate, you stop resisting and do what someone else wants you to do. "/>
        <s v="If someone tends to be hypercritical and finds fault with everything, you can describe that person as captious."/>
        <s v="1. a loose outer piece of clothing without sleeves, that fastens at the neck, and is worn instead of a coat_x000a_2. something that hides, covers, or keeps something else secret: _x000a_3. to cover or hide something: "/>
        <s v="1. A cosmopolitan place or society is full of people from many different countries and cultures. _x000a_2. Someone who is cosmopolitan has had a lot of contact with people and things from many different countries and as a result is very open to different ideas "/>
        <s v="Something that is detrimental to something else has a harmful or damaging effect on it"/>
        <s v="1. Something that is economical does not require a lot of money to operate. For example a car that only uses a small amount of petrol is economical. _x000a_2. Someone who is economical spends money sensibly and does not want to waste it on things that are unnec"/>
        <s v="especially of a disease or a condition, regularly found and very common among a particular group or in a particular area"/>
        <s v="If something is feasible, it can be done, made, or achieved. "/>
        <s v="If you describe a remark or idea as felicitous, you approve of it because it seems particularly suitable in the circumstances. "/>
        <s v="The juxtaposition of two contrasting objects, images, or ideas is the fact that they are placed together or described together, so that the differences between them are emphasized. "/>
        <s v="1. Your kindred are your family, and all the people who are related to you_x000a_2. Kindred things are similar to each other"/>
        <s v="1. If you lament something, you express your sadness, regret, or disappointment about it. _x000a_2. Someone's lament is an expression of their sadness, regret, or disappointment about something. _x000a_3. A lament is a poem, song, or piece of music which expresses so"/>
        <s v="Nonintervention is the practice or policy of not becoming involved in a dispute or disagreement between other people and of not helping either side. "/>
        <s v="If an idea, system, or organization ossifies or if something ossifies it, it becomes fixed and difficult to change. "/>
        <s v="If you say that someone is overstating something, you mean they are describing it in a way that makes it seem more important or serious than it really is. "/>
        <s v="a model of something, or a very clear and typical example of something"/>
        <s v="an uncomfortable feeling of doubt about whether you are doing the right thing"/>
        <s v="If you squander money, resources, or opportunities, you waste them. "/>
        <s v="1. If someone or something is acclaimed, they are praised enthusiastically. _x000a_2. Acclaim is public praise for someone or something. "/>
        <s v="extreme admiration or praise"/>
        <s v="1. providing psychological relief through the open expression of strong emotions; causing catharsis_x000a_2. purgative/laxative"/>
        <s v="(used esp of a person's appearance or clothes) not stylish or fashionable"/>
        <s v="humorous, especially in an unusual way"/>
        <s v="The verb expatiate means &quot;to add details to in order to clear up.&quot; If your story is confusing to everyone who hears it, certain key parts must be missing. Better expatiate so that people can understand it."/>
        <s v="If you say that someone has shown fortitude, you admire them for being brave, calm, and uncomplaining when they have experienced something unpleasant or painful. "/>
        <s v="If you are vilified by someone, they say or write very unpleasant things about you, so that people will have a low opinion of you. "/>
        <s v="To enfeeble is to make someone or something very weak or fragile. Your governor's budget cuts might enfeeble the state's public school system."/>
        <s v="If you describe something such as a price or fee as exorbitant, you are emphasizing that it is much greater than it should be. "/>
        <s v="A goad is a pointy stick or other instrument used to prod something along. To goad is to poke something with that pointy stick. Literally or figuratively, a goad prods and pokes and provokes people into doing something. A sheep herder might hustle his flo"/>
        <s v="very small and therefore not important or not worth considering"/>
        <s v="1. A malignant tumour or disease is out of control and likely to cause death. _x000a_2. If you say that someone is malignant, you think they are cruel and like to cause harm. "/>
        <s v="Mawkish means excessively sentimental or so sappy it's sickening. Which is how you'd describe two lovebirds gushing over each other or your grandma’s cooing and cheek pinches."/>
        <s v="Something that is mundane is very ordinary and not at all interesting or unusual"/>
        <s v="If you describe someone as obdurate, you think that they are being unreasonable in their refusal to change their decision or opinion. "/>
        <s v="1. If you are obliged to do something, a situation, rule, or law makes it necessary for you to do that thing_x000a_2. To oblige someone means to be helpful to them by doing what they have asked you to do"/>
        <s v="1. to advertise, talk about, or praise something or someone repeatedly, especially as a way of encouraging people to like, accept, or buy something_x000a_2. to repeatedly try to persuade people to buy your goods or services_x000a_3. to sell tickets for something such"/>
        <s v="not reduced or lessened"/>
        <s v="1. If you abstain from something, usually something you want to do, you deliberately do not do it. _x000a_2. If you abstain during a vote, you do not use your vote. "/>
        <s v="unfavourable"/>
        <s v="Something that's ahistorical completely ignores or disregards the history or tradition that came before it. An ahistorical review of a movie would leave out any references to influential films and directors."/>
        <s v="Something that is arduous is difficult and tiring, and involves a lot of effort"/>
        <s v="1. If you describe something as austere, you approve of its plain and simple appearance. _x000a_2. If you describe someone as austere, you disapprove of them because they are strict and serious. _x000a_3. An austere way of life is one that is simple and without luxur"/>
        <s v="Autonomous describes things that function separately or independently. Once you move out of your parents' house and get your own job, you will be an autonomous member of the family."/>
        <s v="1. A bridle is a set of straps that is put around a horse's head and mouth so that the person riding or driving the horse can control it. _x000a_2. If you bridle, you show that you are angry or offended by moving your head and body upwards in a proud way. "/>
        <s v="A canny person is clever and able to think quickly. You can also describe a person's behaviour as canny. "/>
        <s v="If you say that someone is condescending, you are showing your disapproval of the fact that they talk or behave in a way which shows that they think they are superior to other people. "/>
        <s v="If something disconcerts you, it makes you feel suddenly disturbed or worried"/>
        <s v="Draconian laws or measures are extremely harsh and severe. "/>
        <s v="Something that is evanescent gradually disappears from sight or memory. "/>
        <s v="needing urgent attention, or demanding too much from other people"/>
        <s v="If you describe someone as farsighted, you admire them because they understand what is likely to happen in the future, and therefore make wise decisions and plans"/>
        <s v="Someone who instigates an event causes it to happen. "/>
        <s v="If you refer to someone as a luminary, you mean that they are an expert in a particular subject or activity. "/>
        <s v="1. A mercenary is a soldier who is paid to fight by a country or group that they do not belong to_x000a_2. If you describe someone as mercenary, you are criticizing them because you think that they are only interested in the money that they can get from a parti"/>
        <s v="If you are mystified by something, you find it impossible to explain or understand. "/>
        <s v="1. You use scant to indicate that there is very little of something or not as much of something as there should be. _x000a_2. If you describe an amount as scant, you are emphasizing that it is small. "/>
        <s v="Affluence is the state of having a lot of money or a high standard of living. "/>
        <s v="An avaricious person is very greedy for money or possessions. "/>
        <s v="Anything related to office work is called clerical, especially the more menial and boring jobs such as filing and administration. "/>
        <s v="1. If something is commonplace, it happens often or is often found, and is therefore not surprising. _x000a_2. A commonplace is something that happens often or is often found. _x000a_3. A commonplace is a remark or opinion that is often expressed and is therefore not"/>
        <s v="To do something under duress means to do it because someone forces you to do it or threatens you"/>
        <s v="Something or someone that is elusive is difficult to find, describe, remember, or achieve. "/>
        <s v="to take control or possession of something in a gradual way and often without being noticed"/>
        <s v="A factious group is one that breaks away, or wants to_x000a_Faction: a small group of people within a larger one, whose members have some different aims and beliefs to those of the larger group"/>
        <s v="If you say that someone is implacable, you mean that they have very strong feelings of hostility or disapproval which nobody can change. "/>
        <s v="Incontrovertible evidence or facts are absolutely certain and cannot be shown to be wrong. "/>
        <s v="If you say that someone is being insolent, you mean they are being rude to someone they ought to be respectful to. "/>
        <s v="The adjective invidious is used to describe an act, thought, opinion or critique that is full of ill will or prejudice. When the captain of a cheerleading squad says nasty things about an opposing cheer team's skills, work ethic, and uniforms, those are i"/>
        <s v="Irrefutable evidence, statements, or arguments cannot be shown to be incorrect or unsatisfactory. "/>
        <s v="You describe something such as an event or story as macabre when it is strange and horrible or upsetting, usually because it involves death or injury. "/>
        <s v="If one thing outstrips another, the first thing becomes larger in amount, or more successful or important, than the second thing. "/>
        <s v="1. When a substance is refined, it is made pure by having all other substances removed from it. _x000a_2. If something such as a process, theory, or machine is refined, it is improved by having small changes made to it. "/>
        <s v="If an action or event has repercussions, it causes unpleasant things to happen some time after the original action or event. "/>
        <s v="Salubrious is a fancy way to describe something that’s good for you or is generally favorable to mind or body, but it need not be limited to describing healthy foods or liquids."/>
        <s v="If land is uncultivated, there are no crops growing on it. "/>
        <s v="If you describe a place, person, or thing as unpretentious, you approve of them because they are simple in appearance or character, rather than sophisticated or luxurious. "/>
        <s v="If you find something or someone wanting, they are not of as high a standard as you think they should be. [they lack something necessary]"/>
        <s v="unclear because it can be understood in more than one way"/>
        <s v="1. the distant past (= a long time ago), especially before the sixth century_x000a_2. an object that was created a very long time ago"/>
        <s v="To bolster is to support or strengthen._x000a__x000a_A bolster is also the name of a long pillow you might use to make your back feel better."/>
        <s v="using cleverness to cheat people"/>
        <s v="Empirical evidence or study relies on practical experience rather than theories"/>
        <s v="A problem that is insurmountable is so great that it cannot be dealt with successfully. "/>
        <s v="1. Obeisance to someone or something is great respect shown for them. _x000a_2. An obeisance is a physical gesture, especially a bow, that you make in order to show your respect for someone or something. "/>
        <s v="Opportunism is taking advantage of situations and people in a self-centered way, without regard to the consequences."/>
        <s v="1. If someone has poise, they are calm, dignified, and self-controlled. _x000a_2. Poise is a graceful, very controlled way of standing and moving. "/>
        <s v="A populous country or area has a lot of people living in it. "/>
        <s v="Something that is unadorned is plain, rather than having decoration on it. "/>
        <s v="1. If a place or building is accessible to people, it is easy for them to reach it or get into it. If an object is accessible, it is easy to reach. _x000a_2. If something is accessible to people, they can easily use it or obtain it. _x000a_3. If you describe a book, "/>
        <s v="An anachronism is something that doesn't fit its time period, like if you say you'll &quot;dial&quot; your smartphone."/>
        <s v="Someone who is artless is simple and honest, and does not think of deceiving other people. "/>
        <s v="If you are cogitating, you are thinking deeply about something. "/>
        <s v="When you want to describe something that includes all or most details, you can use the adjective comprehensive. If you get the comprehensive treatment at a spa, it might include massage, manicure and a facial."/>
        <s v="1. Someone who is conventional has behaviour or opinions that are ordinary and normal. _x000a_2. A conventional method or product is one that is usually used or that has been in use for a long time. _x000a_3. Conventional weapons and wars do not involve nuclear explo"/>
        <s v="If there is a dearth of something, there is not enough of it. "/>
        <s v="1. If you denounce a person or an action, you criticize them severely and publicly because you feel strongly that they are wrong or evil. _x000a_2. If you denounce someone who has broken a rule or law, you report them to the authorities. "/>
        <s v="(of a person or a group) strongly expressing your beliefs as if they were facts"/>
        <s v="If you are euphoric, you feel intense happiness and excitement"/>
        <s v="1. If you describe someone's behaviour as a mask, you mean that they do not show their real feelings or character. _x000a_2. If you mask your feelings, you deliberately do not show them in your behaviour, so that people cannot know what you really feel. _x000a_3. If "/>
        <s v="1. If you pacify someone who is angry, upset, or not pleased, you succeed in making them calm or pleased. _x000a_2. If the army or the police pacify a group of people, they use force to overcome their resistance or protests. "/>
        <s v="Someone who is petulant is unreasonably angry and upset in a childish way. "/>
        <s v="When you premeditate, you are planning ahead"/>
        <s v="apparently correct or true, but actually wrong or false"/>
        <s v="If a liquid is dark and murky and you can't see through it, it's turbid. It’s usually used as a criticism — a turbid river is generally a polluted one, but then again a good pint of real ale should be turbid. If your teacher says your essay for English is"/>
        <s v="If something such as food or drink is adulterated, someone has made its quality worse by adding water or cheaper products to it"/>
        <s v="Ardent is used to describe someone who has extremely strong feelings about something or someone. _x000a_&quot;ardent supporter&quot;, &quot;ardent opponent&quot;"/>
        <s v="If you deride someone or something, you say that they are stupid or have no value. "/>
        <s v="A garrulous person just won’t stop talking (and talking, and talking, and talking...)"/>
        <s v="the state or quality of being partial; tendency to favor unfairly; bias"/>
        <s v="Someone's prowess is their great skill at doing something. "/>
        <s v="1. To stimulate something means to encourage it to begin or develop further. _x000a_2. If you are stimulated by something, it makes you feel full of ideas and enthusiasm. _x000a_3. If something stimulates a part of a person's body, it causes it to move or start worki"/>
        <s v="Anything superficial has to do with the surface of something. If you're judging a book by its cover, you're being superficial. People who worry too much about their clothes and hair may also be considered superficial. Superficial can have a negative flavo"/>
        <s v="to report fewer than the actual number or less than the true amount of "/>
        <s v="If one thing is analogous to another, the two things are similar in some way. "/>
        <s v="A congenial person, place, or environment is pleasant. Congenial means sharing the same temperament, or agreeing with your temperament. "/>
        <s v="1. If two or more people or groups conspire to do something illegal or harmful, they make a secret agreement to do it. _x000a_2. If events conspire to produce a particular result, they seem to work together to cause this result. "/>
        <s v="to make timid and submissive by filling with fear or awe; intimidate"/>
        <s v="If you describe something as ephemeral, you mean that it lasts only for a very short time. "/>
        <s v="an inoffensive word or phrase substituted for one considered offensive or hurtful, esp one concerned with religion, sex, death, or excreta. Examples of euphemisms are sleep with for have sexual intercourse with; departed for dead; relieve oneself for urin"/>
        <s v="1. If a possible or expected event does not materialize, it does not happen. _x000a_2. If a person or thing materializes, they suddenly appear, after they have been invisible or in another place. "/>
        <s v="If you describe someone as mercurial, you mean that they frequently change their mind or mood without warning. "/>
        <s v="If you're spirited and brave, you're mettlesome. It takes a mettlesome person to hike the Appalachian Trail all alone."/>
        <s v="imitate (v), imitator (n)"/>
        <s v="If you describe someone as obsequious, you are criticizing them because they are too eager to help or agree with someone more important than them. "/>
        <s v="1. If you replicate someone's experiment, work, or research, you do it yourself in exactly the same way. _x000a_2. If a molecule replicates, it divides into smaller molecules which are exact copies of itself. "/>
        <s v="1. Abreast means side by side; &quot;...or them to walk abreast&quot;, &quot;As he drew abreast of the man he pretended to stumble&quot;_x000a_2. Abreast can also mean &quot;informed or up-to-date.&quot; If you're a big fan of comics, you probably keep abreast of all the latest publications"/>
        <s v="a criticism, suggestion, or remark that damages another person's reputation"/>
        <s v="You know that vinegar-like liquid teens put on their faces in order to tighten their pores and dry up their pimples? That's astringent. An astringent personality, on the other hand, is perceived as bitter and perhaps even a bit toxic."/>
        <s v="When something balloons, it increases rapidly in amount. "/>
        <s v="1. Banter is teasing or joking talk that is amusing and friendly_x000a_2. banter &quot;with&quot; someone"/>
        <s v="using or characterized by high-sounding but unimportant or meaningless language"/>
        <s v="If you are circumspect, you are cautious in what you do and say and do not take risks. "/>
        <s v="A contretemps is a small disagreement that is rather embarrassing. "/>
        <s v="1. If you describe someone as cynical, you mean they believe that people always act selfishly_x000a_2. If you are cynical about something, you do not believe that it can be successful or that the people involved are honest"/>
        <s v="To debase something means to reduce its value or quality_x000a_&quot;Politicians have debased the meaning of the word 'freedom'&quot;"/>
        <s v="quick and neat in movement; nimble; dexterous"/>
        <s v="Distort means to twist out of shape._x000a__x000a_When one distorts the truth, it might not be an out-and-out lie; it could just be an exaggeration — like telling your pals you caught a six-foot tuna when you actually landed a six-inch minnow."/>
        <s v="To exorcise is to cast out a devil or evil spirit, using prayer and other religious tools."/>
        <s v="If you describe something as illusory, you mean that although it seems true or possible, it is in fact false or impossible. "/>
        <s v="1. A malady is an illness or disease. _x000a_2. In written English, people sometimes use maladies to refer to serious problems in a society or situation. "/>
        <s v="If your friend is acting cool, unconcerned or in an indifferent manner, call him nonchalant — like when he saunters by a group of whispering, giggling girls and just nods and says, &quot;Hey.&quot;"/>
        <s v="betrayal of a trust (ನಂಬಿಕೆ ದ್ರೋಹ)"/>
        <s v="Redemption is the buying back of something. You might try for redemption by attempting to buy back a bike you sold, or you might attempt to buy back your soul after you steal someone else’s bike."/>
        <s v="Remote describes something far, far away, like a campsite way out in the woods, a distant planet, or the chance you'll win the lottery."/>
        <s v="1. When animals ruminate, they bring food back from their stomach into their mouth and chew it again. _x000a_2. If you ruminate on something, you think about it very carefully. "/>
        <s v="1. To synthesize a substance means to produce it by means of chemical or biological reactions. _x000a_2. If you synthesize different ideas, facts, or experiences, you combine them to form a single idea or impression. "/>
        <s v="Someone or something that is atypical is not typical of its kind. "/>
        <s v="Belligerence is a natural disposition to be hostile or aggressive, or a warlike attitude. The belligerence of Roman gladiators made them excel in battle and instilled fear in their opponents."/>
        <s v="If someone condones behaviour that is morally wrong, they accept it and allow it to happen. "/>
        <s v="1. If someone harangues you, they try to persuade you to accept their opinions or ideas in a forceful way_x000a_2. A harangue is a long, forceful speech that someone makes to try and persuade other people to accept their opinions"/>
        <s v="If you say that someone is inept, you are criticizing them because they do something with a complete lack of skill. "/>
        <s v="1. used to refer to the part of the work of teachers and priests that involves giving help and advice about personal matters: _x000a_2. A pastoral piece of art, writing, or music represents the pleasant and traditional features of the countryside"/>
        <s v="If you say that there is a paucity of something, you mean that there is not enough of it. "/>
        <s v="1. If you describe something as plastic, you mean that you think it looks or tastes unnatural or not real. _x000a_2. If you use plastic or plastic money to pay for something, you pay for it with a credit card instead of using cash. _x000a_3. Something that is plastic"/>
        <s v="ordinary; recurring everyday"/>
        <s v="1. If someone in authority sanctions an action or practice, they officially approve of it and allow it to be done. _x000a_2. Sanctions are measures taken by countries to restrict trade and official contact with a country that has broken international law. _x000a_3. A"/>
        <s v="1. If people scuffle, they fight for a short time in a disorganized way_x000a_2. A scuffle is a short, disorganized fight or struggle"/>
        <s v="lacking tact;_x000a_tact: Tact is the ability to avoid upsetting or offending people by being careful not to say or do things that would hurt their feelings. "/>
        <s v="Tangential describes something that's not part of the whole. If you make a comment that is tangential to the story you're telling, it's a digression. The story could still be understood without it."/>
        <s v="If you have tenacity, you are very determined and do not give up easily. "/>
        <s v="When something is tendentious, it shows a bias towards a particular point of view, especially one that people disagree about"/>
        <s v="1. Something that's terrific is wonderful, like a terrific concert you'll never forget. _x000a_2. Terrific can also describe something very intense, like a terrific thunderstorm."/>
        <s v="Torpor is the state of being completely inactive mentally or physically, for example because of illness or laziness. "/>
        <s v="If you say that something is transitory, you mean that it lasts only for a short time. "/>
        <s v="If you vacillate between two alternatives or choices, you keep changing your mind. "/>
        <s v="hostile, opposed, resistant, at odds"/>
        <s v="Something apposite is fitting or relevant. It is apposite that radio stations play Christmas carols on Christmas Eve, and that your tax accountant takes vacation after April 15th. It all makes sense."/>
        <s v="a pretentious, swaggering display of courage"/>
        <s v="Candor is the quality of speaking honestly and openly about things. "/>
        <s v="1. A conviction is a strong belief or opinion_x000a_2. If someone has a conviction, they have been found guilty of a crime in a court of law"/>
        <s v="1. If one country or group of countries imposes an embargo against another, it forbids trade with that country. _x000a_2. If goods of a particular kind are embargoed, people are not allowed to import them from a particular country or export them to a particular"/>
        <s v="&quot;Fallible&quot; means capable of making mistakes — or, easier to remember — capable of failing. Infallible means exactly the opposite — incapable of failing. _x000a__x000a_If a person or thing is infallible, they are never wrong. "/>
        <s v="A propensity to do something or a propensity for something is a natural tendency that you have to behave in a particular way. "/>
        <s v="1. open, unfasten_x000a_2. reverse_x000a_3. ruin, destroy"/>
        <s v="_x000a_not capable of being quantified"/>
        <s v="Zeal is great enthusiasm, especially in connection with work, religion, or politics"/>
        <s v="To attenuate something means to reduce it or weaken it"/>
        <s v="1. bearing on something: the way in which something is related to something or influences it_x000a_2. the way in which you stand, walk or behave_x000a_&quot;She had a proud, distinguished bearing&quot;_x000a_3. an exact position, measured clockwise (= to the right) from north. Beari"/>
        <s v="To bias someone means to influence them in favour of a particular choice"/>
        <s v="If something burgeons, it grows or develops rapidly. "/>
        <s v="Discord is disagreement and argument between people. "/>
        <s v="If you discount an idea, fact, or theory, you consider that it is not true, not important, or not relevant. "/>
        <s v="When you palliate something, you try to make something less bad. _x000a__x000a_Palliate doesn’t mean “cure” or “solve.” Instead, something that palliates relieves the symptoms or consequences of something, without addressing the underlying cause. Your dentist might g"/>
        <s v="Perseverance is the quality of continuing with something even though it is difficult. "/>
        <s v="A vivacious person, especially a woman or girl, is attractively energetic and enthusiastic"/>
        <s v="If something bad or undesirable abates, it becomes much less strong or severe. "/>
        <s v="1. To anoint someone means to put oil or water on a part of their body, usually for religious reasons. _x000a_2. If a person in a position of authority anoints someone, they choose them to do a particular important job. "/>
        <s v="1. A clumsy person moves or handles things in a careless, awkward way, often so that things are knocked over or broken_x000a_2. A clumsy action or statement is not skilful or is likely to upset people_x000a_3. An object that is clumsy is not neat in design or appeara"/>
        <s v="The noun comity means a state of civility or courtesy between people, organizations, and nations. It's a hoped-for mutual respect and friendliness, although too infrequently the case in politics and business."/>
        <s v="1. Counterfeit money, goods, or documents are not genuine, but have been made to look exactly like genuine ones in order to deceive people. _x000a_2. If someone counterfeits something, they make a version of it that is not genuine but has been made to look genu"/>
        <s v="If you describe someone as feckless, you mean that they lack determination or strength, and are unable to do anything properly. "/>
        <s v="If one thing presupposes another, the first thing cannot be true or exist unless the second thing is true or exists. "/>
        <s v="1. If something is done with rigour, it is done in a strict, thorough way_x000a_2. If you refer to the rigours of an activity or job, you mean the difficult, demanding, or unpleasant things that are associated with it"/>
        <s v="A tirade is a long angry speech in which someone criticizes a person or thing. "/>
        <s v="If you describe a person as unscrupulous, you are critical of the fact that they are prepared to act in a dishonest or immoral way in order to get what they want. "/>
        <s v="Valor is great bravery, especially in battle. "/>
        <s v="If you describe someone as vociferous, you mean that they speak with great energy and determination, because they want their views to be heard. "/>
        <s v="Because an adherent is usually something or someone that sticks to something or someone else, it's logical that it can also mean a person who believes in and supports a certain philosophy or leader."/>
        <s v="You say that something is anachronistic when you think that it is out of date or old-fashioned. "/>
        <s v="Animosity is a strong feeling of dislike and anger."/>
        <s v="If you aver that something is the case, you say very firmly that it is true"/>
        <s v="A cogent reason, argument, or example is strong and convincing. "/>
        <s v="If a situation or agreement is conditional on something, it will only happen or continue if this thing happens. "/>
        <s v="someone/something who/that is the reason for something bad happening"/>
        <s v="1. Manacles are metal devices attached to a prisoner's wrists or legs in order to prevent him or her from moving or escaping. _x000a_2. If a prisoner is manacled, their wrists or legs are put in manacles in order to prevent them from moving or escaping. "/>
        <s v="Opprobrium is open criticism or disapproval of something that someone has done. "/>
        <s v="1. overturn: quash something (law): to officially say that a decision made by a court is no longer legally acceptable or correct_x000a_2. suppress: quash something: to take action to stop something from continuing"/>
        <s v="A rapprochement is an increase in friendliness between two countries, groups, or people, especially after a period of unfriendliness. "/>
        <s v="same as stoical; not showing or not feeling any emotion, esp. in a situation in which the expression of emotion is expected"/>
        <s v="If something is tempting, it makes you want to do it or have it. "/>
        <s v="1. A tortuous road is full of bends and twists. _x000a_2. A tortuous process or piece of writing is very long and complicated. "/>
        <s v="not likely to arouse controversy;_x000a_A controversy is a dispute or argument in which people express strong opposing views."/>
        <s v="1. Someone who is aloof is not very friendly and does not like to spend time with other people_x000a_2. If someone stays aloof from something, they do not become involved with it"/>
        <s v="If something or someone astonishes you, they surprise you very much"/>
        <s v="If you brandish something, especially a weapon, you wave it in a threatening or excited way"/>
        <s v="1. A contingent of police, soldiers, or military vehicles is a group of them. _x000a_2. A contingent is a group of people representing a country or organization at a meeting or other event. _x000a_3. If something is contingent on something else, the first thing depen"/>
        <s v="1. If you delineate something, you outline/describe/define it, often in a lot of detail_x000a_2. If you delineate a border, you say exactly where it is going to be"/>
        <s v="A dilemma is a difficult situation in which you have to choose between two or more alternatives. "/>
        <s v="1. When something disperses or when you disperse it, it spreads over a wide area. _x000a_2. When a group of people disperses or when someone disperses them, the group splits up and the people leave in different directions. "/>
        <s v="When soil or land erodes, it wears away or is removed. Many beaches seem to get smaller and smaller, as the endless wash of the waves begins to erode the fine sand._x000a__x000a_While erode is most commonly used when describing land loss, you can also use it in less "/>
        <s v="1. If someone fabricates information, they invent it in order to deceive people. _x000a_2. If something is fabricated from different materials or substances, it is made out of those materials or substances. "/>
        <s v="1. a large piece of equipment that is pulled behind a tractor to break the earth into small pieces ready for planting_x000a_2. to cause mental distress to; torment; vex: &quot;harrowing footage&quot;"/>
        <s v="1. Something that is improbable is unlikely to be true or to happen. _x000a_2. If you describe something as improbable, you mean it is strange, unusual, or ridiculous. "/>
        <s v="Skulduggery is behaviour in which someone acts in a dishonest way in order to achieve their aim. "/>
        <s v="Strategic is a military word, relating to the careful plotting and planning necessary to win battles. But you don't need to be a general to think strategically. If you recruit your friends to talk you up to the girl you have a crush on, you're taking a st"/>
        <s v="An advocate is someone who supports a cause, like an advocate for outdoor recess. Advocate is also a verb meaning to speak in favor of, so you can advocate for that outdoor recess by urging your school to play outside!"/>
        <s v="If you are aghast, you are filled with horror and surprise"/>
        <s v="fake"/>
        <s v="To corroborate something that has been said or reported means to provide evidence or information that supports it. "/>
        <s v="If a ruler or political leader is deposed, they are forced to give up their position. "/>
        <s v="If there is a dichotomy between two things, there is a very great difference or opposition between them. "/>
        <s v="A disjunction is a broken connection. If you expect to be a doctor but you haven't taken any science courses since high school biology, you would have a disjunction between your expectations and your training."/>
        <s v="An exegesis is an explanation and interpretation of a piece of writing, especially a religious piece of writing, after very careful study"/>
        <s v="Someone's foresight is their ability to see what is likely to happen in the future and to take appropriate action"/>
        <s v="You use indefatigable to describe someone who never gets tired of doing something. "/>
        <s v="If you are nonplussed, you feel confused and unsure how to react. "/>
        <s v="1. Something noxious is harmful and could be even fatal_x000a_2. People are called noxious too when they hurt others with cruelty or mental anguish."/>
        <s v="If you describe something as pernicious, you mean that it is very harmful. "/>
        <s v="1. Profundity is great intellectual depth and understanding. _x000a_2. If you refer to the profundity of a feeling, experience, or change, you mean that it is deep, powerful, or serious. _x000a_3. A profundity is a remark that shows great intellectual depth and under"/>
        <s v="Prolix means using more words than necessary."/>
        <s v="1. If people promulgate a new law or a new idea, they make it widely known. _x000a_2. If a new law is promulgated by a government or national leader, it is publicly approved or made official. "/>
        <s v="1. lukewarm_x000a_2. half-hearted, unenthusiastic"/>
      </sharedItems>
    </cacheField>
    <cacheField name=" " numFmtId="0">
      <sharedItems containsString="0" containsBlank="1" containsNonDate="0" count="1">
        <m/>
      </sharedItems>
    </cacheField>
    <cacheField name="Pron" numFmtId="0">
      <sharedItems containsBlank="1" count="16">
        <m/>
        <s v="kæləmni"/>
        <s v="ʃoʊvɪnɪstɪk"/>
        <s v="ˈθwɔrtəd"/>
        <s v="grəˈtuədəs"/>
        <s v="trʌkjʊlənt"/>
        <s v="goʊʃ"/>
        <s v="flaʊt"/>
        <s v="neɪdər"/>
        <s v="ɪræsɪbəl"/>
        <s v="plæsɪd"/>
        <s v="kəˈdʒəʊl"/>
        <s v="ɒnwiː"/>
        <s v="əplɒm"/>
        <s v="/kwoʊˈtɪd.i.ən/"/>
        <s v="taɪreɪd"/>
      </sharedItems>
    </cacheField>
    <cacheField name="Mnemonics" numFmtId="0">
      <sharedItems containsBlank="1" count="12">
        <m/>
        <s v="co labor = work together"/>
        <s v="hyper bolna"/>
        <s v="Imagine a giraffe (gaffe) clumsily tripping and making a big scene"/>
        <s v="remember judgement"/>
        <s v="remember wander aimlessly"/>
        <s v="remember throwing a stone from a jetty"/>
        <s v="remember joke"/>
        <s v="think life with cows"/>
        <s v="melt+weld"/>
        <s v="roam aimlessly"/>
        <s v="instead of &quot;eww femme&quot;, lil flamboyant"/>
      </sharedItems>
    </cacheField>
    <cacheField name="Starts with" numFmtId="0">
      <sharedItems containsBlank="1" count="27">
        <s v="C"/>
        <s v="D"/>
        <s v="E"/>
        <s v="F"/>
        <s v="G"/>
        <s v="I"/>
        <s v="M"/>
        <s v="P"/>
        <s v="Q"/>
        <s v="S"/>
        <s v="T"/>
        <s v="A"/>
        <s v="B"/>
        <s v="R"/>
        <s v="U"/>
        <s v="V"/>
        <s v="N"/>
        <s v="H"/>
        <s v="O"/>
        <s v="J"/>
        <s v="W"/>
        <s v="X"/>
        <s v="L"/>
        <s v="Z"/>
        <s v="K"/>
        <s v="Y"/>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invalid="1" refreshOnLoad="1" refreshedVersion="5" refreshedDate="45586.002025463" refreshedBy="prana" recordCount="1544">
  <cacheSource type="worksheet">
    <worksheetSource ref="A1:M1545" sheet="Main"/>
  </cacheSource>
  <cacheFields count="13">
    <cacheField name="ID" numFmtId="0">
      <sharedItems containsSemiMixedTypes="0" containsString="0" containsNumber="1" containsInteger="1" minValue="1" maxValue="1544" count="1544">
        <n v="293"/>
        <n v="436"/>
        <n v="470"/>
        <n v="548"/>
        <n v="592"/>
        <n v="631"/>
        <n v="662"/>
        <n v="810"/>
        <n v="915"/>
        <n v="930"/>
        <n v="1088"/>
        <n v="1093"/>
        <n v="1154"/>
        <n v="1297"/>
        <n v="1387"/>
        <n v="37"/>
        <n v="66"/>
        <n v="200"/>
        <n v="227"/>
        <n v="267"/>
        <n v="358"/>
        <n v="448"/>
        <n v="612"/>
        <n v="625"/>
        <n v="1030"/>
        <n v="1056"/>
        <n v="1063"/>
        <n v="1092"/>
        <n v="9"/>
        <n v="97"/>
        <n v="130"/>
        <n v="189"/>
        <n v="229"/>
        <n v="272"/>
        <n v="546"/>
        <n v="585"/>
        <n v="605"/>
        <n v="924"/>
        <n v="1012"/>
        <n v="1065"/>
        <n v="1183"/>
        <n v="1323"/>
        <n v="1489"/>
        <n v="1506"/>
        <n v="14"/>
        <n v="142"/>
        <n v="218"/>
        <n v="228"/>
        <n v="376"/>
        <n v="473"/>
        <n v="511"/>
        <n v="560"/>
        <n v="721"/>
        <n v="722"/>
        <n v="731"/>
        <n v="743"/>
        <n v="771"/>
        <n v="782"/>
        <n v="829"/>
        <n v="1033"/>
        <n v="1043"/>
        <n v="1096"/>
        <n v="1123"/>
        <n v="1213"/>
        <n v="1240"/>
        <n v="1274"/>
        <n v="1406"/>
        <n v="1505"/>
        <n v="65"/>
        <n v="68"/>
        <n v="86"/>
        <n v="111"/>
        <n v="163"/>
        <n v="233"/>
        <n v="253"/>
        <n v="282"/>
        <n v="384"/>
        <n v="664"/>
        <n v="709"/>
        <n v="950"/>
        <n v="1029"/>
        <n v="1118"/>
        <n v="1353"/>
        <n v="1354"/>
        <n v="1428"/>
        <n v="4"/>
        <n v="117"/>
        <n v="275"/>
        <n v="367"/>
        <n v="417"/>
        <n v="483"/>
        <n v="651"/>
        <n v="670"/>
        <n v="671"/>
        <n v="696"/>
        <n v="879"/>
        <n v="974"/>
        <n v="978"/>
        <n v="983"/>
        <n v="1008"/>
        <n v="1019"/>
        <n v="1097"/>
        <n v="1144"/>
        <n v="1229"/>
        <n v="3"/>
        <n v="25"/>
        <n v="90"/>
        <n v="207"/>
        <n v="257"/>
        <n v="510"/>
        <n v="644"/>
        <n v="700"/>
        <n v="705"/>
        <n v="706"/>
        <n v="813"/>
        <n v="892"/>
        <n v="977"/>
        <n v="995"/>
        <n v="1039"/>
        <n v="1334"/>
        <n v="1358"/>
        <n v="1415"/>
        <n v="24"/>
        <n v="36"/>
        <n v="270"/>
        <n v="325"/>
        <n v="348"/>
        <n v="649"/>
        <n v="840"/>
        <n v="916"/>
        <n v="1036"/>
        <n v="1040"/>
        <n v="1206"/>
        <n v="1270"/>
        <n v="1340"/>
        <n v="1361"/>
        <n v="1431"/>
        <n v="1497"/>
        <n v="29"/>
        <n v="69"/>
        <n v="357"/>
        <n v="394"/>
        <n v="503"/>
        <n v="792"/>
        <n v="798"/>
        <n v="837"/>
        <n v="880"/>
        <n v="1156"/>
        <n v="1177"/>
        <n v="1283"/>
        <n v="1363"/>
        <n v="1377"/>
        <n v="1486"/>
        <n v="1510"/>
        <n v="110"/>
        <n v="144"/>
        <n v="198"/>
        <n v="355"/>
        <n v="469"/>
        <n v="479"/>
        <n v="554"/>
        <n v="753"/>
        <n v="764"/>
        <n v="775"/>
        <n v="790"/>
        <n v="809"/>
        <n v="1112"/>
        <n v="1160"/>
        <n v="1184"/>
        <n v="1188"/>
        <n v="1212"/>
        <n v="1339"/>
        <n v="1447"/>
        <n v="295"/>
        <n v="629"/>
        <n v="745"/>
        <n v="827"/>
        <n v="938"/>
        <n v="1054"/>
        <n v="1225"/>
        <n v="1302"/>
        <n v="1380"/>
        <n v="1381"/>
        <n v="1507"/>
        <n v="84"/>
        <n v="287"/>
        <n v="443"/>
        <n v="484"/>
        <n v="702"/>
        <n v="963"/>
        <n v="979"/>
        <n v="1351"/>
        <n v="1440"/>
        <n v="1465"/>
        <n v="1515"/>
        <n v="1529"/>
        <n v="79"/>
        <n v="186"/>
        <n v="308"/>
        <n v="373"/>
        <n v="495"/>
        <n v="516"/>
        <n v="542"/>
        <n v="636"/>
        <n v="944"/>
        <n v="1015"/>
        <n v="1091"/>
        <n v="1403"/>
        <n v="1434"/>
        <n v="1539"/>
        <n v="61"/>
        <n v="82"/>
        <n v="98"/>
        <n v="154"/>
        <n v="182"/>
        <n v="196"/>
        <n v="356"/>
        <n v="363"/>
        <n v="364"/>
        <n v="547"/>
        <n v="599"/>
        <n v="617"/>
        <n v="932"/>
        <n v="947"/>
        <n v="975"/>
        <n v="1026"/>
        <n v="1180"/>
        <n v="1198"/>
        <n v="1277"/>
        <n v="1443"/>
        <n v="1536"/>
        <n v="28"/>
        <n v="247"/>
        <n v="289"/>
        <n v="690"/>
        <n v="725"/>
        <n v="868"/>
        <n v="1005"/>
        <n v="1074"/>
        <n v="1189"/>
        <n v="1244"/>
        <n v="1267"/>
        <n v="1284"/>
        <n v="1378"/>
        <n v="1538"/>
        <n v="158"/>
        <n v="311"/>
        <n v="337"/>
        <n v="404"/>
        <n v="418"/>
        <n v="460"/>
        <n v="611"/>
        <n v="672"/>
        <n v="677"/>
        <n v="865"/>
        <n v="1058"/>
        <n v="1192"/>
        <n v="1326"/>
        <n v="1500"/>
        <n v="1523"/>
        <n v="1532"/>
        <n v="23"/>
        <n v="35"/>
        <n v="138"/>
        <n v="147"/>
        <n v="210"/>
        <n v="223"/>
        <n v="657"/>
        <n v="694"/>
        <n v="911"/>
        <n v="1105"/>
        <n v="1367"/>
        <n v="1496"/>
        <n v="285"/>
        <n v="383"/>
        <n v="438"/>
        <n v="615"/>
        <n v="982"/>
        <n v="985"/>
        <n v="1002"/>
        <n v="1085"/>
        <n v="1197"/>
        <n v="1220"/>
        <n v="1293"/>
        <n v="1305"/>
        <n v="1399"/>
        <n v="1499"/>
        <n v="193"/>
        <n v="400"/>
        <n v="447"/>
        <n v="545"/>
        <n v="550"/>
        <n v="570"/>
        <n v="597"/>
        <n v="654"/>
        <n v="689"/>
        <n v="718"/>
        <n v="801"/>
        <n v="816"/>
        <n v="894"/>
        <n v="971"/>
        <n v="1139"/>
        <n v="1254"/>
        <n v="1279"/>
        <n v="1308"/>
        <n v="1410"/>
        <n v="238"/>
        <n v="261"/>
        <n v="284"/>
        <n v="342"/>
        <n v="352"/>
        <n v="361"/>
        <n v="369"/>
        <n v="396"/>
        <n v="410"/>
        <n v="463"/>
        <n v="465"/>
        <n v="779"/>
        <n v="850"/>
        <n v="933"/>
        <n v="1023"/>
        <n v="1053"/>
        <n v="1061"/>
        <n v="1090"/>
        <n v="1110"/>
        <n v="1227"/>
        <n v="1373"/>
        <n v="1453"/>
        <n v="132"/>
        <n v="139"/>
        <n v="244"/>
        <n v="509"/>
        <n v="695"/>
        <n v="733"/>
        <n v="763"/>
        <n v="774"/>
        <n v="855"/>
        <n v="897"/>
        <n v="939"/>
        <n v="981"/>
        <n v="1076"/>
        <n v="1127"/>
        <n v="1208"/>
        <n v="1325"/>
        <n v="1402"/>
        <n v="1533"/>
        <n v="108"/>
        <n v="288"/>
        <n v="324"/>
        <n v="353"/>
        <n v="391"/>
        <n v="424"/>
        <n v="451"/>
        <n v="555"/>
        <n v="595"/>
        <n v="728"/>
        <n v="732"/>
        <n v="838"/>
        <n v="870"/>
        <n v="872"/>
        <n v="1000"/>
        <n v="1098"/>
        <n v="1149"/>
        <n v="1172"/>
        <n v="1218"/>
        <n v="1383"/>
        <n v="1418"/>
        <n v="1435"/>
        <n v="1452"/>
        <n v="88"/>
        <n v="141"/>
        <n v="165"/>
        <n v="532"/>
        <n v="719"/>
        <n v="836"/>
        <n v="941"/>
        <n v="980"/>
        <n v="1083"/>
        <n v="1298"/>
        <n v="1341"/>
        <n v="1395"/>
        <n v="1404"/>
        <n v="1441"/>
        <n v="1463"/>
        <n v="1475"/>
        <n v="1531"/>
        <n v="604"/>
        <n v="624"/>
        <n v="704"/>
        <n v="826"/>
        <n v="1115"/>
        <n v="1262"/>
        <n v="1508"/>
        <n v="201"/>
        <n v="252"/>
        <n v="344"/>
        <n v="427"/>
        <n v="603"/>
        <n v="687"/>
        <n v="727"/>
        <n v="806"/>
        <n v="873"/>
        <n v="942"/>
        <n v="992"/>
        <n v="1146"/>
        <n v="1167"/>
        <n v="1338"/>
        <n v="1348"/>
        <n v="1375"/>
        <n v="1503"/>
        <n v="1512"/>
        <n v="103"/>
        <n v="148"/>
        <n v="164"/>
        <n v="351"/>
        <n v="386"/>
        <n v="419"/>
        <n v="477"/>
        <n v="569"/>
        <n v="620"/>
        <n v="639"/>
        <n v="729"/>
        <n v="976"/>
        <n v="1001"/>
        <n v="1185"/>
        <n v="1269"/>
        <n v="1466"/>
        <n v="49"/>
        <n v="263"/>
        <n v="346"/>
        <n v="425"/>
        <n v="513"/>
        <n v="596"/>
        <n v="606"/>
        <n v="746"/>
        <n v="853"/>
        <n v="858"/>
        <n v="918"/>
        <n v="1100"/>
        <n v="1126"/>
        <n v="1258"/>
        <n v="1345"/>
        <n v="52"/>
        <n v="114"/>
        <n v="202"/>
        <n v="217"/>
        <n v="378"/>
        <n v="388"/>
        <n v="565"/>
        <n v="567"/>
        <n v="669"/>
        <n v="684"/>
        <n v="715"/>
        <n v="802"/>
        <n v="804"/>
        <n v="1094"/>
        <n v="1114"/>
        <n v="1151"/>
        <n v="1288"/>
        <n v="1301"/>
        <n v="1461"/>
        <n v="1469"/>
        <n v="1494"/>
        <n v="156"/>
        <n v="171"/>
        <n v="349"/>
        <n v="405"/>
        <n v="525"/>
        <n v="637"/>
        <n v="748"/>
        <n v="927"/>
        <n v="954"/>
        <n v="1059"/>
        <n v="1070"/>
        <n v="1315"/>
        <n v="1347"/>
        <n v="1364"/>
        <n v="7"/>
        <n v="208"/>
        <n v="450"/>
        <n v="467"/>
        <n v="770"/>
        <n v="787"/>
        <n v="860"/>
        <n v="1107"/>
        <n v="1108"/>
        <n v="1243"/>
        <n v="1294"/>
        <n v="1366"/>
        <n v="1386"/>
        <n v="1495"/>
        <n v="99"/>
        <n v="236"/>
        <n v="251"/>
        <n v="466"/>
        <n v="496"/>
        <n v="713"/>
        <n v="766"/>
        <n v="805"/>
        <n v="905"/>
        <n v="928"/>
        <n v="946"/>
        <n v="1052"/>
        <n v="1071"/>
        <n v="1078"/>
        <n v="1203"/>
        <n v="1285"/>
        <n v="1290"/>
        <n v="1299"/>
        <n v="151"/>
        <n v="343"/>
        <n v="428"/>
        <n v="621"/>
        <n v="647"/>
        <n v="678"/>
        <n v="759"/>
        <n v="864"/>
        <n v="903"/>
        <n v="1374"/>
        <n v="1454"/>
        <n v="157"/>
        <n v="213"/>
        <n v="564"/>
        <n v="572"/>
        <n v="951"/>
        <n v="1006"/>
        <n v="1032"/>
        <n v="1073"/>
        <n v="1101"/>
        <n v="1129"/>
        <n v="1498"/>
        <n v="92"/>
        <n v="162"/>
        <n v="292"/>
        <n v="519"/>
        <n v="568"/>
        <n v="656"/>
        <n v="675"/>
        <n v="1273"/>
        <n v="1502"/>
        <n v="101"/>
        <n v="166"/>
        <n v="317"/>
        <n v="464"/>
        <n v="476"/>
        <n v="549"/>
        <n v="697"/>
        <n v="742"/>
        <n v="791"/>
        <n v="803"/>
        <n v="857"/>
        <n v="888"/>
        <n v="1147"/>
        <n v="1187"/>
        <n v="1222"/>
        <n v="1238"/>
        <n v="1518"/>
        <n v="1521"/>
        <n v="1543"/>
        <n v="237"/>
        <n v="529"/>
        <n v="643"/>
        <n v="650"/>
        <n v="667"/>
        <n v="908"/>
        <n v="925"/>
        <n v="1051"/>
        <n v="1165"/>
        <n v="1181"/>
        <n v="1191"/>
        <n v="1316"/>
        <n v="326"/>
        <n v="380"/>
        <n v="392"/>
        <n v="446"/>
        <n v="521"/>
        <n v="531"/>
        <n v="536"/>
        <n v="693"/>
        <n v="929"/>
        <n v="937"/>
        <n v="1018"/>
        <n v="1021"/>
        <n v="1322"/>
        <n v="1392"/>
        <n v="1426"/>
        <n v="1484"/>
        <n v="122"/>
        <n v="245"/>
        <n v="300"/>
        <n v="399"/>
        <n v="403"/>
        <n v="586"/>
        <n v="665"/>
        <n v="692"/>
        <n v="890"/>
        <n v="931"/>
        <n v="962"/>
        <n v="994"/>
        <n v="1124"/>
        <n v="1478"/>
        <n v="1491"/>
        <n v="1535"/>
        <n v="160"/>
        <n v="194"/>
        <n v="211"/>
        <n v="215"/>
        <n v="336"/>
        <n v="576"/>
        <n v="688"/>
        <n v="811"/>
        <n v="846"/>
        <n v="849"/>
        <n v="1120"/>
        <n v="1159"/>
        <n v="1311"/>
        <n v="1360"/>
        <n v="1384"/>
        <n v="1514"/>
        <n v="150"/>
        <n v="655"/>
        <n v="823"/>
        <n v="877"/>
        <n v="1102"/>
        <n v="1103"/>
        <n v="1174"/>
        <n v="1193"/>
        <n v="1215"/>
        <n v="1272"/>
        <n v="1419"/>
        <n v="1470"/>
        <n v="149"/>
        <n v="264"/>
        <n v="332"/>
        <n v="478"/>
        <n v="485"/>
        <n v="726"/>
        <n v="772"/>
        <n v="783"/>
        <n v="795"/>
        <n v="824"/>
        <n v="874"/>
        <n v="917"/>
        <n v="923"/>
        <n v="960"/>
        <n v="1044"/>
        <n v="1069"/>
        <n v="1128"/>
        <n v="1211"/>
        <n v="1251"/>
        <n v="1268"/>
        <n v="1287"/>
        <n v="1409"/>
        <n v="1417"/>
        <n v="1481"/>
        <n v="5"/>
        <n v="167"/>
        <n v="269"/>
        <n v="271"/>
        <n v="459"/>
        <n v="580"/>
        <n v="610"/>
        <n v="685"/>
        <n v="698"/>
        <n v="762"/>
        <n v="767"/>
        <n v="863"/>
        <n v="922"/>
        <n v="1064"/>
        <n v="1246"/>
        <n v="1296"/>
        <n v="1430"/>
        <n v="220"/>
        <n v="304"/>
        <n v="368"/>
        <n v="423"/>
        <n v="480"/>
        <n v="581"/>
        <n v="737"/>
        <n v="738"/>
        <n v="859"/>
        <n v="919"/>
        <n v="972"/>
        <n v="1047"/>
        <n v="1119"/>
        <n v="1190"/>
        <n v="1196"/>
        <n v="1289"/>
        <n v="1335"/>
        <n v="8"/>
        <n v="17"/>
        <n v="310"/>
        <n v="321"/>
        <n v="453"/>
        <n v="474"/>
        <n v="482"/>
        <n v="641"/>
        <n v="711"/>
        <n v="848"/>
        <n v="882"/>
        <n v="886"/>
        <n v="935"/>
        <n v="1079"/>
        <n v="1275"/>
        <n v="1407"/>
        <n v="1439"/>
        <n v="1504"/>
        <n v="58"/>
        <n v="77"/>
        <n v="80"/>
        <n v="195"/>
        <n v="312"/>
        <n v="411"/>
        <n v="429"/>
        <n v="527"/>
        <n v="600"/>
        <n v="613"/>
        <n v="618"/>
        <n v="653"/>
        <n v="707"/>
        <n v="789"/>
        <n v="1082"/>
        <n v="1121"/>
        <n v="1228"/>
        <n v="1307"/>
        <n v="1319"/>
        <n v="1329"/>
        <n v="1343"/>
        <n v="15"/>
        <n v="95"/>
        <n v="205"/>
        <n v="240"/>
        <n v="435"/>
        <n v="755"/>
        <n v="757"/>
        <n v="876"/>
        <n v="1066"/>
        <n v="1370"/>
        <n v="1487"/>
        <n v="107"/>
        <n v="219"/>
        <n v="231"/>
        <n v="281"/>
        <n v="499"/>
        <n v="530"/>
        <n v="534"/>
        <n v="674"/>
        <n v="866"/>
        <n v="1010"/>
        <n v="1230"/>
        <n v="1330"/>
        <n v="1485"/>
        <n v="64"/>
        <n v="67"/>
        <n v="119"/>
        <n v="191"/>
        <n v="197"/>
        <n v="437"/>
        <n v="582"/>
        <n v="926"/>
        <n v="966"/>
        <n v="1016"/>
        <n v="1141"/>
        <n v="1152"/>
        <n v="1164"/>
        <n v="1217"/>
        <n v="1250"/>
        <n v="1455"/>
        <n v="1467"/>
        <n v="1522"/>
        <n v="1528"/>
        <n v="1530"/>
        <n v="129"/>
        <n v="296"/>
        <n v="488"/>
        <n v="518"/>
        <n v="579"/>
        <n v="714"/>
        <n v="754"/>
        <n v="785"/>
        <n v="834"/>
        <n v="1022"/>
        <n v="1477"/>
        <n v="250"/>
        <n v="409"/>
        <n v="475"/>
        <n v="486"/>
        <n v="506"/>
        <n v="691"/>
        <n v="828"/>
        <n v="830"/>
        <n v="861"/>
        <n v="884"/>
        <n v="1140"/>
        <n v="1142"/>
        <n v="1219"/>
        <n v="1237"/>
        <n v="1337"/>
        <n v="1355"/>
        <n v="1450"/>
        <n v="177"/>
        <n v="280"/>
        <n v="497"/>
        <n v="517"/>
        <n v="526"/>
        <n v="683"/>
        <n v="786"/>
        <n v="815"/>
        <n v="1049"/>
        <n v="1155"/>
        <n v="1320"/>
        <n v="1357"/>
        <n v="1400"/>
        <n v="1401"/>
        <n v="309"/>
        <n v="359"/>
        <n v="507"/>
        <n v="574"/>
        <n v="578"/>
        <n v="583"/>
        <n v="614"/>
        <n v="768"/>
        <n v="871"/>
        <n v="914"/>
        <n v="1116"/>
        <n v="1263"/>
        <n v="1356"/>
        <n v="11"/>
        <n v="172"/>
        <n v="381"/>
        <n v="406"/>
        <n v="422"/>
        <n v="515"/>
        <n v="630"/>
        <n v="634"/>
        <n v="991"/>
        <n v="1045"/>
        <n v="1135"/>
        <n v="1201"/>
        <n v="1286"/>
        <n v="1424"/>
        <n v="1460"/>
        <n v="1511"/>
        <n v="401"/>
        <n v="489"/>
        <n v="739"/>
        <n v="769"/>
        <n v="799"/>
        <n v="820"/>
        <n v="920"/>
        <n v="952"/>
        <n v="1109"/>
        <n v="1137"/>
        <n v="1233"/>
        <n v="1256"/>
        <n v="1282"/>
        <n v="1292"/>
        <n v="44"/>
        <n v="316"/>
        <n v="408"/>
        <n v="553"/>
        <n v="640"/>
        <n v="869"/>
        <n v="881"/>
        <n v="948"/>
        <n v="1089"/>
        <n v="1255"/>
        <n v="1389"/>
        <n v="1423"/>
        <n v="1445"/>
        <n v="100"/>
        <n v="134"/>
        <n v="382"/>
        <n v="397"/>
        <n v="462"/>
        <n v="593"/>
        <n v="699"/>
        <n v="744"/>
        <n v="800"/>
        <n v="833"/>
        <n v="1027"/>
        <n v="1067"/>
        <n v="1095"/>
        <n v="1204"/>
        <n v="1300"/>
        <n v="1309"/>
        <n v="1344"/>
        <n v="1369"/>
        <n v="1427"/>
        <n v="1457"/>
        <n v="10"/>
        <n v="126"/>
        <n v="232"/>
        <n v="302"/>
        <n v="331"/>
        <n v="520"/>
        <n v="831"/>
        <n v="901"/>
        <n v="958"/>
        <n v="1037"/>
        <n v="1106"/>
        <n v="1143"/>
        <n v="1194"/>
        <n v="1371"/>
        <n v="1492"/>
        <n v="1526"/>
        <n v="13"/>
        <n v="45"/>
        <n v="55"/>
        <n v="91"/>
        <n v="152"/>
        <n v="161"/>
        <n v="322"/>
        <n v="440"/>
        <n v="514"/>
        <n v="623"/>
        <n v="735"/>
        <n v="1077"/>
        <n v="1138"/>
        <n v="1150"/>
        <n v="1365"/>
        <n v="1462"/>
        <n v="106"/>
        <n v="226"/>
        <n v="350"/>
        <n v="449"/>
        <n v="504"/>
        <n v="666"/>
        <n v="817"/>
        <n v="839"/>
        <n v="845"/>
        <n v="851"/>
        <n v="899"/>
        <n v="967"/>
        <n v="1062"/>
        <n v="1313"/>
        <n v="1388"/>
        <n v="30"/>
        <n v="59"/>
        <n v="83"/>
        <n v="102"/>
        <n v="430"/>
        <n v="635"/>
        <n v="663"/>
        <n v="673"/>
        <n v="891"/>
        <n v="1004"/>
        <n v="1084"/>
        <n v="1113"/>
        <n v="1221"/>
        <n v="1253"/>
        <n v="1382"/>
        <n v="1482"/>
        <n v="1516"/>
        <n v="87"/>
        <n v="115"/>
        <n v="128"/>
        <n v="135"/>
        <n v="286"/>
        <n v="330"/>
        <n v="375"/>
        <n v="389"/>
        <n v="442"/>
        <n v="512"/>
        <n v="563"/>
        <n v="601"/>
        <n v="780"/>
        <n v="968"/>
        <n v="997"/>
        <n v="1158"/>
        <n v="1327"/>
        <n v="1474"/>
        <n v="57"/>
        <n v="602"/>
        <n v="724"/>
        <n v="842"/>
        <n v="943"/>
        <n v="1011"/>
        <n v="1266"/>
        <n v="1459"/>
        <n v="1472"/>
        <n v="46"/>
        <n v="89"/>
        <n v="96"/>
        <n v="187"/>
        <n v="221"/>
        <n v="255"/>
        <n v="297"/>
        <n v="334"/>
        <n v="340"/>
        <n v="354"/>
        <n v="407"/>
        <n v="492"/>
        <n v="533"/>
        <n v="607"/>
        <n v="741"/>
        <n v="953"/>
        <n v="969"/>
        <n v="1265"/>
        <n v="1411"/>
        <n v="145"/>
        <n v="502"/>
        <n v="609"/>
        <n v="626"/>
        <n v="646"/>
        <n v="1117"/>
        <n v="1232"/>
        <n v="1236"/>
        <n v="1310"/>
        <n v="1416"/>
        <n v="1425"/>
        <n v="62"/>
        <n v="235"/>
        <n v="265"/>
        <n v="307"/>
        <n v="319"/>
        <n v="659"/>
        <n v="712"/>
        <n v="818"/>
        <n v="844"/>
        <n v="1031"/>
        <n v="1048"/>
        <n v="1099"/>
        <n v="1163"/>
        <n v="1173"/>
        <n v="1209"/>
        <n v="1342"/>
        <n v="1464"/>
        <n v="313"/>
        <n v="421"/>
        <n v="508"/>
        <n v="543"/>
        <n v="716"/>
        <n v="736"/>
        <n v="812"/>
        <n v="900"/>
        <n v="986"/>
        <n v="1179"/>
        <n v="1205"/>
        <n v="1483"/>
        <n v="1501"/>
        <n v="20"/>
        <n v="32"/>
        <n v="112"/>
        <n v="116"/>
        <n v="239"/>
        <n v="328"/>
        <n v="415"/>
        <n v="591"/>
        <n v="652"/>
        <n v="788"/>
        <n v="856"/>
        <n v="1081"/>
        <n v="1235"/>
        <n v="1271"/>
        <n v="1324"/>
        <n v="1480"/>
        <n v="127"/>
        <n v="212"/>
        <n v="338"/>
        <n v="445"/>
        <n v="457"/>
        <n v="710"/>
        <n v="781"/>
        <n v="1068"/>
        <n v="1314"/>
        <n v="1352"/>
        <n v="1438"/>
        <n v="1442"/>
        <n v="1520"/>
        <n v="1534"/>
        <n v="18"/>
        <n v="155"/>
        <n v="327"/>
        <n v="701"/>
        <n v="784"/>
        <n v="835"/>
        <n v="1017"/>
        <n v="1041"/>
        <n v="1359"/>
        <n v="1405"/>
        <n v="6"/>
        <n v="274"/>
        <n v="303"/>
        <n v="365"/>
        <n v="395"/>
        <n v="434"/>
        <n v="472"/>
        <n v="500"/>
        <n v="628"/>
        <n v="686"/>
        <n v="761"/>
        <n v="910"/>
        <n v="989"/>
        <n v="1024"/>
        <n v="1132"/>
        <n v="1169"/>
        <n v="1231"/>
        <n v="1488"/>
        <n v="26"/>
        <n v="121"/>
        <n v="124"/>
        <n v="262"/>
        <n v="537"/>
        <n v="566"/>
        <n v="661"/>
        <n v="750"/>
        <n v="776"/>
        <n v="904"/>
        <n v="1148"/>
        <n v="1214"/>
        <n v="1224"/>
        <n v="1247"/>
        <n v="1350"/>
        <n v="1471"/>
        <n v="31"/>
        <n v="56"/>
        <n v="185"/>
        <n v="298"/>
        <n v="335"/>
        <n v="573"/>
        <n v="703"/>
        <n v="760"/>
        <n v="796"/>
        <n v="1038"/>
        <n v="1304"/>
        <n v="1449"/>
        <n v="1468"/>
        <n v="19"/>
        <n v="94"/>
        <n v="268"/>
        <n v="371"/>
        <n v="431"/>
        <n v="619"/>
        <n v="854"/>
        <n v="984"/>
        <n v="1216"/>
        <n v="1537"/>
        <n v="1540"/>
        <n v="294"/>
        <n v="523"/>
        <n v="551"/>
        <n v="756"/>
        <n v="902"/>
        <n v="998"/>
        <n v="1013"/>
        <n v="1034"/>
        <n v="1171"/>
        <n v="1321"/>
        <n v="1368"/>
        <n v="1422"/>
        <n v="1432"/>
        <n v="42"/>
        <n v="174"/>
        <n v="216"/>
        <n v="266"/>
        <n v="276"/>
        <n v="398"/>
        <n v="481"/>
        <n v="535"/>
        <n v="598"/>
        <n v="645"/>
        <n v="682"/>
        <n v="862"/>
        <n v="1168"/>
        <n v="1421"/>
        <n v="1527"/>
        <n v="1"/>
        <n v="71"/>
        <n v="258"/>
        <n v="439"/>
        <n v="493"/>
        <n v="749"/>
        <n v="949"/>
        <n v="1087"/>
        <n v="1242"/>
        <n v="1396"/>
        <n v="48"/>
        <n v="178"/>
        <n v="199"/>
        <n v="329"/>
        <n v="420"/>
        <n v="590"/>
        <n v="668"/>
        <n v="822"/>
        <n v="825"/>
        <n v="1035"/>
        <n v="1122"/>
        <n v="1136"/>
        <n v="1226"/>
        <n v="1448"/>
        <n v="33"/>
        <n v="43"/>
        <n v="192"/>
        <n v="222"/>
        <n v="224"/>
        <n v="246"/>
        <n v="416"/>
        <n v="441"/>
        <n v="487"/>
        <n v="540"/>
        <n v="557"/>
        <n v="680"/>
        <n v="717"/>
        <n v="740"/>
        <n v="814"/>
        <n v="909"/>
        <n v="936"/>
        <n v="945"/>
        <n v="1223"/>
        <n v="1278"/>
        <n v="1336"/>
        <n v="1346"/>
        <n v="75"/>
        <n v="179"/>
        <n v="259"/>
        <n v="720"/>
        <n v="1057"/>
        <n v="1161"/>
        <n v="1166"/>
        <n v="1239"/>
        <n v="1264"/>
        <n v="1385"/>
        <n v="1433"/>
        <n v="254"/>
        <n v="362"/>
        <n v="808"/>
        <n v="893"/>
        <n v="990"/>
        <n v="996"/>
        <n v="1134"/>
        <n v="1362"/>
        <n v="1390"/>
        <n v="1436"/>
        <n v="1524"/>
        <n v="54"/>
        <n v="140"/>
        <n v="320"/>
        <n v="432"/>
        <n v="524"/>
        <n v="587"/>
        <n v="632"/>
        <n v="765"/>
        <n v="885"/>
        <n v="921"/>
        <n v="1055"/>
        <n v="1075"/>
        <n v="1295"/>
        <n v="1513"/>
        <n v="27"/>
        <n v="70"/>
        <n v="169"/>
        <n v="183"/>
        <n v="370"/>
        <n v="458"/>
        <n v="658"/>
        <n v="681"/>
        <n v="852"/>
        <n v="959"/>
        <n v="1259"/>
        <n v="225"/>
        <n v="291"/>
        <n v="339"/>
        <n v="468"/>
        <n v="777"/>
        <n v="867"/>
        <n v="1195"/>
        <n v="1199"/>
        <n v="1542"/>
        <n v="1544"/>
        <n v="51"/>
        <n v="170"/>
        <n v="188"/>
        <n v="206"/>
        <n v="209"/>
        <n v="242"/>
        <n v="315"/>
        <n v="387"/>
        <n v="471"/>
        <n v="501"/>
        <n v="588"/>
        <n v="594"/>
        <n v="841"/>
        <n v="843"/>
        <n v="847"/>
        <n v="956"/>
        <n v="993"/>
        <n v="1003"/>
        <n v="1014"/>
        <n v="1153"/>
        <n v="1318"/>
        <n v="22"/>
        <n v="38"/>
        <n v="214"/>
        <n v="454"/>
        <n v="456"/>
        <n v="561"/>
        <n v="627"/>
        <n v="1509"/>
        <n v="505"/>
        <n v="558"/>
        <n v="660"/>
        <n v="751"/>
        <n v="887"/>
        <n v="898"/>
        <n v="934"/>
        <n v="964"/>
        <n v="970"/>
        <n v="1414"/>
        <n v="1456"/>
        <n v="16"/>
        <n v="40"/>
        <n v="53"/>
        <n v="105"/>
        <n v="131"/>
        <n v="133"/>
        <n v="184"/>
        <n v="204"/>
        <n v="277"/>
        <n v="412"/>
        <n v="455"/>
        <n v="541"/>
        <n v="556"/>
        <n v="584"/>
        <n v="794"/>
        <n v="875"/>
        <n v="906"/>
        <n v="940"/>
        <n v="1252"/>
        <n v="47"/>
        <n v="136"/>
        <n v="241"/>
        <n v="260"/>
        <n v="461"/>
        <n v="490"/>
        <n v="498"/>
        <n v="577"/>
        <n v="730"/>
        <n v="752"/>
        <n v="793"/>
        <n v="821"/>
        <n v="832"/>
        <n v="878"/>
        <n v="999"/>
        <n v="1186"/>
        <n v="1207"/>
        <n v="1245"/>
        <n v="1446"/>
        <n v="1473"/>
        <n v="1525"/>
        <n v="63"/>
        <n v="85"/>
        <n v="175"/>
        <n v="230"/>
        <n v="390"/>
        <n v="494"/>
        <n v="723"/>
        <n v="797"/>
        <n v="965"/>
        <n v="987"/>
        <n v="1080"/>
        <n v="1086"/>
        <n v="1200"/>
        <n v="1437"/>
        <n v="21"/>
        <n v="72"/>
        <n v="109"/>
        <n v="249"/>
        <n v="273"/>
        <n v="305"/>
        <n v="345"/>
        <n v="372"/>
        <n v="452"/>
        <n v="539"/>
        <n v="571"/>
        <n v="895"/>
        <n v="1007"/>
        <n v="1060"/>
        <n v="1104"/>
        <n v="1178"/>
        <n v="1261"/>
        <n v="1280"/>
        <n v="1312"/>
        <n v="1429"/>
        <n v="39"/>
        <n v="104"/>
        <n v="377"/>
        <n v="379"/>
        <n v="616"/>
        <n v="638"/>
        <n v="648"/>
        <n v="747"/>
        <n v="807"/>
        <n v="1020"/>
        <n v="1145"/>
        <n v="1328"/>
        <n v="1349"/>
        <n v="1451"/>
        <n v="74"/>
        <n v="283"/>
        <n v="290"/>
        <n v="323"/>
        <n v="522"/>
        <n v="538"/>
        <n v="896"/>
        <n v="907"/>
        <n v="912"/>
        <n v="913"/>
        <n v="973"/>
        <n v="1210"/>
        <n v="12"/>
        <n v="113"/>
        <n v="120"/>
        <n v="143"/>
        <n v="146"/>
        <n v="176"/>
        <n v="234"/>
        <n v="301"/>
        <n v="341"/>
        <n v="347"/>
        <n v="360"/>
        <n v="444"/>
        <n v="559"/>
        <n v="708"/>
        <n v="883"/>
        <n v="955"/>
        <n v="1042"/>
        <n v="1182"/>
        <n v="1202"/>
        <n v="1241"/>
        <n v="1372"/>
        <n v="125"/>
        <n v="159"/>
        <n v="279"/>
        <n v="676"/>
        <n v="773"/>
        <n v="1025"/>
        <n v="1028"/>
        <n v="1072"/>
        <n v="1162"/>
        <n v="1248"/>
        <n v="1260"/>
        <n v="1281"/>
        <n v="1306"/>
        <n v="1376"/>
        <n v="1379"/>
        <n v="1393"/>
        <n v="1394"/>
        <n v="1398"/>
        <n v="1412"/>
        <n v="1420"/>
        <n v="1490"/>
        <n v="81"/>
        <n v="93"/>
        <n v="181"/>
        <n v="203"/>
        <n v="306"/>
        <n v="491"/>
        <n v="562"/>
        <n v="778"/>
        <n v="1133"/>
        <n v="1317"/>
        <n v="1458"/>
        <n v="1476"/>
        <n v="1541"/>
        <n v="123"/>
        <n v="153"/>
        <n v="168"/>
        <n v="190"/>
        <n v="413"/>
        <n v="414"/>
        <n v="608"/>
        <n v="633"/>
        <n v="819"/>
        <n v="1009"/>
        <n v="1050"/>
        <n v="1517"/>
        <n v="2"/>
        <n v="78"/>
        <n v="243"/>
        <n v="256"/>
        <n v="318"/>
        <n v="385"/>
        <n v="544"/>
        <n v="589"/>
        <n v="1111"/>
        <n v="1234"/>
        <n v="1408"/>
        <n v="1479"/>
        <n v="1493"/>
        <n v="1519"/>
        <n v="34"/>
        <n v="73"/>
        <n v="76"/>
        <n v="137"/>
        <n v="248"/>
        <n v="278"/>
        <n v="333"/>
        <n v="642"/>
        <n v="889"/>
        <n v="988"/>
        <n v="1157"/>
        <n v="1170"/>
        <n v="1331"/>
        <n v="1332"/>
        <n v="1391"/>
        <n v="1413"/>
        <n v="1444"/>
        <n v="60"/>
        <n v="118"/>
        <n v="180"/>
        <n v="299"/>
        <n v="366"/>
        <n v="402"/>
        <n v="433"/>
        <n v="528"/>
        <n v="575"/>
        <n v="679"/>
        <n v="734"/>
        <n v="1249"/>
        <n v="1276"/>
        <n v="1291"/>
        <n v="1303"/>
        <n v="1333"/>
        <n v="41"/>
        <n v="50"/>
        <n v="173"/>
        <n v="314"/>
        <n v="374"/>
        <n v="393"/>
        <n v="426"/>
        <n v="552"/>
        <n v="622"/>
        <n v="758"/>
        <n v="957"/>
        <n v="961"/>
        <n v="1046"/>
        <n v="1125"/>
        <n v="1130"/>
        <n v="1131"/>
        <n v="1175"/>
        <n v="1176"/>
        <n v="1257"/>
        <n v="1397"/>
      </sharedItems>
    </cacheField>
    <cacheField name="Set" numFmtId="0">
      <sharedItems containsSemiMixedTypes="0" containsString="0" containsNumber="1" containsInteger="1" minValue="1" maxValue="100" count="1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sharedItems>
    </cacheField>
    <cacheField name="Word" numFmtId="0">
      <sharedItems count="1544">
        <s v="Contemporary"/>
        <s v="Disseminate"/>
        <s v="Ecological"/>
        <s v="Exalt"/>
        <s v="Feign"/>
        <s v="Frailty"/>
        <s v="Gracious"/>
        <s v="Intimately"/>
        <s v="Misanthropic"/>
        <s v="Mortify"/>
        <s v="Portentous"/>
        <s v="Precarious"/>
        <s v="Quandary"/>
        <s v="Sluggish"/>
        <s v="Temper"/>
        <s v="Adroit"/>
        <s v="Amenable"/>
        <s v="Calumny"/>
        <s v="Chauvinistic"/>
        <s v="Compliance"/>
        <s v="Deferential"/>
        <s v="Divulge"/>
        <s v="Flummoxed"/>
        <s v="Forgo"/>
        <s v="Peculiar"/>
        <s v="Pertinacious"/>
        <s v="Phony"/>
        <s v="Pragmatism"/>
        <s v="Abjure"/>
        <s v="Appropriate"/>
        <s v="Auspicious"/>
        <s v="Buoyant"/>
        <s v="Cherish"/>
        <s v="Compounded"/>
        <s v="Exact"/>
        <s v="Fascinate"/>
        <s v="Flamboyant"/>
        <s v="Momentary"/>
        <s v="Panacea"/>
        <s v="Pious"/>
        <s v="Redouble"/>
        <s v="Startling"/>
        <s v="Utterly"/>
        <s v="Viable"/>
        <s v="Abrogate"/>
        <s v="Baffling"/>
        <s v="Cease"/>
        <s v="Check"/>
        <s v="Deprecate"/>
        <s v="Ecstatic"/>
        <s v="Enmity"/>
        <s v="Exotic"/>
        <s v="Impediment"/>
        <s v="Impenetrable"/>
        <s v="Implausible"/>
        <s v="Incensed"/>
        <s v="Industrious"/>
        <s v="Ingenuous"/>
        <s v="Ironclad"/>
        <s v="Pejorative"/>
        <s v="Perfunctory"/>
        <s v="Precipitous"/>
        <s v="Profligate"/>
        <s v="Repudiate"/>
        <s v="Ruinous"/>
        <s v="Shallowness"/>
        <s v="Thwarted"/>
        <s v="Vexation"/>
        <s v="Ameliorate"/>
        <s v="Amiable"/>
        <s v="Antithesis"/>
        <s v="Ascetic"/>
        <s v="Benevolent"/>
        <s v="Circumscribe"/>
        <s v="Collaborate"/>
        <s v="Confound"/>
        <s v="Detente"/>
        <s v="Gratuitous"/>
        <s v="Illustrative"/>
        <s v="Nettlesome"/>
        <s v="Peccadillo"/>
        <s v="Probity"/>
        <s v="Supplant"/>
        <s v="Supple"/>
        <s v="Truculent"/>
        <s v="Abet"/>
        <s v="Assuage"/>
        <s v="Conciliatory"/>
        <s v="Delusion"/>
        <s v="Discrepancy"/>
        <s v="Elated"/>
        <s v="Genealogy"/>
        <s v="Grumble"/>
        <s v="Gullible"/>
        <s v="Hyperbole"/>
        <s v="Magisterial"/>
        <s v="Obsolete"/>
        <s v="Occlude"/>
        <s v="Omniscient"/>
        <s v="Painstaking"/>
        <s v="Partial"/>
        <s v="Preclude"/>
        <s v="Provoke"/>
        <s v="Retrench"/>
        <s v="Aberrant"/>
        <s v="Acerbic"/>
        <s v="Apogee"/>
        <s v="Caprice"/>
        <s v="Commence"/>
        <s v="Enlighten"/>
        <s v="Gaffe"/>
        <s v="Iconoclastic"/>
        <s v="Idyllic"/>
        <s v="Illiberal"/>
        <s v="Intrepid"/>
        <s v="Marginalize"/>
        <s v="Obviate"/>
        <s v="Oust"/>
        <s v="Penurious"/>
        <s v="Strife"/>
        <s v="Surfeit"/>
        <s v="Tractable"/>
        <s v="Accord"/>
        <s v="Admonish"/>
        <s v="Complimentary"/>
        <s v="Craft"/>
        <s v="Debilitating"/>
        <s v="Gauche"/>
        <s v="Judicious"/>
        <s v="Misconstrue"/>
        <s v="Penetrate"/>
        <s v="Perceptive"/>
        <s v="Renounce"/>
        <s v="Serendipitous"/>
        <s v="Subservient"/>
        <s v="Surpass"/>
        <s v="Turgid"/>
        <s v="Venerate"/>
        <s v="Acrimonious"/>
        <s v="Amicable"/>
        <s v="Deference"/>
        <s v="Dictate"/>
        <s v="Endow"/>
        <s v="Insipid"/>
        <s v="Integrate"/>
        <s v="Jeopardize"/>
        <s v="Magnanimous"/>
        <s v="Quarantine"/>
        <s v="Recluse"/>
        <s v="Simultaneity"/>
        <s v="Surrogate"/>
        <s v="Tailored"/>
        <s v="Upbraid"/>
        <s v="Vindicate"/>
        <s v="Ascertain"/>
        <s v="Banal"/>
        <s v="Callous"/>
        <s v="Decry"/>
        <s v="Eclipse"/>
        <s v="Egoism"/>
        <s v="Exhilarating"/>
        <s v="Incredulous"/>
        <s v="Indiscernible"/>
        <s v="Inestimable"/>
        <s v="Insidious"/>
        <s v="Intimate"/>
        <s v="Pretentious"/>
        <s v="Quirky"/>
        <s v="Redoubtable"/>
        <s v="Refute"/>
        <s v="Reprobate"/>
        <s v="Subordinate"/>
        <s v="Undemonstrative"/>
        <s v="Contemptuous"/>
        <s v="Foster"/>
        <s v="Inchoate"/>
        <s v="Ire"/>
        <s v="Myopic"/>
        <s v="Perspicacity"/>
        <s v="Resurgent"/>
        <s v="Soliloquy"/>
        <s v="Tangible"/>
        <s v="Tantalizing"/>
        <s v="Vigilant"/>
        <s v="Antipathy"/>
        <s v="Consensus"/>
        <s v="Distill"/>
        <s v="Elementary"/>
        <s v="Ideologue"/>
        <s v="Numinous"/>
        <s v="Odious"/>
        <s v="Superfluous"/>
        <s v="Unappealing"/>
        <s v="Uninformed"/>
        <s v="Vitality"/>
        <s v="Wearisome"/>
        <s v="Anomalous"/>
        <s v="Brook"/>
        <s v="Convoluted"/>
        <s v="Deportment"/>
        <s v="Emulate"/>
        <s v="Entitled"/>
        <s v="Evasive"/>
        <s v="Frivolous"/>
        <s v="Narrative"/>
        <s v="Paradox"/>
        <s v="Potent"/>
        <s v="Thrift"/>
        <s v="Ubiquitous"/>
        <s v="Xenophobic"/>
        <s v="Altruistic"/>
        <s v="Antagonize"/>
        <s v="Apropos"/>
        <s v="Befriend"/>
        <s v="Brazen"/>
        <s v="Calamitous"/>
        <s v="Defamatory"/>
        <s v="Deleterious"/>
        <s v="Deliberate"/>
        <s v="Exacting"/>
        <s v="Fickle"/>
        <s v="Foolhardy"/>
        <s v="Multifaceted"/>
        <s v="Negligent"/>
        <s v="Obstinate"/>
        <s v="Patent"/>
        <s v="Recourse"/>
        <s v="Relentless"/>
        <s v="Showcase"/>
        <s v="Uncharacteristically"/>
        <s v="Witty"/>
        <s v="Acquisitive"/>
        <s v="Coercion"/>
        <s v="Conspicuous"/>
        <s v="Hodgepodge"/>
        <s v="Impertinent"/>
        <s v="Long-Winded"/>
        <s v="Overuse"/>
        <s v="Plausible"/>
        <s v="Regress"/>
        <s v="Sagacious"/>
        <s v="Self-Serving"/>
        <s v="Sinecure"/>
        <s v="Tangent"/>
        <s v="Woo"/>
        <s v="Belie"/>
        <s v="Cordial"/>
        <s v="Curb"/>
        <s v="Diminutive"/>
        <s v="Disdain"/>
        <s v="Duplicity"/>
        <s v="Flout"/>
        <s v="Hackneyed"/>
        <s v="Harbinger"/>
        <s v="Lionize"/>
        <s v="Pervasive"/>
        <s v="Reinterpret"/>
        <s v="Stern"/>
        <s v="Verisimilitude"/>
        <s v="Wane"/>
        <s v="Whimsical"/>
        <s v="Accolade"/>
        <s v="Ad hoc"/>
        <s v="Aversion"/>
        <s v="Baroque"/>
        <s v="Caricature"/>
        <s v="Chagrin"/>
        <s v="Gloom"/>
        <s v="Humdrum"/>
        <s v="Meticulous"/>
        <s v="Premonition"/>
        <s v="Sway"/>
        <s v="Venal"/>
        <s v="Conjecture"/>
        <s v="Detached"/>
        <s v="Dissident"/>
        <s v="Foil"/>
        <s v="Omnipresent"/>
        <s v="Opaque"/>
        <s v="Overshadow"/>
        <s v="Ponderous"/>
        <s v="Relent"/>
        <s v="Resolve"/>
        <s v="Slavishly"/>
        <s v="Soporific"/>
        <s v="Terse"/>
        <s v="Verbose"/>
        <s v="Byzantine"/>
        <s v="Dilate"/>
        <s v="Divorced"/>
        <s v="Exacerbate"/>
        <s v="Excoriate"/>
        <s v="Extenuating"/>
        <s v="Fervor"/>
        <s v="Glib"/>
        <s v="Histrionic"/>
        <s v="Impartial"/>
        <s v="Intercept"/>
        <s v="Inundate"/>
        <s v="Martinet"/>
        <s v="Oblivious"/>
        <s v="Prosaic"/>
        <s v="Schism"/>
        <s v="Shrewd"/>
        <s v="Sovereignty"/>
        <s v="Toll"/>
        <s v="Clandestine"/>
        <s v="Compel"/>
        <s v="Conjectural"/>
        <s v="Daunt"/>
        <s v="Deceptive"/>
        <s v="Defy"/>
        <s v="Demur"/>
        <s v="Didactic"/>
        <s v="Disciple"/>
        <s v="Dwindling"/>
        <s v="Ebullient"/>
        <s v="Infelicity"/>
        <s v="Languish"/>
        <s v="Multitudinous"/>
        <s v="Passivity"/>
        <s v="Perspicacious"/>
        <s v="Philistine"/>
        <s v="Posturing"/>
        <s v="Presumptuous"/>
        <s v="Reticent"/>
        <s v="Tacit"/>
        <s v="Understate"/>
        <s v="Austerity"/>
        <s v="Avert"/>
        <s v="Coalesce"/>
        <s v="Enlarge"/>
        <s v="Hybrid"/>
        <s v="Impolitic"/>
        <s v="Indignant"/>
        <s v="Inertia"/>
        <s v="Lavish"/>
        <s v="Maunder"/>
        <s v="Myriad"/>
        <s v="Ominous"/>
        <s v="Plodding"/>
        <s v="Prognosis"/>
        <s v="Repertoire"/>
        <s v="Steadfast"/>
        <s v="Thoroughgoing"/>
        <s v="Wilful"/>
        <s v="Articulate"/>
        <s v="Consequential"/>
        <s v="Coy"/>
        <s v="Decipher"/>
        <s v="Dexter"/>
        <s v="Disintegrate"/>
        <s v="Dogged"/>
        <s v="Exhort"/>
        <s v="Fervent"/>
        <s v="Impetuous"/>
        <s v="Implicit"/>
        <s v="Jettison"/>
        <s v="Lucid"/>
        <s v="Ludicrous"/>
        <s v="Overly"/>
        <s v="Precocious"/>
        <s v="Puerile"/>
        <s v="Rationalize"/>
        <s v="Resolute"/>
        <s v="Tarnish"/>
        <s v="Transgression"/>
        <s v="Ulterior"/>
        <s v="Underscore"/>
        <s v="Aphorism"/>
        <s v="Axiomatic"/>
        <s v="Berate"/>
        <s v="Erudite"/>
        <s v="Impecunious"/>
        <s v="Itinerant"/>
        <s v="Nadir"/>
        <s v="Officious"/>
        <s v="Polymath"/>
        <s v="Snare"/>
        <s v="Subside"/>
        <s v="Tentative"/>
        <s v="Thrilled"/>
        <s v="Unappreciated"/>
        <s v="Unformed"/>
        <s v="Unpropitious"/>
        <s v="Wheedle"/>
        <s v="Flagrant"/>
        <s v="Forgery"/>
        <s v="Idiosyncratic"/>
        <s v="Irascible"/>
        <s v="Prevaricate"/>
        <s v="Seductive"/>
        <s v="Vigorous"/>
        <s v="Camaraderie"/>
        <s v="Coin"/>
        <s v="Dawdle"/>
        <s v="Dislocation"/>
        <s v="Fixate"/>
        <s v="Hidebound"/>
        <s v="Impervious"/>
        <s v="Internalize"/>
        <s v="Lugubrious"/>
        <s v="Naive"/>
        <s v="Ornamental"/>
        <s v="Proxy"/>
        <s v="Ramification"/>
        <s v="Subjective"/>
        <s v="Sullen"/>
        <s v="Tact"/>
        <s v="Verve"/>
        <s v="Virtuosity"/>
        <s v="Archetype"/>
        <s v="Barrage"/>
        <s v="Benign"/>
        <s v="Deceit"/>
        <s v="Detractor"/>
        <s v="Disenchant"/>
        <s v="Effrontery"/>
        <s v="Extempore"/>
        <s v="Foreground"/>
        <s v="Fulcrum"/>
        <s v="Impetus"/>
        <s v="Obstreperous"/>
        <s v="Overreaching"/>
        <s v="Redundant"/>
        <s v="Sentimental"/>
        <s v="Unintelligible"/>
        <s v="Aggrandize"/>
        <s v="Compete"/>
        <s v="Debacle"/>
        <s v="Disinterested"/>
        <s v="Ensue"/>
        <s v="Fervid"/>
        <s v="Flattery"/>
        <s v="Incidental"/>
        <s v="Latitude"/>
        <s v="Leeway"/>
        <s v="Miserly"/>
        <s v="Predilection"/>
        <s v="Profuse"/>
        <s v="Scrupulous"/>
        <s v="Subtle"/>
        <s v="Agreeable"/>
        <s v="Assail"/>
        <s v="Candid"/>
        <s v="Cavalier"/>
        <s v="Derivative"/>
        <s v="Deviate"/>
        <s v="Explicit"/>
        <s v="Exposition"/>
        <s v="Grovel"/>
        <s v="Herald"/>
        <s v="Immure"/>
        <s v="Interchangeable"/>
        <s v="Interminable"/>
        <s v="Precedence"/>
        <s v="Prevalent"/>
        <s v="Punctilious"/>
        <s v="Skeptic"/>
        <s v="Solicitous"/>
        <s v="Unexceptional"/>
        <s v="Unobjectionable"/>
        <s v="Vanquish"/>
        <s v="Beguile"/>
        <s v="Blithe"/>
        <s v="Debunk"/>
        <s v="Dirge"/>
        <s v="Equivocal"/>
        <s v="Frugality"/>
        <s v="Inclined"/>
        <s v="Morbid"/>
        <s v="Nominal"/>
        <s v="Pessimism"/>
        <s v="Placid"/>
        <s v="Sporadic"/>
        <s v="Subvert"/>
        <s v="Susceptible"/>
        <s v="Abide"/>
        <s v="Capricious"/>
        <s v="Documentary"/>
        <s v="Echelon"/>
        <s v="Inductive"/>
        <s v="Innocuous"/>
        <s v="Levity"/>
        <s v="Prescient"/>
        <s v="Prescribe"/>
        <s v="Sadistic"/>
        <s v="Slight"/>
        <s v="Sustained"/>
        <s v="Temerity"/>
        <s v="Vapid"/>
        <s v="Apt"/>
        <s v="Cite"/>
        <s v="Coherent"/>
        <s v="Eccentric"/>
        <s v="Enamor"/>
        <s v="Imminent"/>
        <s v="Indiscriminate"/>
        <s v="Intermittent"/>
        <s v="Mendacity"/>
        <s v="Mordant"/>
        <s v="Necessitate"/>
        <s v="Personify"/>
        <s v="Plaintive"/>
        <s v="Plucky"/>
        <s v="Remuneration"/>
        <s v="Singular"/>
        <s v="Skittish"/>
        <s v="Sober"/>
        <s v="Baseness"/>
        <s v="Daunting"/>
        <s v="Dismantle"/>
        <s v="Foreseeable"/>
        <s v="Games"/>
        <s v="Harmonious"/>
        <s v="Indemnify"/>
        <s v="Limpid"/>
        <s v="Mellow"/>
        <s v="Taciturn"/>
        <s v="Undertake"/>
        <s v="Beholden"/>
        <s v="Catastrophe"/>
        <s v="Explicate"/>
        <s v="Extraneous"/>
        <s v="Neutralize"/>
        <s v="Overwhelm"/>
        <s v="Pedestrian"/>
        <s v="Platitude"/>
        <s v="Predominant"/>
        <s v="Prolific"/>
        <s v="Veracious"/>
        <s v="Appease"/>
        <s v="Beneficent"/>
        <s v="Construe"/>
        <s v="Entrench"/>
        <s v="Extant"/>
        <s v="Global"/>
        <s v="Hapless"/>
        <s v="Severe"/>
        <s v="Versatile"/>
        <s v="Arcane"/>
        <s v="Bereft"/>
        <s v="Countercultural"/>
        <s v="Dynamism"/>
        <s v="Efficacy"/>
        <s v="Exasperate"/>
        <s v="Hypocrite"/>
        <s v="Incendiary"/>
        <s v="Insightful"/>
        <s v="Intermediary"/>
        <s v="Layperson"/>
        <s v="Malleable"/>
        <s v="Prudent"/>
        <s v="Refuge"/>
        <s v="Restive"/>
        <s v="Row"/>
        <s v="Vocal"/>
        <s v="Voluble"/>
        <s v="Zealous"/>
        <s v="Clamorous"/>
        <s v="Erratic"/>
        <s v="Futile"/>
        <s v="Gawky"/>
        <s v="Grievance"/>
        <s v="Meretricious"/>
        <s v="Monologue"/>
        <s v="Persistence"/>
        <s v="Rallying"/>
        <s v="Recrudesce"/>
        <s v="Rein"/>
        <s v="Spurious"/>
        <s v="Crafty"/>
        <s v="Despair"/>
        <s v="Diatribe"/>
        <s v="Divergent"/>
        <s v="Enviable"/>
        <s v="Erstwhile"/>
        <s v="Estimable"/>
        <s v="Hospitable"/>
        <s v="Morose"/>
        <s v="Mutiny"/>
        <s v="Parsimonious"/>
        <s v="Partisan"/>
        <s v="Staple"/>
        <s v="Tenable"/>
        <s v="Triumph"/>
        <s v="Unverifiable"/>
        <s v="Attainment"/>
        <s v="Coddle"/>
        <s v="Contravene"/>
        <s v="Digression"/>
        <s v="Dilettante"/>
        <s v="Fastidious"/>
        <s v="Gravity"/>
        <s v="Hortatory"/>
        <s v="Manifest"/>
        <s v="Mounting"/>
        <s v="Nullify"/>
        <s v="Ostentatious"/>
        <s v="Profound"/>
        <s v="Unrestrained"/>
        <s v="Vacuous"/>
        <s v="Wistful"/>
        <s v="Belligerent"/>
        <s v="Cacophonous"/>
        <s v="Castigate"/>
        <s v="Catholic"/>
        <s v="Cupid"/>
        <s v="Facetious"/>
        <s v="Hinder"/>
        <s v="Intractable"/>
        <s v="Lambaste"/>
        <s v="Languid"/>
        <s v="Prodigal"/>
        <s v="Quiescent"/>
        <s v="Spartan"/>
        <s v="Surmount"/>
        <s v="Tedious"/>
        <s v="Visionary"/>
        <s v="Base"/>
        <s v="Gloat"/>
        <s v="Inviolate"/>
        <s v="Lurid"/>
        <s v="Preeminent"/>
        <s v="Prefigure"/>
        <s v="Recant"/>
        <s v="Reinvent"/>
        <s v="Resent"/>
        <s v="Sever"/>
        <s v="Transient"/>
        <s v="Unorthodox"/>
        <s v="Barren"/>
        <s v="Competent"/>
        <s v="Crumble"/>
        <s v="Egalitarian"/>
        <s v="Elevate"/>
        <s v="Imperturbable"/>
        <s v="Ineluctable"/>
        <s v="Ingrained"/>
        <s v="Institutionalize"/>
        <s v="Inviting"/>
        <s v="Lull"/>
        <s v="Miscreant"/>
        <s v="Mollify"/>
        <s v="Novelty"/>
        <s v="Perilous"/>
        <s v="Placate"/>
        <s v="Proliferate"/>
        <s v="Reproach"/>
        <s v="Satirical"/>
        <s v="Sensational"/>
        <s v="Sinuous"/>
        <s v="Token"/>
        <s v="Transcend"/>
        <s v="Unsettle"/>
        <s v="Abeyance"/>
        <s v="Betray"/>
        <s v="Compliment"/>
        <s v="Comply"/>
        <s v="Duplicitous"/>
        <s v="Fallible"/>
        <s v="Flourish"/>
        <s v="Heterodox"/>
        <s v="Hypothesis"/>
        <s v="Indifferent"/>
        <s v="Indispensable"/>
        <s v="Libertine"/>
        <s v="Modish"/>
        <s v="Picturesque"/>
        <s v="Salutary"/>
        <s v="Slovenly"/>
        <s v="Turbulent"/>
        <s v="Censure"/>
        <s v="Convalescent"/>
        <s v="Demanding"/>
        <s v="Disingenuous"/>
        <s v="Egotist"/>
        <s v="Fallow"/>
        <s v="Impudent"/>
        <s v="Impugn"/>
        <s v="Lethargy"/>
        <s v="Misnomer"/>
        <s v="Obscure"/>
        <s v="Perpetrate"/>
        <s v="Proclivity"/>
        <s v="Rehabilitate"/>
        <s v="Relegate"/>
        <s v="Skirt"/>
        <s v="Stringent"/>
        <s v="Abject"/>
        <s v="Abstract"/>
        <s v="Copious"/>
        <s v="Covert"/>
        <s v="Dormant"/>
        <s v="Edify"/>
        <s v="Elate"/>
        <s v="Furtive"/>
        <s v="Imitate"/>
        <s v="Lampoon"/>
        <s v="Maladroit"/>
        <s v="Malign"/>
        <s v="Munificent"/>
        <s v="Poignant"/>
        <s v="Sham"/>
        <s v="Timorous"/>
        <s v="Unalloyed"/>
        <s v="Vestigial"/>
        <s v="Alleviate"/>
        <s v="Animus"/>
        <s v="Anomaly"/>
        <s v="Cajole"/>
        <s v="Corporeal"/>
        <s v="Discomfit"/>
        <s v="Disorient"/>
        <s v="Eradicate"/>
        <s v="Figurative"/>
        <s v="Fluster"/>
        <s v="Forbear"/>
        <s v="Giddily"/>
        <s v="Illuminate"/>
        <s v="Inscrutable"/>
        <s v="Polemical"/>
        <s v="Prodigious"/>
        <s v="Retiring"/>
        <s v="Sound"/>
        <s v="Staid"/>
        <s v="Stingy"/>
        <s v="Substantive"/>
        <s v="Abscond"/>
        <s v="Apprise"/>
        <s v="Canonize"/>
        <s v="Clearheaded"/>
        <s v="Dissemble"/>
        <s v="Indecipherable"/>
        <s v="Indecorous"/>
        <s v="Lure"/>
        <s v="Piquant"/>
        <s v="Synoptic"/>
        <s v="Urbane"/>
        <s v="Artful"/>
        <s v="Celebrated"/>
        <s v="Chivalrous"/>
        <s v="Conflagration"/>
        <s v="Encyclopedic"/>
        <s v="Erroneous"/>
        <s v="Eschew"/>
        <s v="Haphazard"/>
        <s v="Loathe"/>
        <s v="Palpable"/>
        <s v="Reverence"/>
        <s v="Stint"/>
        <s v="Unwittingly"/>
        <s v="Ambivalent"/>
        <s v="Amend"/>
        <s v="Astound"/>
        <s v="Burnish"/>
        <s v="Calibrate"/>
        <s v="Dissent"/>
        <s v="Falter"/>
        <s v="Monotonous"/>
        <s v="Obfuscate"/>
        <s v="Paragon"/>
        <s v="Providential"/>
        <s v="Puzzle"/>
        <s v="Raillery"/>
        <s v="Resilient"/>
        <s v="Sartorial"/>
        <s v="Undetectable"/>
        <s v="Universal"/>
        <s v="Waggish"/>
        <s v="Wayward"/>
        <s v="Weary"/>
        <s v="August"/>
        <s v="Contend"/>
        <s v="Eloquent"/>
        <s v="Entreaty"/>
        <s v="Fallacious"/>
        <s v="Immunity"/>
        <s v="Indebted"/>
        <s v="Inimical"/>
        <s v="Irresolute"/>
        <s v="Passable"/>
        <s v="Unresolved"/>
        <s v="Cognizance"/>
        <s v="Discernible"/>
        <s v="Efficacious"/>
        <s v="Elicit"/>
        <s v="Engage"/>
        <s v="Homogeneous"/>
        <s v="Irksome"/>
        <s v="Ironic"/>
        <s v="Liability"/>
        <s v="Malevolent"/>
        <s v="Protract"/>
        <s v="Provincial"/>
        <s v="Resolution"/>
        <s v="Robust"/>
        <s v="Subdued"/>
        <s v="Supplement"/>
        <s v="Undermine"/>
        <s v="Boon"/>
        <s v="Conducive"/>
        <s v="Enchant"/>
        <s v="Entreat"/>
        <s v="Equivocate"/>
        <s v="Heed"/>
        <s v="Injudicious"/>
        <s v="Intrinsic"/>
        <s v="Perplex"/>
        <s v="Quantifiable"/>
        <s v="Stalwart"/>
        <s v="Suppress"/>
        <s v="Testable"/>
        <s v="Testimony"/>
        <s v="Cope"/>
        <s v="Deflect"/>
        <s v="Engender"/>
        <s v="Extravagant"/>
        <s v="Factual"/>
        <s v="Fanciful"/>
        <s v="Flustered"/>
        <s v="Indolent"/>
        <s v="Lucrative"/>
        <s v="Minute"/>
        <s v="Prime"/>
        <s v="Sedulous"/>
        <s v="Supplicate"/>
        <s v="Abrasive"/>
        <s v="Blunt"/>
        <s v="Despotic"/>
        <s v="Disaffection"/>
        <s v="Disgruntle"/>
        <s v="Enthrall"/>
        <s v="Fractious"/>
        <s v="Fret"/>
        <s v="Original"/>
        <s v="Peripheral"/>
        <s v="Propitiate"/>
        <s v="Remedial"/>
        <s v="Sinister"/>
        <s v="Trifling"/>
        <s v="Unexceptionable"/>
        <s v="Virtue"/>
        <s v="Dilatory"/>
        <s v="Elucidate"/>
        <s v="Impulsive"/>
        <s v="Inducement"/>
        <s v="Integrity"/>
        <s v="Inveterate"/>
        <s v="Mitigate"/>
        <s v="Nimble"/>
        <s v="Pressing"/>
        <s v="Propped"/>
        <s v="Ridicule"/>
        <s v="Scorn"/>
        <s v="Simpleton"/>
        <s v="Slander"/>
        <s v="Affect"/>
        <s v="Countenance"/>
        <s v="Discern"/>
        <s v="Exhaustive"/>
        <s v="Fungible"/>
        <s v="Loquacious"/>
        <s v="Makeshift"/>
        <s v="Neophyte"/>
        <s v="Posed"/>
        <s v="Scintillating"/>
        <s v="Tempestuous"/>
        <s v="Trenchant"/>
        <s v="Uncritical"/>
        <s v="Arbitrary"/>
        <s v="Auxiliary"/>
        <s v="Desultory"/>
        <s v="Diffident"/>
        <s v="Dwarf"/>
        <s v="Feint"/>
        <s v="Hysterical"/>
        <s v="Incessant"/>
        <s v="Intelligible"/>
        <s v="Irremediable"/>
        <s v="Patronize"/>
        <s v="Pithy"/>
        <s v="Precipitate"/>
        <s v="Render"/>
        <s v="Sobriety"/>
        <s v="Sparing"/>
        <s v="Subsume"/>
        <s v="Sycophant"/>
        <s v="Trivial"/>
        <s v="Undisturbed"/>
        <s v="Abound"/>
        <s v="Audacious"/>
        <s v="Churlish"/>
        <s v="Contrite"/>
        <s v="Croon"/>
        <s v="Entrenched"/>
        <s v="Irreconcilable"/>
        <s v="Megalomaniac"/>
        <s v="Normative"/>
        <s v="Penitent"/>
        <s v="Presage"/>
        <s v="Provocative"/>
        <s v="Reiterate"/>
        <s v="Syntactical"/>
        <s v="Valedictory"/>
        <s v="Warranted"/>
        <s v="Abridge"/>
        <s v="Affectation"/>
        <s v="Alienate"/>
        <s v="Apologist"/>
        <s v="Bawdy"/>
        <s v="Bemuse"/>
        <s v="Covet"/>
        <s v="Dissolution"/>
        <s v="Entail"/>
        <s v="Forestall"/>
        <s v="Improvise"/>
        <s v="Ploy"/>
        <s v="Propriety"/>
        <s v="Pugnacious"/>
        <s v="Suspect"/>
        <s v="Unfathomable"/>
        <s v="Arresting"/>
        <s v="Chastise"/>
        <s v="Decadent"/>
        <s v="Doctrinaire"/>
        <s v="Enervate"/>
        <s v="Gregarious"/>
        <s v="Invaluable"/>
        <s v="Jocund"/>
        <s v="Laconic"/>
        <s v="Largesse"/>
        <s v="Meager"/>
        <s v="Objectivity"/>
        <s v="Phlegmatic"/>
        <s v="Speculative"/>
        <s v="Temperate"/>
        <s v="Activism"/>
        <s v="Allusive"/>
        <s v="Antedate"/>
        <s v="Archaic"/>
        <s v="Disparate"/>
        <s v="Fringe"/>
        <s v="Gratify"/>
        <s v="Hamper"/>
        <s v="Manipulate"/>
        <s v="Overt"/>
        <s v="Pomposity"/>
        <s v="Preternatural"/>
        <s v="Resonate"/>
        <s v="Scathe"/>
        <s v="Tantamount"/>
        <s v="Unsound"/>
        <s v="Vitiate"/>
        <s v="Apathy"/>
        <s v="Assertive"/>
        <s v="Augment"/>
        <s v="Avarice"/>
        <s v="Connoisseur"/>
        <s v="Crestfallen"/>
        <s v="Depravity"/>
        <s v="Devious"/>
        <s v="Distend"/>
        <s v="Ennui"/>
        <s v="Expedite"/>
        <s v="Finicky"/>
        <s v="Inform"/>
        <s v="Objurgate"/>
        <s v="Outlandish"/>
        <s v="Quibble"/>
        <s v="Stigmatize"/>
        <s v="Unprincipled"/>
        <s v="Allegorical"/>
        <s v="Fitfully"/>
        <s v="Imperious"/>
        <s v="Keen"/>
        <s v="Narcissism"/>
        <s v="Paltry"/>
        <s v="Self-Righteous"/>
        <s v="Unexampled"/>
        <s v="Unpremeditated"/>
        <s v="Affinity"/>
        <s v="Aplomb"/>
        <s v="Approbation"/>
        <s v="Bucolic"/>
        <s v="Cerebral"/>
        <s v="Collusion"/>
        <s v="Contentious"/>
        <s v="Cumbersome"/>
        <s v="Curtail"/>
        <s v="Decorum"/>
        <s v="Disapprobation"/>
        <s v="Embellish"/>
        <s v="Escalate"/>
        <s v="Fledgling"/>
        <s v="Inarticulate"/>
        <s v="Noble"/>
        <s v="Obligate"/>
        <s v="Self-Indulgence"/>
        <s v="Torpid"/>
        <s v="Banish"/>
        <s v="Endorse"/>
        <s v="Florid"/>
        <s v="Forsake"/>
        <s v="Galvanize"/>
        <s v="Pristine"/>
        <s v="Rhetoric"/>
        <s v="Ritual"/>
        <s v="Sparse"/>
        <s v="Tranquil"/>
        <s v="Trite"/>
        <s v="Amalgamate"/>
        <s v="Circumstantial"/>
        <s v="Complacent"/>
        <s v="Convivial"/>
        <s v="Counterintuitive"/>
        <s v="Glum"/>
        <s v="Immaculate"/>
        <s v="Invasive"/>
        <s v="Laborious"/>
        <s v="Pedantic"/>
        <s v="Perpetuate"/>
        <s v="Predicament"/>
        <s v="Radical"/>
        <s v="Ravage"/>
        <s v="Replenish"/>
        <s v="Substantiate"/>
        <s v="Unfounded"/>
        <s v="Correlate"/>
        <s v="Disgorge"/>
        <s v="Enigmatic"/>
        <s v="Eventuate"/>
        <s v="Immutable"/>
        <s v="Imprudent"/>
        <s v="Intransigent"/>
        <s v="Mediate"/>
        <s v="Open-Ended"/>
        <s v="Recondite"/>
        <s v="Renege"/>
        <s v="Untapped"/>
        <s v="Veritable"/>
        <s v="Accentuate"/>
        <s v="Acute"/>
        <s v="Ascribe"/>
        <s v="Assiduous"/>
        <s v="Clangor"/>
        <s v="Credible"/>
        <s v="Discredit"/>
        <s v="Feeble"/>
        <s v="Germane"/>
        <s v="Inquisitive"/>
        <s v="Lax"/>
        <s v="Polarize"/>
        <s v="Risible"/>
        <s v="Serene"/>
        <s v="Starvation"/>
        <s v="Unseemly"/>
        <s v="Audacity"/>
        <s v="Cataclysmic"/>
        <s v="Curmudgeon"/>
        <s v="Distressed"/>
        <s v="Dubious"/>
        <s v="Imbroglio"/>
        <s v="Ingenious"/>
        <s v="Pivotal"/>
        <s v="Spendthrift"/>
        <s v="Supersede"/>
        <s v="Unaffected"/>
        <s v="Unattainable"/>
        <s v="Volatile"/>
        <s v="Wily"/>
        <s v="Abstraction"/>
        <s v="Befuddled"/>
        <s v="Craven"/>
        <s v="Idealistic"/>
        <s v="Inhibit"/>
        <s v="Irreverent"/>
        <s v="Parochial"/>
        <s v="Perennial"/>
        <s v="Surly"/>
        <s v="Thrive"/>
        <s v="Abhor"/>
        <s v="Compromise"/>
        <s v="Conundrum"/>
        <s v="Delicacy"/>
        <s v="Dictum"/>
        <s v="Disquiet"/>
        <s v="Economy"/>
        <s v="Endanger"/>
        <s v="Fortuitous"/>
        <s v="Heterogeneous"/>
        <s v="Indictment"/>
        <s v="Metaphorical"/>
        <s v="Optimistic"/>
        <s v="Pastiche"/>
        <s v="Propagate"/>
        <s v="Rapacious"/>
        <s v="Rhapsody"/>
        <s v="Utilitarian"/>
        <s v="Acolyte"/>
        <s v="Astute"/>
        <s v="Attribute"/>
        <s v="Compelling"/>
        <s v="Estrange"/>
        <s v="Exploit"/>
        <s v="Goosebump"/>
        <s v="Inconsequential"/>
        <s v="Inevitable"/>
        <s v="Menace"/>
        <s v="Prurient"/>
        <s v="Repugnant"/>
        <s v="Restrain"/>
        <s v="Sanctimonious"/>
        <s v="Superficiality"/>
        <s v="Unprecedented"/>
        <s v="Acumen"/>
        <s v="All-Encompassing"/>
        <s v="Bromide"/>
        <s v="Contentment"/>
        <s v="Cunning"/>
        <s v="Extrapolate"/>
        <s v="Ideology"/>
        <s v="Indict"/>
        <s v="Insular"/>
        <s v="Pensive"/>
        <s v="Sophist"/>
        <s v="Underlying"/>
        <s v="Unmistakable"/>
        <s v="Abstruse"/>
        <s v="Apprehension"/>
        <s v="Compliant"/>
        <s v="Denigrate"/>
        <s v="Dispassionate"/>
        <s v="Forebode"/>
        <s v="Laudable"/>
        <s v="Onerous"/>
        <s v="Residual"/>
        <s v="Woeful"/>
        <s v="Yield"/>
        <s v="Contempt"/>
        <s v="Equanimity"/>
        <s v="Exculpate"/>
        <s v="Indecision"/>
        <s v="Melding"/>
        <s v="Outmoded"/>
        <s v="Panache"/>
        <s v="Pellucid"/>
        <s v="Rational"/>
        <s v="Stanch"/>
        <s v="Swindle"/>
        <s v="Treatise"/>
        <s v="Turpitude"/>
        <s v="Aesthetic"/>
        <s v="Boisterous"/>
        <s v="Caustic"/>
        <s v="Complementary"/>
        <s v="Conclusive"/>
        <s v="Diffuse"/>
        <s v="Egregious"/>
        <s v="Esoteric"/>
        <s v="Fester"/>
        <s v="Gainsay"/>
        <s v="Heady"/>
        <s v="Liberate"/>
        <s v="Rampant"/>
        <s v="Transparency"/>
        <s v="Wary"/>
        <s v="Abandon"/>
        <s v="Amuse"/>
        <s v="Commensurate"/>
        <s v="Dissimilar"/>
        <s v="Empathy"/>
        <s v="Incongruous"/>
        <s v="Nettles"/>
        <s v="Portend"/>
        <s v="Sacrosanct"/>
        <s v="Tenuous"/>
        <s v="Affront"/>
        <s v="Boorish"/>
        <s v="Callow"/>
        <s v="Crescendo"/>
        <s v="Disentangle"/>
        <s v="Fecund"/>
        <s v="Grouchy"/>
        <s v="Invigorate"/>
        <s v="Involved"/>
        <s v="Penchant"/>
        <s v="Proficient"/>
        <s v="Proportionate"/>
        <s v="Retaliate"/>
        <s v="Undercut"/>
        <s v="Adept"/>
        <s v="Affable"/>
        <s v="Buttress"/>
        <s v="Cessation"/>
        <s v="Champion"/>
        <s v="Code"/>
        <s v="Discreet"/>
        <s v="Distaste"/>
        <s v="Elitist"/>
        <s v="Evade"/>
        <s v="Exonerate"/>
        <s v="Haughty"/>
        <s v="Impair"/>
        <s v="Inalienable"/>
        <s v="Intrigue"/>
        <s v="Meritorious"/>
        <s v="Murky"/>
        <s v="Nascent"/>
        <s v="Restless"/>
        <s v="Showy"/>
        <s v="Stun"/>
        <s v="Subversion"/>
        <s v="Anecdote"/>
        <s v="Braggart"/>
        <s v="Commiserate"/>
        <s v="Impede"/>
        <s v="Pertinent"/>
        <s v="Quixotic"/>
        <s v="Ramble"/>
        <s v="Rudimentary"/>
        <s v="Self-Evident"/>
        <s v="Temerarious"/>
        <s v="Tyrannical"/>
        <s v="Collude"/>
        <s v="Deify"/>
        <s v="Interweave"/>
        <s v="Marketable"/>
        <s v="Opulent"/>
        <s v="Outdated"/>
        <s v="Prophetic"/>
        <s v="Surreptitious"/>
        <s v="Temporal"/>
        <s v="Umbrage"/>
        <s v="Waning"/>
        <s v="Alacrity"/>
        <s v="Avid"/>
        <s v="Counterproductive"/>
        <s v="Dispense"/>
        <s v="Equitable"/>
        <s v="Fawn"/>
        <s v="Fraught"/>
        <s v="Indiscretion"/>
        <s v="Malfeasance"/>
        <s v="Modest"/>
        <s v="Persuasive"/>
        <s v="Pliant"/>
        <s v="Sloth"/>
        <s v="Virulent"/>
        <s v="Acquiesce"/>
        <s v="Amorphous"/>
        <s v="Blemish"/>
        <s v="Brevity"/>
        <s v="Demystify"/>
        <s v="Dupe"/>
        <s v="Glorification"/>
        <s v="Headstrong"/>
        <s v="Lassitude"/>
        <s v="Novel"/>
        <s v="Scrutinize"/>
        <s v="Chary"/>
        <s v="Constraining"/>
        <s v="Cursory"/>
        <s v="Eclectic"/>
        <s v="Inexhaustible"/>
        <s v="Lofty"/>
        <s v="Rejuvenate"/>
        <s v="Relinquish"/>
        <s v="Zealot"/>
        <s v="Zenith"/>
        <s v="Agitate"/>
        <s v="Blight"/>
        <s v="Buoyancy"/>
        <s v="Capitulate"/>
        <s v="Captious"/>
        <s v="Cloak"/>
        <s v="Cosmopolitan"/>
        <s v="Detrimental"/>
        <s v="Economical"/>
        <s v="Endemic"/>
        <s v="Feasible"/>
        <s v="Felicitous"/>
        <s v="Juxtaposition"/>
        <s v="Kindred"/>
        <s v="Lament"/>
        <s v="Noninterventionist"/>
        <s v="Ossify"/>
        <s v="Overstate"/>
        <s v="Paradigm"/>
        <s v="Qualm"/>
        <s v="Squander"/>
        <s v="Acclaim"/>
        <s v="Adulation"/>
        <s v="Cathartic"/>
        <s v="Dowdy"/>
        <s v="Droll"/>
        <s v="Expatiate"/>
        <s v="Fortitude"/>
        <s v="Vilify"/>
        <s v="Enfeeble"/>
        <s v="Exorbitant"/>
        <s v="Goad"/>
        <s v="Inconsiderable"/>
        <s v="Malignant"/>
        <s v="Mawkish"/>
        <s v="Mundane"/>
        <s v="Obdurate"/>
        <s v="Oblige"/>
        <s v="Tout"/>
        <s v="Undiminished"/>
        <s v="Abstain"/>
        <s v="Adverse"/>
        <s v="Ahistorical"/>
        <s v="Arduous"/>
        <s v="Austere"/>
        <s v="Autonomous"/>
        <s v="Bridle"/>
        <s v="Canny"/>
        <s v="Condescending"/>
        <s v="Disconcert"/>
        <s v="Draconian"/>
        <s v="Evanescent"/>
        <s v="Exigent"/>
        <s v="Farsighted"/>
        <s v="Instigate"/>
        <s v="Luminary"/>
        <s v="Mercenary"/>
        <s v="Mystification"/>
        <s v="Scant"/>
        <s v="Affluence"/>
        <s v="Avaricious"/>
        <s v="Clerical"/>
        <s v="Commonplace"/>
        <s v="Duress"/>
        <s v="Elusive"/>
        <s v="Encroach"/>
        <s v="Factious"/>
        <s v="Implacable"/>
        <s v="Incontrovertible"/>
        <s v="Insolent"/>
        <s v="Invidious"/>
        <s v="Irrefutable"/>
        <s v="Macabre"/>
        <s v="Outstrip"/>
        <s v="Refine"/>
        <s v="Repercussion"/>
        <s v="Salubrious"/>
        <s v="Uncultivated"/>
        <s v="Unpretentious"/>
        <s v="Wanting"/>
        <s v="Ambiguity"/>
        <s v="Antiquity"/>
        <s v="Bolster"/>
        <s v="Chicanery"/>
        <s v="Devolve"/>
        <s v="Empirical"/>
        <s v="Imperative"/>
        <s v="Insurmountable"/>
        <s v="Obeisance"/>
        <s v="Opportunism"/>
        <s v="Poise"/>
        <s v="Populous"/>
        <s v="Relish"/>
        <s v="Unadorned"/>
        <s v="Accessible"/>
        <s v="Anachronism"/>
        <s v="Artless"/>
        <s v="Cogitate"/>
        <s v="Comprehensive"/>
        <s v="Conventional"/>
        <s v="Dearth"/>
        <s v="Denounce"/>
        <s v="Dogmatic"/>
        <s v="Euphoric"/>
        <s v="Extol"/>
        <s v="Mask"/>
        <s v="Pacify"/>
        <s v="Petulant"/>
        <s v="Premeditate"/>
        <s v="Reconcile"/>
        <s v="Secondhand"/>
        <s v="Shrill"/>
        <s v="Specious"/>
        <s v="Turbid"/>
        <s v="Adulterate"/>
        <s v="Ardent"/>
        <s v="Deride"/>
        <s v="Desiccate"/>
        <s v="Foment"/>
        <s v="Fruitful"/>
        <s v="Garrulous"/>
        <s v="Incitement"/>
        <s v="Intertwined"/>
        <s v="Partiality"/>
        <s v="Prowess"/>
        <s v="Stimulate"/>
        <s v="Superficial"/>
        <s v="Underreport"/>
        <s v="Analogous"/>
        <s v="Congenial"/>
        <s v="Conspire"/>
        <s v="Cow"/>
        <s v="Ephemeral"/>
        <s v="Euphemism"/>
        <s v="Materialize"/>
        <s v="Mercurial"/>
        <s v="Mettlesome"/>
        <s v="Mimic"/>
        <s v="Obsequious"/>
        <s v="Replicate"/>
        <s v="Abreast"/>
        <s v="Aspersion"/>
        <s v="Astringent"/>
        <s v="Balloon"/>
        <s v="Banter"/>
        <s v="Bombastic"/>
        <s v="Circumspect"/>
        <s v="Contretemps"/>
        <s v="Cynical"/>
        <s v="Debase"/>
        <s v="Deft"/>
        <s v="Distort"/>
        <s v="Exorcise"/>
        <s v="Illusory"/>
        <s v="Malady"/>
        <s v="Nonchalant"/>
        <s v="Perfidy"/>
        <s v="Redemption"/>
        <s v="Remote"/>
        <s v="Ruminate"/>
        <s v="Synthesize"/>
        <s v="Atypical"/>
        <s v="Belligerence"/>
        <s v="Condone"/>
        <s v="Harangue"/>
        <s v="Inept"/>
        <s v="Pastoral"/>
        <s v="Paucity"/>
        <s v="Plastic"/>
        <s v="Quotidian"/>
        <s v="Sanction"/>
        <s v="Scuffle"/>
        <s v="Sift"/>
        <s v="Sordid"/>
        <s v="Tactless"/>
        <s v="Tangential"/>
        <s v="Tenacity"/>
        <s v="Tendentious"/>
        <s v="Terrific"/>
        <s v="Torpor"/>
        <s v="Transitory"/>
        <s v="Vacillate"/>
        <s v="Antagonistic"/>
        <s v="Apposite"/>
        <s v="Bravado"/>
        <s v="Candor"/>
        <s v="Conviction"/>
        <s v="Embargo"/>
        <s v="Expedient"/>
        <s v="Infallible"/>
        <s v="Propensity"/>
        <s v="Spurn"/>
        <s v="Undo"/>
        <s v="Unquantifiable"/>
        <s v="Zeal"/>
        <s v="Attenuate"/>
        <s v="Bearing"/>
        <s v="Bias"/>
        <s v="Burgeon"/>
        <s v="Discord"/>
        <s v="Discount"/>
        <s v="Fleeting"/>
        <s v="Frenetic"/>
        <s v="Inveigle"/>
        <s v="Palliate"/>
        <s v="Perseverance"/>
        <s v="Vivacious"/>
        <s v="Abate"/>
        <s v="Anoint"/>
        <s v="Clumsy"/>
        <s v="Comity"/>
        <s v="Counterfeit"/>
        <s v="Deter"/>
        <s v="Evoke"/>
        <s v="Feckless"/>
        <s v="Presuppose"/>
        <s v="Rigor"/>
        <s v="Tirade"/>
        <s v="Unscrupulous"/>
        <s v="Valor"/>
        <s v="Vociferous"/>
        <s v="Adherent"/>
        <s v="Anachronistic"/>
        <s v="Animosity"/>
        <s v="Aver"/>
        <s v="Cogent"/>
        <s v="Conditional"/>
        <s v="Culprit"/>
        <s v="Fusion"/>
        <s v="Manacle"/>
        <s v="Opprobrium"/>
        <s v="Quash"/>
        <s v="Rapprochement"/>
        <s v="Stoic"/>
        <s v="Stolid"/>
        <s v="Tempting"/>
        <s v="Tortuous"/>
        <s v="Uncontroversial"/>
        <s v="Aloof"/>
        <s v="Astonish"/>
        <s v="Brandish"/>
        <s v="Contingent"/>
        <s v="Delineate"/>
        <s v="Dilemma"/>
        <s v="Disperse"/>
        <s v="Erode"/>
        <s v="Fabricate"/>
        <s v="Harrow"/>
        <s v="Improbable"/>
        <s v="Sanguine"/>
        <s v="Shirk"/>
        <s v="Skullduggery"/>
        <s v="Somnolent"/>
        <s v="Strategic"/>
        <s v="Advocate"/>
        <s v="Aghast"/>
        <s v="Bogus"/>
        <s v="Corroborate"/>
        <s v="Depose"/>
        <s v="Dichotomy"/>
        <s v="Disjunction"/>
        <s v="Exegesis"/>
        <s v="Foresight"/>
        <s v="Indefatigable"/>
        <s v="Nonplussed"/>
        <s v="Noxious"/>
        <s v="Pernicious"/>
        <s v="Profundity"/>
        <s v="Prolix"/>
        <s v="Promulgate"/>
        <s v="Recapitulate"/>
        <s v="Recipe"/>
        <s v="Scornful"/>
        <s v="Tepid"/>
      </sharedItems>
    </cacheField>
    <cacheField name="Group" numFmtId="0">
      <sharedItems count="14">
        <s v="Temporal"/>
        <s v="Spatial"/>
        <s v="Physical Sensation"/>
        <s v="Positive Traits"/>
        <s v="Negative Traits"/>
        <s v="Philosophical"/>
        <s v="Emotional"/>
        <s v="Sound"/>
        <s v="Linguistic"/>
        <s v="Taste"/>
        <s v="Intellectual"/>
        <s v="Visual"/>
        <s v="Religious"/>
        <s v="Mythological"/>
      </sharedItems>
    </cacheField>
    <cacheField name="Etymology" numFmtId="0">
      <sharedItems count="17">
        <s v="Latin Origin"/>
        <s v="Greek Origin"/>
        <s v="Old French Origin"/>
        <s v="Middle English Origin"/>
        <s v="Old English Origin"/>
        <s v="French Origin"/>
        <s v="Unknown Origin"/>
        <s v="Scottish Origin"/>
        <s v="Old Norse Origin"/>
        <s v="Spanish Origin"/>
        <s v="Italian Origin"/>
        <s v="Portuguese Origin"/>
        <s v="Arabic Origin"/>
        <s v="American English Origin"/>
        <s v="Old French/Latin Origin"/>
        <s v="German Origin"/>
        <s v="Old Italian Origin"/>
      </sharedItems>
    </cacheField>
    <cacheField name="Bucket" numFmtId="0">
      <sharedItems count="82">
        <s v="Temporal Latin Origin"/>
        <s v="Spatial Greek Origin"/>
        <s v="Temporal Old French Origin"/>
        <s v="Physical Sensation Middle English Origin"/>
        <s v="Positive Traits Latin Origin"/>
        <s v="Negative Traits Greek Origin"/>
        <s v="Negative Traits Latin Origin"/>
        <s v="Negative Traits Old English Origin"/>
        <s v="Positive Traits French Origin"/>
        <s v="Negative Traits French Origin"/>
        <s v="Temporal Unknown Origin"/>
        <s v="Temporal Old English Origin"/>
        <s v="Negative Traits Unknown Origin"/>
        <s v="Positive Traits Greek Origin"/>
        <s v="Philosophical Latin Origin"/>
        <s v="Spatial French Origin"/>
        <s v="Positive Traits Old English Origin"/>
        <s v="Emotional Scottish Origin"/>
        <s v="Spatial Old French Origin"/>
        <s v="Emotional Greek Origin"/>
        <s v="Negative Traits Old French Origin"/>
        <s v="Emotional Latin Origin"/>
        <s v="Temporal Old Norse Origin"/>
        <s v="Philosophical Greek Origin"/>
        <s v="Spatial Latin Origin"/>
        <s v="Temporal French Origin"/>
        <s v="Negative Traits Spanish Origin"/>
        <s v="Positive Traits Old French Origin"/>
        <s v="Temporal Greek Origin"/>
        <s v="Sound Unknown Origin"/>
        <s v="Linguistic Greek Origin"/>
        <s v="Taste Latin Origin"/>
        <s v="Emotional Italian Origin"/>
        <s v="Intellectual Old English Origin"/>
        <s v="Linguistic French Origin"/>
        <s v="Spatial Old English Origin"/>
        <s v="Positive Traits Unknown Origin"/>
        <s v="Temporal Italian Origin"/>
        <s v="Positive Traits Old Norse Origin"/>
        <s v="Emotional Old English Origin"/>
        <s v="Emotional Middle English Origin"/>
        <s v="Spatial Portuguese Origin"/>
        <s v="Visual Italian Origin"/>
        <s v="Emotional French Origin"/>
        <s v="Emotional Old French Origin"/>
        <s v="Linguistic Old Norse Origin"/>
        <s v="Religious Latin Origin"/>
        <s v="Temporal Middle English Origin"/>
        <s v="Intellectual Latin Origin"/>
        <s v="Temporal Arabic Origin"/>
        <s v="Positive Traits Italian Origin"/>
        <s v="Linguistic Latin Origin"/>
        <s v="Philosophical American English Origin"/>
        <s v="Sound Latin Origin"/>
        <s v="Philosophical Old English Origin"/>
        <s v="Negative Traits Middle English Origin"/>
        <s v="Spatial Unknown Origin"/>
        <s v="Spatial Middle English Origin"/>
        <s v="Negative Traits Italian Origin"/>
        <s v="Physical Sensation Latin Origin"/>
        <s v="Sound Greek Origin"/>
        <s v="Religious Greek Origin"/>
        <s v="Mythological Latin Origin"/>
        <s v="Emotional Unknown Origin"/>
        <s v="Temporal Old French/Latin Origin"/>
        <s v="Intellectual Greek Origin"/>
        <s v="Negative Traits Old Norse Origin"/>
        <s v="Positive Traits Middle English Origin"/>
        <s v="Sound Old English Origin"/>
        <s v="Sound Middle English Origin"/>
        <s v="Philosophical French Origin"/>
        <s v="Positive Traits Old French/Latin Origin"/>
        <s v="Physical Sensation Old English Origin"/>
        <s v="Positive Traits German Origin"/>
        <s v="Linguistic Old English Origin"/>
        <s v="Sound Italian Origin"/>
        <s v="Positive Traits Scottish Origin"/>
        <s v="Spatial Italian Origin"/>
        <s v="Temporal Old Italian Origin"/>
        <s v="Temporal Spanish Origin"/>
        <s v="Negative Traits Scottish Origin"/>
        <s v="Negative Traits American English Origin"/>
      </sharedItems>
    </cacheField>
    <cacheField name="length" numFmtId="0">
      <sharedItems containsString="0" containsBlank="1" containsNumber="1" containsInteger="1" minValue="3" maxValue="20" count="18">
        <n v="12"/>
        <n v="11"/>
        <n v="10"/>
        <n v="5"/>
        <n v="7"/>
        <n v="8"/>
        <n v="6"/>
        <n v="9"/>
        <n v="4"/>
        <n v="13"/>
        <n v="15"/>
        <n v="3"/>
        <n v="20"/>
        <n v="14"/>
        <n v="16"/>
        <m/>
        <n v="17"/>
        <n v="18"/>
      </sharedItems>
    </cacheField>
    <cacheField name="Meaning" numFmtId="0">
      <sharedItems containsBlank="1" count="1446">
        <s v="Things that are contemporary are either happening at the same time or happening now. Contemporary art is recent art."/>
        <s v="Disseminate means to spread information, knowledge, opinions widely. Semin- derives from the Latin word for seed; the idea with disseminate is that information travels like seeds sown by a farmer."/>
        <s v="1. Ecological means involved with or concerning ecology. _x000a_2. Ecological groups, movements, and people are concerned with preserving the environment and natural resources, so that they can be used in a sensible way, rather than being wasted. "/>
        <s v="To exalt someone or something means to praise them very highly. "/>
        <s v="If someone feigns a particular feeling, attitude, or physical condition, they try to make other people think that they have it or are experiencing it, although this is not true. "/>
        <s v="physical weakness; lack of health or strength OR moral weakness"/>
        <s v="1. pleasant, kind, and polite: &quot;You’re a gracious host.&quot;_x000a_2. having the qualities great comfort and luxury made possible by wealth: &quot;He was used to gracious living&quot;"/>
        <s v="1. closely in a personal or sexual way_x000a_2. in a very detailed way"/>
        <s v="If you describe a person or their feelings as misanthropic, you mean that they do not like other people."/>
        <s v="If you say that something mortifies you, you mean that it offends or embarrasses you a great deal. "/>
        <s v="1. If someone's way of speaking, writing, or behaving is portentous, they speak, write, or behave more seriously than necessary because they want to impress other people. _x000a_2. Something that is portentous is important in indicating or affecting future even"/>
        <s v="not securely held or in position; dangerously likely to fall or collapse."/>
        <s v="If you are in a quandary, you have to make a decision but cannot decide what to do"/>
        <s v="You can describe something as sluggish if it moves, works, or reacts much slower than you would like or is normal. "/>
        <s v="1. tendency to anger_x000a_2. one’s mood in general_x000a_3. To temper something means to make it less extreme. "/>
        <s v="Someone who is adroit is quick and skilful in their thoughts, behaviour, or actions. "/>
        <s v="If you are amenable to something, you are willing to do it or accept it. "/>
        <s v="Calumny or a calumny is an untrue statement made about someone in order to reduce other people's respect and admiration for them. "/>
        <s v="1. If you describe someone as chauvinistic, you believe that they think their own country is more important and morally better than any other. _x000a_2. If you describe a man or his behaviour as chauvinistic, you disapprove of him for believing that men are nat"/>
        <s v="Compliance with something, for example a law, treaty, or agreement means doing what you are required or expected to do. "/>
        <s v="Someone who is deferential is polite and respectful towards someone else. "/>
        <s v="If you divulge a piece of secret or private information, you tell it to someone. "/>
        <s v="so confused that you do not know what to do"/>
        <s v="same as forego; to give up or do without"/>
        <s v="1. If you describe someone or something as peculiar, you think that they are strange or unusual, sometimes in an unpleasant way. _x000a_2. If something is peculiar to a particular thing, person, or situation, it belongs or relates only to that thing, person, or"/>
        <s v="Someone who is pertinacious continues trying to do something difficult rather than giving up quickly. "/>
        <s v="fake/nor real, like your attitude, a gigantic diamond, or that obnoxious guy's claims that he knows everything about quantum physics_x000a_also &quot;phoney&quot;, also n"/>
        <s v="Pragmatism means thinking of or dealing with problems in a practical way, rather than by using theory or abstract principles. "/>
        <s v="If you abjure something such as a belief or way of life, you state publicly that you will give it up or that you reject it. "/>
        <s v="1. Something that is appropriate is suitable or acceptable for a particular situation. _x000a_2. If someone appropriates something which does not belong to them, they take it, usually without the right to do so. _x000a_3. If a government or organization appropriates "/>
        <s v="Something that is auspicious indicates that success is likely. "/>
        <s v="Something that is buoyant floats in water. Since floating is happier than sinking, buoyant also refers to things are fun and upbeat.(Ex: buoyant mood, buoyant economy)"/>
        <s v="To cherish something is to care for it deeply, to treasure it, like the way you cherish the time you spend with a favorite person you don't see often."/>
        <s v="If something is compounded of different things, it is a mixture of those things. "/>
        <s v="1. in perfect detail; complete and correct_x000a_2. Exact is sometimes used to increase emphasis on the following word_x000a_3. to demand and obtain something, sometimes using threats or force: Ex: exact revenge, exact $$"/>
        <s v="Anything that sparks your interest or makes you wonder has the ability to fascinate."/>
        <s v="If you say that someone or something is flamboyant, you mean that they are very noticeable, stylish, and exciting. "/>
        <s v="Something that is momentary lasts for a very short period of time, for example for a few seconds or less. "/>
        <s v="something that will solve all problems or cure all illnesses"/>
        <s v="1. Someone who is pious is very religious and moral. _x000a_2. If you describe someone's words as pious, you think that their words are full of good intentions but do not lead to anything useful being done. _x000a_3. If you describe someone as pious, you disapprove o"/>
        <s v="If you redouble your efforts, you try much harder to achieve something. If something redoubles, it increases in volume or intensity. "/>
        <s v="Something that's startling is so unexpected that it shocks or surprises you. It would be startling to open your front door and see a clown standing there."/>
        <s v="Utterly is an intensifying word: something utterly delicious is very, very delicious."/>
        <s v="1. Something that is viable is capable of doing what it is intended to do. _x000a_2.  Foetuses, seeds, or eggs are described as viable if they are capable of developing into living beings without outside help. "/>
        <s v="1. to end a law, agreement, or custom formally (ex: &quot;The treaty was abrogated in 1929.&quot;)_x000a_2. to avoid something that you should do (ex: &quot;Companies are really abrogating responsibility for safety&quot;)"/>
        <s v="impossible to understand; perplexing; bewildering; puzzling"/>
        <s v="1. If something ceases, it stops happening or existing. _x000a_2. If you cease to do something, you stop doing it. _x000a_3. If you cease something, you stop it happening or working. "/>
        <s v="1. examine _x000a_2. If you check on someone or something, you make sure they are in a safe or satisfactory condition. _x000a_3. tick_x000a_4. To check something, usually something bad, means to stop it from spreading or continuing. _x000a_5. If you check yourself or if somethin"/>
        <s v="If you deprecate something, you criticize it. "/>
        <s v="entranced, enthusiastic"/>
        <s v="Enmity is a feeling of hatred towards someone that lasts for a long time. "/>
        <s v="Something so unusual that it must be from some unfamiliar place is exotic. An exotic pet might be a panda, instead of a hamster. An exotic trip might be a journey to the Galapagos Islands, instead of to Orlando's Sea World."/>
        <s v="An impediment is anything that slows or blocks progress. It can refer to a physical thing, like a fallen tree in the road, or something more intangible, like how your short stature is an impediment to becoming a professional basketball player."/>
        <s v="Impenetrable describes something that's impossible to get through. Whether it's a brick wall or a difficult reading passage, something impenetrable won't let you in."/>
        <s v="The adjective implausible breaks down into im, meaning “not,” and plausible, meaning &quot;likely.&quot; So it simply means &quot;not likely.&quot;"/>
        <s v="extremely angry"/>
        <s v="If someone comments that you are very industrious, they are complimenting you for working hard and tirelessly. You can have the evening to yourself if you're industrious enough during the afternoon to get your homework and chores done."/>
        <s v="Someone who is ingenuous shows a childlike innocence, trust, and openness."/>
        <s v="If you describe a guarantee or plan as ironclad, you are emphasizing that it has been carefully put together, and that you think it is absolutely certain to work or be successful"/>
        <s v="Call a word or phrase pejorative if it is used as a disapproving expression or a term of abuse. Tree-hugger is a pejorative term for an environmentalist."/>
        <s v="A perfunctory action is done quickly and carelessly, and shows a lack of interest in what you are doing. "/>
        <s v="A sharp, steep drop — whether it's in a stock price, a roller coaster, or a star's popularity — could be described as a precipitous one. Put simply, precipitous means perilously steep."/>
        <s v="Someone who is profligate spends too much money or uses too much of something. "/>
        <s v="If you repudiate something or someone, you show that you strongly disagree with them and do not want to be connected with them in any way. "/>
        <s v="1. If you describe the cost of something as ruinous, you mean that it costs far more money than you can afford or than is reasonable_x000a_2. A ruinous process or course of action is one that is likely to lead to ruin"/>
        <s v="not deep"/>
        <s v="If you thwart someone or thwart their plans, you prevent them from doing or getting what they want. "/>
        <s v="Vexation is a feeling of being annoyed, puzzled, and frustrated"/>
        <s v="to make a bad or unpleasant situation better"/>
        <s v="Someone who is amiable is friendly and pleasant to be with. "/>
        <s v="1. The antithesis of something is its exact opposite. _x000a_2. If there is an antithesis between two things, there is a contrast between them. "/>
        <s v="An ascetic person has a way of life that is simple and strict, usually because of their religious beliefs. "/>
        <s v="doing or inclined to do good; kindly; charitable "/>
        <s v="If someone's power or freedom is circumscribed, it is limited or restricted. "/>
        <s v="When you work together on shared goal, you collaborate. If you don't just split a project up evenly but work together on creating solutions, you collaborate."/>
        <s v="If someone or something confounds you, they make you feel surprised or confused, often by showing you that your opinions or expectations of them were wrong. &quot;The singer confounded her critics with a remarkable follow-up album&quot;_x000a__x000a_confounding variable influe"/>
        <s v="Detente is a state of friendly relations between two countries when previously there had been problems between them. "/>
        <s v="Gratuitous can be used to refer to something that’s unnecessary and mildly annoying/inappropriate; &quot;If a friend frequently gives you fashion tips, even though you’ve expressed no interest in receiving them, you’d be correct in labeling her advice as gratu"/>
        <s v="If you use something as an illustrative example, or for illustrative purposes, you use it to show that what you are saying is true or to make your meaning clearer. "/>
        <s v="causing or susceptible to irritation"/>
        <s v="Peccadilloes are small, unimportant sins or faults. "/>
        <s v="Probity is a high standard of correct moral behaviour. "/>
        <s v="If a person or thing is supplanted, another person or thing takes their place. "/>
        <s v="1. A supple object or material bends or changes shape easily without cracking or breaking. _x000a_2. A supple person can move and bend their body very easily. _x000a_3. If you describe something such as a flavour or a sound as supple, you like it because it is smooth"/>
        <s v="If you say that someone is truculent, you mean that they are bad-tempered and aggressive. "/>
        <s v="1. If one person abets another, they help or encourage them to do something criminal or wrong. Abet is often used in the legal expression ' aid and abet'. _x000a_2. To abet something, especially something bad or undesirable, means to make it possible. "/>
        <s v="1. If you assuage an unpleasant feeling that someone has, you make them feel it less strongly. _x000a_2. If you assuage a need or desire for something, you satisfy it. "/>
        <s v="When you are conciliatory in your actions or behaviour, you show that you are willing to end a disagreement with someone. "/>
        <s v="Delusion is the state of believing things that are not true"/>
        <s v="There is a discrepancy when there is a difference between two things that should be alike. For example, there can be a wide discrepancy or a slight discrepancy between two objects, stories, or facts."/>
        <s v="extremely happy and excited"/>
        <s v="Your genealogy is the story of your ancestry, sometimes referred to as your family tree."/>
        <s v="When you grumble, you complain about something clearly but quietly, in a low mutter."/>
        <s v="If you describe someone as gullible, you mean they are easily tricked because they are too trusting. "/>
        <s v="exaggeration for effect and not meant to be taken literally (Ex: He's as strong as an ox.)"/>
        <s v="having or seeming to have complete authority"/>
        <s v="outdated"/>
        <s v="to block something"/>
        <s v="If you describe someone as omniscient, you mean they know or seem to know everything. "/>
        <s v="extremely careful and correct, and involving a lot of effort"/>
        <s v="1. You use partial to refer to something that is not complete or whole. _x000a_2. If you are partial to something, you like it. _x000a_3. Someone who is partial supports a particular person or thing, for example in a competition or dispute, instead of being completel"/>
        <s v="1. If something precludes an event or action, it prevents the event or action from happening. _x000a_2. If something precludes you from doing something or going somewhere, it prevents you from doing it or going there. "/>
        <s v="1. If you provoke someone, you deliberately annoy them and try to make them behave aggressively. _x000a_2. If something provokes a reaction, it causes it. "/>
        <s v="If a person or organization retrenches, they spend less money. "/>
        <s v="Aberrant means unusual and not socially acceptable. "/>
        <s v="1. sour or bitter in taste_x000a_2. (of a person or what they say) critical in a direct and rather cruel way"/>
        <s v="The apogee of something such as a culture or a business is its highest or its greatest point. "/>
        <s v="unexpected action or decision which has no strong reason or purpose"/>
        <s v="When something commences or you commence it, it begins. "/>
        <s v="To enlighten someone means to give them more knowledge and greater understanding about something"/>
        <s v="a social blunder"/>
        <s v="If you describe someone or their words or ideas as iconoclastic, you mean that they contradict established beliefs. "/>
        <s v="If you describe something as idyllic, you mean that it is extremely pleasant, simple, and peaceful without any difficulties or dangers. "/>
        <s v="If you describe someone or something as illiberal, you are critical of them because they do not allow or approve of much freedom or choice of action"/>
        <s v="extremely brave and showing no fear of dangerous situations"/>
        <s v="To marginalize a group of people means to make them feel isolated and unimportant. "/>
        <s v="To obviate something such as a problem or a need means to remove it or make it unnecessary. "/>
        <s v="If someone is ousted from a position of power, job, or place, they are forced to leave it"/>
        <s v="1. extremely poor_x000a_2. general dislike of spending money"/>
        <s v="Strife is strong disagreement or fighting"/>
        <s v="A surfeit of something is an amount which is too large. "/>
        <s v="If you say that a person, problem, or device is tractable, you mean that they can be easily controlled or dealt with"/>
        <s v="1. An accord between countries or groups of people is a formal agreement, for example to end a war. _x000a_2. If one fact, idea, or condition accords with another, they are in agreement and there is no conflict between them. _x000a_3. If you are accorded a particular"/>
        <s v="If you admonish someone, you tell them very seriously that they have done something wrong. "/>
        <s v="1. If you are complimentary about something, you express admiration for it. _x000a_2. A complimentary seat, ticket, or book is given to you free. "/>
        <s v="There are many different meanings of the word craft, but most of them involve skill, whether it's the craft of cheese making or crafting tiny dollhouse furniture or being crafty — good at fooling people. Another meaning of the noun craft is &quot;vehicle,&quot; esp"/>
        <s v="Something that's debilitating seriously affects someone or something's strength or ability to carry on with regular activities, like a debilitating illness."/>
        <s v="If you describe someone as gauche, you mean that they are awkward and uncomfortable in the company of other people. "/>
        <s v="If you describe an action or decision as judicious, you approve of it because you think that it shows good judgment and sense. "/>
        <s v="misinterpret"/>
        <s v="1. If something or someone penetrates a physical object or an area, they succeed in getting into it or passing through it. _x000a_2. If someone penetrates an organization, a group, or a profession, they succeed in entering it although it is difficult to do so. "/>
        <s v="If you describe a person or their remarks or thoughts as perceptive, you think that they are good at noticing or realizing things, especially things that are not obvious. "/>
        <s v="1. If you renounce a belief or a way of behaving, you decide and declare publicly that you no longer have that belief or will no longer behave in that way. _x000a_2. If you renounce a claim, rank, or title, you officially give it up. "/>
        <s v="A serendipitous event is one that is not planned but has a good result. "/>
        <s v="1. If you are subservient, you do whatever someone wants you to do. _x000a_2. If you treat one thing as subservient to another, you treat it as less important than the other thing. "/>
        <s v="1. outdo, beat_x000a_2. If something surpasses understanding, it is too difficult to understand"/>
        <s v="1. (of speech, writing, style, etc.) boring and too serious about its subject matter: _x000a_2. (of water) not flowing easily: _x000a_3. (of an organ or living tissue) swollen or firm, usually because of being full of liquid"/>
        <s v="If you venerate someone or something, you value them or feel great respect for them. "/>
        <s v="Acrimonious words or quarrels are bitter and angry"/>
        <s v="The adjective amicable means &quot;friendly&quot; — but in particular, use it when describing relations one might otherwise expect to be unfriendly. The end of a romantic relationship that's less than amicable might involve broken dishes or broken bones."/>
        <s v="Deference is a polite and respectful attitude towards someone, especially because they have an important position. "/>
        <s v="When you dictate something, you are giving orders — acting a bit like a dictator._x000a__x000a_Dictate can also be used in a broader sense. Weather often dictates how many layers of clothes you wear, and the school rules dictate how you behave in and out of class. In"/>
        <s v="1. You say that someone is endowed with a particular desirable ability, characteristic, or possession when they have it by chance or by birth. _x000a_2. If you endow something with a particular feature or quality, you provide it with that feature or quality. _x000a_3"/>
        <s v="1. If you describe food or drink as insipid, you dislike it because it has very little taste. _x000a_2. If you describe someone or something as insipid, you mean they are dull and boring. "/>
        <s v="To integrate is to make parts of something into a whole. It also means to become one unit, or to make a place (like a school) open to people of all races and ethnic groups."/>
        <s v="To jeopardize a situation or activity means to do something that may destroy it or cause it to fail. "/>
        <s v="If you are magnanimous, you behave kindly and generously towards someone, especially after defeating them or being treated badly by them. "/>
        <s v="If a person or animal is in quarantine, they are being kept separate from other people or animals for a set period of time, usually because they have or may have a disease; also v"/>
        <s v="A recluse is a person who lives alone and deliberately avoids other people. "/>
        <s v="Things which are simultaneous happen or exist at the same time. "/>
        <s v="You use surrogate to describe a person or thing that is given a particular role because the person or thing that should have the role is not available. "/>
        <s v="Tailored clothes are designed to fit close to the body, rather than being loose. "/>
        <s v="If you upbraid someone, you tell them that they have done something wrong and criticize them for doing it. "/>
        <s v="If a person or their decisions, actions, or ideas are vindicated, they are proved to be correct, after people have said that they were wrong. "/>
        <s v="If you ascertain the truth about something, you find out what it is, especially by making a deliberate effort to do so. "/>
        <s v="If you describe something as banal, you do not like it because you think that it is so ordinary that it is not at all effective or interesting"/>
        <s v="A callous person or action is very cruel and shows no concern for other people or their feelings. "/>
        <s v="If someone decries an idea or action, they criticize it strongly. "/>
        <s v="If one thing is eclipsed by a second thing that is bigger, newer, or more important than it, the first thing is no longer noticed because the second thing gets all the attention. "/>
        <s v="same as egotism; the tendency to think only about yourself and consider yourself better and more important than other people"/>
        <s v="If you describe an experience or feeling as exhilarating, you mean that it makes you feel very happy and excited. "/>
        <s v="If someone is incredulous, they are unable to believe something because it is very surprising or shocking. "/>
        <s v="Indiscernible things can't be seen or sensed clearly. A black cat is indiscernible in the dark, and the tiny amount of gray in your hair might also be indiscernible."/>
        <s v="If you describe the value, benefit, or importance of something as inestimable, you mean that it is extremely great and cannot be calculated. "/>
        <s v="If something is slowly and secretly causing harm, it's insidious — like the rumors no one seems to listen to until suddenly someone's reputation is ruined."/>
        <s v="1. If you have an intimate friendship with someone, you know them very well and like them a lot. _x000a_2. If two people are in an intimate relationship, they are involved with each other in a loving or sexual way. _x000a_3. An intimate conversation or detail, for ex"/>
        <s v="Use the adjective pretentious as a way to criticize people who try to act like they are more important or knowledgeable than they really are."/>
        <s v="odd/unusual in an attractive and interesting way"/>
        <s v="If you describe someone as redoubtable, you respect them because they have a very strong character, even though you are slightly afraid of them. _x000a__x000a_But it isn't the redoubtable person that you doubt — it's yourself or your ability to compete against or be "/>
        <s v="The verb refute is to prove that something is wrong. When the kids you're babysitting swear they brushed their teeth, you can refute their claim by presenting the dry toothbrushes."/>
        <s v="If you describe someone as a reprobate, you mean that they behave in a way that is not respectable or morally correct. "/>
        <s v="n: A subordinate is someone who works for someone else. _x000a__x000a_v: to subordinate means to place or rank one thing below another. When you're doing a group project, sometimes you have to subordinate your ideas to the desires of the larger group."/>
        <s v="Someone who is undemonstrative does not often show affection. "/>
        <s v="If you insult someone or dismiss them in a hateful way, you're being contemptuous. The difference between being hateful and contemptuous is subtle. It involves disdain."/>
        <s v="1. If you foster a child, you take it into your family for a period of time, without becoming its legal parent_x000a_2. To foster something such as an activity or idea means to help it to develop"/>
        <s v="If something is inchoate, it is recent or new, and vague or not yet properly developed. _x000a__x000a_Inchoate means just beginning to form. You can have an inchoate idea, like the earliest flickers of images for your masterpiece, or an inchoate feeling, like your in"/>
        <s v="anger"/>
        <s v="narrow-minded, short-sighted"/>
        <s v="Perspicacity comes from the Latin word for penetrating sight. If you have perspicacity, you are good at discerning what is really going on where others might only see surface clues."/>
        <s v="You use resurgent to say that something is becoming stronger and more popular after a period when it has been weak and unimportant. _x000a__x000a_&quot;An old song's popularity might be resurgent after it's featured on the soundtrack of a popular new movie.&quot;"/>
        <s v="A soliloquy is a speech in a play in which an actor speaks to himself or herself and to the audience, rather than to another actor. "/>
        <s v="real and able to be shown or touched"/>
        <s v="When something is tantalizing, it makes you want it, even if it's totally out of reach. An exciting movie trailer could be tantalizing if it makes you want to see the movie. A little part of a song can be tantalizing if it tempts you to hear more. Smells "/>
        <s v="Use vigilant to describe someone who keeps awake and alert in order to avoid danger or problems. When taking the subway, be vigilant about your wallet — always know where it is, or someone might steal it from you."/>
        <s v="strong or deep-rooted dislike; aversion "/>
        <s v="A consensus is general agreement among a group of people. "/>
        <s v="When you distill something, you are boiling it down to its essence — its most important part. Whether it's alcohol or ideas, the distilled part is the most powerful."/>
        <s v="Something that is elementary is very simple and basic. "/>
        <s v="An ideologue is someone who has very strong beliefs or opinions and stubbornly sticks to them no matter what. An ideologue will insist they're right even when evidence suggests they might be wrong._x000a__x000a_An ideologue is the same as an ideologist. "/>
        <s v="Something numinous has a strong religious quality, suggesting the presence of a divine power. When you enter a temple, church, or mosque, you might feel as though you've entered a numinous space."/>
        <s v="If you describe people or things as odious, you think that they are extremely unpleasant. "/>
        <s v="literally means &quot;overflowing&quot;: super (&quot;over&quot;) + fluere (&quot;to flow&quot;); surplus;_x000a_When something is so unnecessary that it could easily be done away with, like a fifth wheel on a car or a fifth person on a double date, call it superfluous."/>
        <s v="If you describe someone or something as unappealing, you find them unpleasant and unattractive. "/>
        <s v="If you describe someone as uninformed, you mean that they have very little knowledge or information about a particular situation or subject. "/>
        <s v="energy and strength"/>
        <s v="If you describe something as wearisome, you mean that it is very tiring and boring or frustrating. "/>
        <s v="Something that is anomalous is different from what is usual or expected. "/>
        <s v="1. n: creek/small stream_x000a_2. v: put up with; &quot;I will brook no trespassing on my land.&quot;"/>
        <s v="If you describe a sentence, idea, or system as convoluted, you mean that it is complicated and difficult to understand. "/>
        <s v="Your deportment is the way you behave, especially the way you walk and move. "/>
        <s v="If you emulate something or someone, you imitate them because you admire them a great deal. "/>
        <s v="The adjective entitled means you have a legal right to something._x000a__x000a_Entitled is often used in a more casual way, to mean &quot;allowed.&quot; For example, volunteers at the park clean-up are entitled to the water and snacks at the pavilion. Sometimes, though, people"/>
        <s v="To be evasive is to avoid something"/>
        <s v="1. If you describe someone as frivolous, you mean they behave in a silly or light-hearted way, rather than being serious and sensible. _x000a_2. If you describe an activity as frivolous, you disapprove of it because it is not useful and wastes time or money. &quot;s"/>
        <s v="A narrative is a story that you write or tell to someone, usually in great detail. A narrative can be a work of poetry or prose, or even song, theater, or dance."/>
        <s v="1. You describe a situation as a paradox when it involves two or more facts or qualities which seem to contradict each other. _x000a_2. A paradox is a statement in which it seems that if one part of it is true, the other part of it cannot be true. "/>
        <s v="Something that is potent is very effective and powerful. "/>
        <s v="Thrift is the quality and practice of being careful with money and not wasting things"/>
        <s v="If you describe something or someone as ubiquitous, you mean that they seem to be everywhere"/>
        <s v="If you describe someone as xenophobic, you disapprove of them because they show strong dislike or fear of people from other countries"/>
        <s v="If your behaviour or motives are altruistic, you show concern for the happiness and welfare of other people rather than for yourself"/>
        <s v="annoy, anger, insult, offend"/>
        <s v="1. Apropos or apropos of is used to introduce something that you are going to say which is related to the subject you have just been talking about. _x000a_&quot;Apropos what you said yesterday, I think you made the right decision&quot;_x000a_2. Something which is apropos, or a"/>
        <s v="If you befriend someone, especially someone who is lonely or far from home, you make friends with them. "/>
        <s v="If you describe a person or their behaviour as brazen, you mean that they are very bold and do not care what other people think about them or their behaviour. "/>
        <s v="If you describe an event or situation as calamitous, you mean it is very unfortunate or serious. _x000a_&quot; ...the calamitous state of the country&quot;"/>
        <s v="Speech or writing that is defamatory is likely to damage someone's good reputation by saying something bad and untrue about them. "/>
        <s v="Something that has a deleterious effect on something has a harmful effect on it. "/>
        <s v="1. If you do something that is deliberate, you planned or decided to do it beforehand, and so it happens on purpose rather than by chance. _x000a_2. If a movement or action is deliberate, it is done slowly and carefully. _x000a_3. If you deliberate, you think about s"/>
        <s v="You use exacting to describe something or someone that demands hard work and a great deal of care. "/>
        <s v="changeable or unstable in affection, interest, loyalty, etc.; capricious"/>
        <s v="taking unnecessary or foolish risks_x000a__x000a_If you decide you are going to scale Mt. Everest next weekend without any training or experience, that would be a foolhardy decision."/>
        <s v="having many different parts or sides"/>
        <s v="Use negligent when you want to describe someone who just doesn't give a hoot. You can be negligent at work if you let the work pile up while you play computer games, or you can be negligent at home if you haven't fed your fish for six days straight."/>
        <s v="1. If you describe someone as obstinate, you are being critical of them because they are very determined to do what they want, and refuse to change their mind or be persuaded to do something else. _x000a_2. You can describe things as obstinate when they are dif"/>
        <s v="1. A patent is an official right to be the only person or company allowed to make or sell a new product for a certain period of time. _x000a_2. If you patent something, you obtain a patent for it. _x000a_3. You use patent to describe something, especially something b"/>
        <s v="using something or someone as a way of getting help, especially in a difficult or dangerous situation_x000a_&quot;The public believes its only recourse is to take to the streets&quot;_x000a_&quot;It enabled its members to settle their differences without recourse to war&quot;"/>
        <s v="1. Something bad that is relentless never stops or never becomes less intense. _x000a_2. Someone who is relentless is determined to do something and refuses to give up, even if what they are doing is unpleasant or cruel. "/>
        <s v="1. A showcase is a glass container with valuable objects inside it, for example at an exhibition or in a museum. _x000a_2. You use showcase to refer to a situation or setting in which something is displayed or presented to its best advantage. _x000a_3. If something i"/>
        <s v="in a way that is not typical of someone"/>
        <s v="Someone or something that is witty is amusing in a clever way. "/>
        <s v="1. eager to own and collect things: _x000a_2. used to describe a person or company that buys other companies"/>
        <s v="Coercion is the act or process of persuading someone forcefully to do something that they do not want to do. "/>
        <s v="Conspicuous can mean either very obvious to the eye (like something that is conspicuous from a distance) or attracting attention (like conspicuous consumption). If you are doing something wrong, it's wise not to be conspicuous about it!"/>
        <s v="untidy mixture of different types of things; BRIT: hotch-potch"/>
        <s v="rude and not showing respect, especially towards someone older or in a higher position than you"/>
        <s v="If you describe something that is written or said as long-winded, you are critical of it because it is longer than necessary. "/>
        <s v="To overuse something is to use it too much; also n"/>
        <s v="1. An explanation or statement that is plausible seems likely to be true or valid. _x000a_2. If you say that someone is plausible, you mean that they seem to be telling the truth and to be sincere and honest. "/>
        <s v="To regress is to return to a former state or condition, and not usually in a good way. It often means &quot;relapse&quot; or &quot;get worse.&quot;"/>
        <s v="A sagacious person is intelligent and has the ability to make good decisions. "/>
        <s v="If you describe someone as self-serving, you are critical of them because they are only interested in what they can get for themselves. "/>
        <s v="A sinecure is a job for which you receive payment but which does not involve much work or responsibility. "/>
        <s v="Tangent is mainly a mathematical term, meaning a line or plane that intersects a curved surface at exactly one point. The non-mathematical meaning of tangent comes from this sense of barely touching something: when a conversation heads off on a tangent, i"/>
        <s v="1. to try to persuade someone to support you or to use your business_x000a_2. To woo someone is to try to persuade them to marry you"/>
        <s v="To belie means to contradict. If you are 93 but look like you are 53, then your young looks belie your age."/>
        <s v="Use cordial to describe a relationship that is friendly and sincere but not overly close. A cordial greeting is perfectly pleasant but doesn't involve lots of hugging or excessive emotion."/>
        <s v="to control or limit something that is not wanted"/>
        <s v="Diminutive means small. A diminutive person is short and small. A diminutive word is a &quot;cute&quot; version of a word or name: for example, &quot;duckling&quot; is a diminutive of &quot;duck&quot; and Billy is a diminutive form of the name William."/>
        <s v="If you feel that something isn't worthy of your consideration, you may disdain it (or treat it with disdain)."/>
        <s v="deceitfulness in speech or conduct; speaking or acting in two different ways concerning the same matter with intent to deceive; double-dealing"/>
        <s v="If you flout something such as a law, an order, or an accepted way of behaving, you deliberately do not obey it or follow it. "/>
        <s v="If you describe something such as a saying or an image as hackneyed, you think it is no longer likely to interest, amuse, or affect people because it has been used, seen, or heard many times before. "/>
        <s v="Something that is a harbinger of something else, especially something bad, is a sign that it is going to happen"/>
        <s v="The lion is the king of beasts. To lionize someone is to see them as important as a lion. Republicans continue to lionize Ronald Reagan as their ultimate hero."/>
        <s v="Something, especially something bad, that is pervasive is present or felt throughout a place or thing. _x000a__x000a_If you're sick of seeing something because you're seeing it again and again, it must be pervasive."/>
        <s v="If you re-examined the meaning of something and found something new or different, you reinterpreted it. You thought that when Brian said, &quot;I love you,&quot; he meant as a friend, but you may want to reinterpret the meaning of those words since he bought you a "/>
        <s v="1. strict, severe, harsh, unforgiving_x000a_2. The stern of a boat is the back part of it"/>
        <s v="Verisimilitude is the quality of seeming to be true or real. _x000a_&quot;She has included photographs in the book to lend verisimilitude to the story.&quot;"/>
        <s v="If something wanes, it becomes gradually weaker or less, often so that it eventually disappears. "/>
        <s v="Whimsical means full of or characterized by whims, which are odd ideas that usually occur to you very suddenly. If you decide at the last minute to fly to Europe, you could say you went there on a whim."/>
        <s v="If someone is given an accolade, something is done or said about them which shows how much people admire them. "/>
        <s v="An ad hoc activity or organization is done or formed only because a situation has made it necessary and is not planned in advance"/>
        <s v="If you have an aversion to someone or something, you dislike them very much. "/>
        <s v="Anything with a complicated design can be baroque but it also refers to a style of art, music, and architecture from 17th Century Italy; anything extravagantly ornamented"/>
        <s v="1. A caricature of someone is a drawing or description of them that exaggerates their appearance or behaviour in a humorous or critical way_x000a_2. If you caricature someone, you draw or describe them in an exaggerated way in order to be humorous or critical"/>
        <s v="feeling of disappointment, upset, or annoyance, perhaps because of your own failure"/>
        <s v="1. The gloom is a state of near darkness_x000a_2. Gloom is a feeling of sadness and lack of hope"/>
        <s v="If you describe someone or something as humdrum, you mean that they are ordinary, dull, or boring. "/>
        <s v="If you describe someone as meticulous, you mean that they do things very carefully and with great attention to detail. "/>
        <s v="If you have a premonition, you have a feeling that something is going to happen, often something unpleasant. "/>
        <s v="1. When people or things sway, they lean or swing slowly from one side to the other_x000a_2. If you are swayed by someone or something, you are influenced by them"/>
        <s v="If you describe someone as venal, you disapprove of them because they are prepared to do almost anything in return for money, even things which are dishonest or immoral. "/>
        <s v="1. A conjecture is a conclusion that is based on information that is not certain or complete. _x000a_2. When you conjecture, you form an opinion or reach a conclusion on the basis of information that is not certain or complete. "/>
        <s v="Someone who is detached is not personally involved in something or has no emotional interest in it"/>
        <s v="n and adj: a person who publicly disagrees with and criticizes their government"/>
        <s v="You can serve as a foil to someone if you show them to be better than you by contrast. If you can't dance but your friend Lisa can, you can be a foil to Lisa's grace._x000a__x000a_If you're having trouble remembering this definition, think about a shiny piece of tin "/>
        <s v="Something that is omnipresent is present everywhere or seems to be always present. "/>
        <s v="Use the adjective opaque either for something that doesn't allow light to pass through (like a heavy curtain) or for something difficult to understand (like bureaucratic gobbledygook)"/>
        <s v="1. You can use this verb in a very literal way, to mean &quot;cast a shadow over something smaller,&quot; like the enormous oak tree in your yard that overshadows your small house. _x000a_2. It's also possible to figuratively overshadow, like when your worry about next w"/>
        <s v="1. Ponderous writing or speech is very serious, uses more words than necessary, and is rather dull. _x000a_2. A movement or action that is ponderous is very slow or clumsy. "/>
        <s v="1. If you relent, you allow someone to do something that you had previously refused to allow them to do. _x000a_2. If bad weather relents, it improves. "/>
        <s v="1. To resolve a problem, argument, or difficulty means to find a solution to it. _x000a_2. If you resolve to do something, you make a firm decision to do it. _x000a_3. Resolve is determination to do what you have decided to do. _x000a_4. If you resolve something into a cle"/>
        <s v="1. You use slavish to describe things that copy or imitate something exactly, without any attempt to be original. _x000a_2. If you describe someone as slavish, you are critical of the fact that they behave like a slave, for example by always doing what another "/>
        <s v="sleep-inducing"/>
        <s v="brief/using few words, sometimes in a way that seems unfriendly"/>
        <s v="If you're verbose, you use far more words than you need to. _x000a__x000a_If a friend asks, &quot;Did you have fun at the party?&quot; you can simply answer, &quot;No.&quot; Or you can provide a verbose reply that describes just how much you hated the party, who was and wasn't there, th"/>
        <s v="1. Byzantine means related to or connected with the Byzantine Empire. _x000a_2. If you describe a system or process as byzantine, you are criticizing it because it seems complicated or secretive. "/>
        <s v="When things such as blood vessels or the pupils of your eyes dilate or when something dilates them, they become wider or bigger. "/>
        <s v="not based on or affected by something"/>
        <s v="If something exacerbates a problem or bad situation, it makes it worse"/>
        <s v="To excoriate a person or organization means to criticize them severely, usually in public. "/>
        <s v="If you say that there are extenuating circumstances for a bad situation or wrong action, you mean that there are reasons or factors which partly excuse it. "/>
        <s v="Fervor for something is a very strong feeling for or belief in it. "/>
        <s v="If you describe what someone says as glib, you disapprove of it because it implies that something is simple or easy, or that there are no problems involved, when this is not the case_x000a_&quot;that sounds a little glib&quot;"/>
        <s v="If you refer to someone's behaviour as histrionic, you are critical of it because it is very dramatic, exaggerated, and insincere. "/>
        <s v="Someone who is impartial is not directly involved in a particular situation, and is therefore able to give a fair opinion or decision about it. "/>
        <s v="If you intercept someone or something that is travelling from one place to another, you stop them before they get to their destination. "/>
        <s v="1. If you say that you are inundated with things such as letters, demands, or requests, you are emphasizing that you receive so many of them that you cannot deal with them all. _x000a_2. If an area of land is inundated, it becomes covered with water. "/>
        <s v="If you say that someone is a martinet, you are criticizing them because they are very strict and demand that people obey their rules and orders. "/>
        <s v="If you are oblivious to something or oblivious of it, you are not aware of it. "/>
        <s v="Something that is prosaic is dull and uninteresting. "/>
        <s v="When there is a schism, a group or organization divides into two groups as a result of differences in thinking and beliefs. "/>
        <s v="able to judge a situation accurately and turn it to your own advantage"/>
        <s v="Sovereignty is the power that a country has to govern itself or another country or state. "/>
        <s v="1. A toll is a small sum of money that you have to pay in order to use a particular bridge or road_x000a_2. a high degree of suffering or damage; &quot;emotional toll on the victims&quot;_x000a_3. When a bell tolls or when someone tolls it, it rings slowly and repeatedly, ofte"/>
        <s v="Something that is clandestine is hidden or kept secret, often because it is illegal. "/>
        <s v="If a situation, a rule, or a person compels you to do something, they force you to do it. "/>
        <s v="A statement that is conjectural is based on information that is not certain or complete. "/>
        <s v="If something daunts you, it makes you feel slightly afraid or worried about dealing with it"/>
        <s v="If something is deceptive, it encourages you to believe something which is not true. "/>
        <s v="1. refuse to obey_x000a_2. If you defy someone to do something, you challenge them to do it when you think that they will be unable to do it or too frightened to do it_x000a_3. If something defies description or understanding, it is so strange, extreme, or surprising"/>
        <s v="If you demur, you say that you do not agree with something or will not do something that you have been asked to do. "/>
        <s v="1. Something that is didactic is intended to teach people something, especially a moral lesson. _x000a_2. Someone who is didactic tells people things rather than letting them find things out."/>
        <s v="A disciple is a follower or a fan of someone."/>
        <s v="gradually becoming smaller in size or amount, or fewer in number"/>
        <s v="If you describe someone as ebullient, you mean that they are lively and full of enthusiasm or excitement about something. "/>
        <s v="the fact that something is not suitable or correct in a situation"/>
        <s v="To languish is to become pitiful or weak because you're sick, in love, or stuck somewhere. A prisoner might languish in jail, longing for her freedom."/>
        <s v="Anything multitudinous is countless, infinite, innumerable, and, myriad: you couldn't count it if you tried."/>
        <s v="state of being passive — passivity applies to someone who accepts the actions or opinions of others without speaking up"/>
        <s v="Someone who is perspicacious notices, realizes, and understands things quickly. "/>
        <s v="a person who enjoys only popular entertainment but does not appreciate art, literature, or music of high quality"/>
        <s v="behaviour or speech that is intended to attract attention and interest, or to make people believe something that is not true"/>
        <s v="If you describe someone or their behaviour as presumptuous, you disapprove of them because they are doing something that they have no right or authority to do"/>
        <s v="Someone who is reticent does not tell people about things. "/>
        <s v="If you refer to someone's tacit agreement or approval, you mean they are agreeing to something or approving it without actually saying so, often because they are unwilling to admit to doing so. "/>
        <s v="If you understate something, you describe it in a way that suggests that it is less important or serious than it really is. "/>
        <s v="1. Austerity is a situation in which people's living standards are reduced because of economic difficulties. _x000a_2. If you refer to something as showing austerity, you like its plain and simple appearance. "/>
        <s v="1. If you avert something unpleasant, you prevent it from happening. _x000a_2. If you avert your eyes or gaze from someone or something, you look away from them. "/>
        <s v="If two or more things coalesce, they come together and form a larger group or system. "/>
        <s v="NA"/>
        <s v="A hybrid is a mixture of two different things, resulting in something that has a little bit of both — like the rare zedonk, a hybrid of a donkey and a zebra."/>
        <s v="If words or actions are impolitic, they are unwise and likely to cause offence or problems, especially in social situations"/>
        <s v="If you are indignant, you are shocked and angry, because you think that something is unjust or unfair. "/>
        <s v="Inertia is resistance to change. You hate looking at people's feet and yet you stay in your job as a shoe salesman year after year. Why? Inertia."/>
        <s v="Lavish means &quot;generous and extravagant&quot; as an adjective and &quot;to give generously&quot; as a verb. If you don't like it when people lavish you with attention, you might appreciate a lavish spread of excellent food instead."/>
        <s v="to move, talk, or act aimlessly or idly "/>
        <s v="Myriad means having a large number or great variety"/>
        <s v="If you describe something as ominous, you mean that it worries you because it makes you think that something unpleasant is going to happen. "/>
        <s v="slow, continuous, and not exciting_x000a_&quot;I'll try not to bore you with lots of plodding details&quot;"/>
        <s v="A prognosis is an estimate of the future of someone or something, especially about whether a patient will recover from an illness. "/>
        <s v="Repertoire refers to the full supply of what you can do. A singer's repertoire is all the songs he can sing. A chef's repertoire is what she knows how to cook."/>
        <s v="If someone is steadfast in something that they are doing, they are convinced that what they are doing is right and they refuse to change it or to give up. "/>
        <s v="1. You use thoroughgoing to emphasize that someone or something is fully or completely the type of person or thing specified. _x000a_2. If you describe a piece of work as thoroughgoing, you approve of it because it has been carefully and thoroughly put together"/>
        <s v="1. If you describe someone as wilful, you mean that they are determined to do what they want to do, even if it is wrong_x000a_2. used to describe a bad or harmful action done deliberately, although the person doing it knows that it is wrong"/>
        <s v="1. If you describe someone as articulate, you mean that they are able to express their thoughts and ideas easily and well. _x000a_2. When you articulate your ideas or feelings, you express them clearly in words. "/>
        <s v="1. Happening as a direct result of an event or situation_x000a_2. Something that is consequential is important or significant. "/>
        <s v="1. A coy person is shy, or pretends to be shy, about love and sex_x000a_2. intentionally keeping something secret"/>
        <s v="decode, crack, solve, understand"/>
        <s v="1. of or on the right-hand side_x000a_2. Dexterity is skill in using your hands, or sometimes your mind"/>
        <s v="to become weaker or be destroyed by breaking into small pieces"/>
        <s v="If you describe someone's actions as dogged, you mean that they are determined to continue with something even if it becomes difficult or dangerous"/>
        <s v="If you exhort someone to do something, you try hard to persuade or encourage them to do it. "/>
        <s v="A fervent person has or shows strong feelings about something, and is very sincere and enthusiastic about it. "/>
        <s v="If you describe someone as impetuous, you mean that they are likely to act quickly and suddenly without thinking or being careful. "/>
        <s v="1. Something that is implicit is understood but not clearly stated_x000a_2. If a quality or element is implicit in something, it is involved in it or is shown by it. _x000a_3. If you say that someone has an implicit belief or faith in something, you mean that they ha"/>
        <s v="Jettison means to push to the side or toss away. If a boat is leaking or an airplane is running out of fuel, you can buy more time by jettisoning cargo, or throwing it overboard."/>
        <s v="1. Lucid writing or speech is clear and easy to understand. _x000a_2. If someone is lucid, they are thinking clearly again after a period of illness or confusion. "/>
        <s v="Ludicrous things are funny, absurd, or nonsensical. If someone says something silly or far-fetched, you could say &quot;That's ludicrous!&quot;"/>
        <s v="Overly means more than is normal, necessary, or reasonable. "/>
        <s v="A precocious child is very clever, mature, or good at something, often in a way that you usually only expect to find in an adult. "/>
        <s v="If you describe someone or something as puerile, you mean that they are silly and childish. "/>
        <s v="1. If you try to rationalize attitudes or actions that are difficult to accept, you think of reasons to justify or explain them. _x000a_2. When a company, system, or industry is rationalized, it is made more efficient, usually by getting rid of staff and equipm"/>
        <s v="If you describe someone as resolute, you approve of them because they are very determined not to change their mind or not to give up a course of action. "/>
        <s v="As a noun, a tarnish is the dull layer of corrosion that sometimes forms on metal items. Metals are most likely to tarnish, but so can anything that once felt sparkly and bright but has lost its luster — even you. If the new kid just beat you in chess, yo"/>
        <s v="A transgression is something that is against a command or law. Whether you are cheating on a test, or cheating on a spouse, you are committing transgressions that are not easily forgiven._x000a__x000a_A transgression can be a failure to do your duty. A sin is a trans"/>
        <s v="If you say that someone has an ulterior motive for doing something, you believe that they have a hidden reason for doing it"/>
        <s v="1. If something such as an action or an event underscores another, it draws attention to the other thing and emphasizes its importance_x000a_2. If you underscore something such as a word or a sentence, you draw a line underneath it in order to make people notic"/>
        <s v="An aphorism is a short witty sentence which expresses a general truth or comment. "/>
        <s v="An axiom is a self-evident truth. If something is axiomatic, it seems to be obviously true. "/>
        <s v="to scold harshly "/>
        <s v="characterized by great knowledge; learned or scholarly"/>
        <s v="poor/broke"/>
        <s v="An itinerant is a person who moves from place to place, typically for work, like the itinerant preacher who moves to a new community every few years."/>
        <s v="1. In astronomy, the nadir is the point at which the sun or moon is directly below you, on the other side of the earth. Opposite to zenith_x000a_2. The nadir of something such as someone's career or the history of an organization is its worst time/lowest point."/>
        <s v="If you describe someone as officious, you are critical of them because they are eager to tell people what to do when you think they should not. "/>
        <s v="a person of great and varied learning"/>
        <s v="1. A snare is a trap for catching birds or small animals. It consists of a loop of wire or rope which pulls tight around the animal. _x000a_2. If you describe a situation as a snare, you mean that it is a trap from which it is difficult to escape. _x000a_3. If someon"/>
        <s v="To subside is to die down or become less violent, like rough ocean waves after a storm has passed, or noise, or fighting, or building collapsing, etc."/>
        <s v="Choose the adjective tentative to describe something you are unsure or hesitant about. On Monday, you can make tentative plans for the weekend, but it's too early to commit to one party or another."/>
        <s v="If someone is thrilled, they are extremely pleased about something. "/>
        <s v="not given or shown thanks or gratitude"/>
        <s v="If you describe someone or something as unformed, you mean that they are in an early stage of development and are not fully formed or matured. "/>
        <s v="not propitious;_x000a_If something is propitious, it is likely to lead to success. "/>
        <s v="persuade by flattery/coax"/>
        <s v="You can use flagrant to describe an action, situation, or someone's behaviour that you find extremely bad or shocking in a very obvious way. "/>
        <s v="an illegal copy of a document, painting, etc. or the crime of making such illegal copies"/>
        <s v="Idiosyncratic means unique to an individual. "/>
        <s v="If you describe someone as irascible, you mean that they become angry very easily. "/>
        <s v="to deviate from the truth"/>
        <s v="Something that is seductive is very attractive or makes you want to do something that you would not otherwise do"/>
        <s v="1. Vigorous physical activities involve using a lot of energy, usually to do short and repeated actions. _x000a_2. A vigorous person does things with great energy and enthusiasm. A vigorous campaign or activity is done with great energy and enthusiasm. _x000a_3. A vi"/>
        <s v="Camaraderie is a feeling of trust and friendship among a group of people who have usually known each other for a long time or gone through some kind of experience together. _x000a__x000a_syn:  comradeship"/>
        <s v="1. If you coin a word or a phrase, you are the first person to say it_x000a_2. If you say that someone is coining it or is coining money, you are emphasizing that they are making a lot of money very quickly, often without really earning it"/>
        <s v="to do something very slowly, as if you do not want to finish it._x000a__x000a_Dawdle implies not only taking extra time but actually wasting it. A leisurely walk in the woods is one thing, but if you have to get to the theater on time, don't dawdle along the way: you"/>
        <s v="Dislocation has something to do with displacement, moving something from its proper place. A joint dislocation happens when a bone is moved (painfully) out of its normal spot. Human dislocation can occur during war, or after a natural disaster forces peop"/>
        <s v="If you fixate on something, you become overly focused on it or attached to it. Don't fixate on your grades — try to enjoy the process of learning!"/>
        <s v="Hidebound things — or people — are stuck in the past, unable to change. Your grandmother's hidebound ideas about fashion mean she never leaves the house without a hat and matching purse."/>
        <s v="An impervious surface is one that can't be penetrated. The word is often followed by &quot;to,&quot; as in &quot;His steely personality made him impervious to jokes about his awful haircut.&quot;"/>
        <s v="If you internalize something such as a belief or a set of values, you make it become part of your attitude or way of thinking. "/>
        <s v="Funerals are lugubrious. So are rainy days and Mondays. Anything that makes you sad, gloomy, or mournful can be called lugubrious."/>
        <s v="If you describe someone as naive, you think they lack experience and so expect things to be easy or people to be honest or kind. "/>
        <s v="Ornamental things have no practical function but are put in a place because they look attractive. "/>
        <s v="1. If you do something by proxy, you arrange for someone else to do it for you_x000a_2. A proxy is a person or thing that is acting or being used in the place of someone or something else"/>
        <s v="The ramifications of a decision, plan, or event are all its consequences and effects, especially ones which are not obvious at first"/>
        <s v="Something that is subjective is based on personal opinions and feelings rather than on facts. "/>
        <s v="Someone who is sullen is bad-tempered and does not speak much. "/>
        <s v="To talk carefully without hurting anyone’s feelings, that’s tact. Politicians have tact, which makes them good at speaking about sensitive matters without making fools of themselves. At least, sometimes they have tact."/>
        <s v="great energy and enthusiasm"/>
        <s v="the quality of being extremely skilled at something"/>
        <s v="An archetype is a perfect example or model of something. If you have long blonde hair, a sparkly ball gown, and a fairy godmother hovering over your head, you're the archetype of a fairytale princess."/>
        <s v="1. A barrage is continuous firing on an area with large guns and tanks. _x000a_2. A barrage of something such as criticism or complaints is a large number of them directed at someone, often in an aggressive way. _x000a_3. If you are barraged by people or things, you "/>
        <s v="kind, gentle, harmless"/>
        <s v="Deceit is behaviour that is deliberately intended to make people believe something which is not true"/>
        <s v="The detractors of a person or thing are people who criticize that person or thing. "/>
        <s v="free from enchantment or illusion"/>
        <s v="extreme rudeness without any ability to understand that your behaviour is not acceptable to other people: "/>
        <s v="Something extempore is spontaneous and unscripted. An extempore dance party on the city bus might be fun, while an extempore speech in front of the whole school could be terrifying."/>
        <s v="1. The foreground of a picture or scene you are looking at is the part or area of it that appears nearest to you. _x000a_2. If something or someone is in the foreground, or comes to the foreground, they receive a lot of attention. _x000a_3. To foreground certain feat"/>
        <s v="1. A fulcrum is the supporting point of a lever. The first fulcrum you encountered was probably on the playground — right underneath the see-saw._x000a_2. use fulcrum to describe something that plays an essential role or serves as the center of an activity or s"/>
        <s v="Something that gives a process impetus or an impetus makes it happen or progress more quickly. _x000a_&quot;The grant for building the opera house gave impetus to the city's cultural life&quot;"/>
        <s v="If you say that someone is obstreperous, you think that they are noisy and difficult to control. "/>
        <s v="If you say that someone overreaches themselves, you mean that they fail at something because they are trying to do more than they are able to. "/>
        <s v="1. Something that is redundant is no longer needed because its job is being done by something else or because its job is no longer necessary or useful_x000a_2. If you are made redundant, your employer tells you to leave because your job is no longer necessary o"/>
        <s v="Call a person sentimental if he or she is led more by emotions than by reason. If you have a sentimental attachment to a favorite stuffed animal, you'll probably even bring it to college with you."/>
        <s v="Unintelligible language is impossible to understand, for example because it is not written or pronounced clearly, or because its meaning is confused or complicated. "/>
        <s v="To aggrandize someone means to make them seem richer, more powerful, and more important than they really are. To aggrandize a building means to make it more impressive. "/>
        <s v="In sports you compete against the opposing team. At work you compete for a promotion. With siblings, you compete for everything. Compete means to vie for a goal."/>
        <s v="A debacle is an event or attempt that is a complete failure. "/>
        <s v="Someone who is disinterested is not involved in a particular situation or not likely to benefit from it and is therefore able to act in a fair and unselfish way;_x000a__x000a_disinterested most often means &quot;not biased,&quot; whereas uninterested simply means &quot;not interest"/>
        <s v="If something ensues, it happens immediately after another event, usually as a result of it. "/>
        <s v="Fervid can be used to describe something that is physically hot such as “a fervid day in August,” but it is more often used to describe heated emotions like anger, love, or desire."/>
        <s v="excessive or insincere praise"/>
        <s v="If one thing is incidental to another, it is less important than the other thing or is not a major part of it. "/>
        <s v="Use the word latitude to describe how much freedom you have in making choices"/>
        <s v="1. freedom to act within particular limits_x000a_2. an amount or period of time that has been lost or wasted_x000a_3. Leeway is also additional time or money"/>
        <s v="stingy"/>
        <s v="If you have a predilection for something, you have a strong liking for it. "/>
        <s v="Profuse is a word for a lot of something or even way too much — a profuse rainfall is a serious amount of rain."/>
        <s v="1. Someone who is scrupulous takes great care to do what is fair, honest, or morally right. _x000a_2. Scrupulous means thorough, exact, and careful about details. "/>
        <s v="Something that is subtle is not obvious: a professional food taster might be able to perceive subtle differences of flavor that most people don't notice."/>
        <s v="1. If something is agreeable, it is pleasant and you enjoy it. _x000a_2. If someone is agreeable, they are pleasant and try to please people. _x000a_3. If you are agreeable to something or if it is agreeable to you, you are willing to do it or to allow it to happen. "/>
        <s v="To assail is to attack or assault — with throwing stars, fists, words or, less tangibly but just as violently, with troubles or doubts."/>
        <s v="1. A candid photograph of someone is one that was taken when the person did not know they were being photographed._x000a_2. When you are candid about something or with someone, you speak honestly. "/>
        <s v="not considering other people's feelings or safety"/>
        <s v="1. derived from something else_x000a_2. unoriginal, copied"/>
        <s v="To deviate from something means to start doing something different or not planned, especially in a way that causes problems for others. "/>
        <s v="fully and clearly expressed, leaving no room for ambiguity"/>
        <s v="1. An exposition of an idea or theory is a detailed explanation or account of it. _x000a_2. An exposition is an exhibition in which something such as goods or works of art are shown to the public. "/>
        <s v="1. If you say that someone grovels, you think they are behaving too respectfully towards another person, for example because they are frightened or because they want something. _x000a_2. If you grovel, you crawl on the ground, for example in order to find somet"/>
        <s v="A herald is a sign of things to come. A chilly day in October is a herald of the coming winter."/>
        <s v="When you immure someone or something, you put it behind a wall, as in a jail or some other kind of confining space."/>
        <s v="Things that are interchangeable can be exchanged with each other without it making any difference. "/>
        <s v="If you describe something as interminable, you are emphasizing that it continues for a very long time and indicating that you wish it was shorter or would stop. "/>
        <s v="If one thing takes precedence over another, it is regarded as more important than the other thing. "/>
        <s v="A condition, practice, or belief that is prevalent is common. "/>
        <s v="Someone who is punctilious is very careful to behave correctly. "/>
        <s v="A skeptic is a person who doesn't believe something is true unless they see evidence."/>
        <s v="A person who is solicitous shows anxious concern for someone or something. "/>
        <s v="If you describe something as unexceptional, you mean that it is ordinary, not very interesting, and often disappointing. "/>
        <s v="not able or likely to be disliked or opposed by people, because of not being unpleasant or wrong in any way"/>
        <s v="To vanquish someone means to defeat them completely in a battle or a competition. "/>
        <s v="1. If something beguiles you, you are charmed and attracted by it. _x000a_2. If someone beguiles you into doing something, they trick you into doing it. "/>
        <s v="1. You use blithe to indicate that something is done casually, without serious or careful thought. _x000a_2. Someone who is blithe is cheerful and has no serious problems. "/>
        <s v="If you debunk a widely held belief, you show that it is false. If you debunk something that is widely admired, you show that it is not as good as people think it is. "/>
        <s v="a slow sad song or piece of music, sometimes played because someone has died"/>
        <s v="that can have more than one interpretation; having two or more meanings; purposely vague, misleading, or ambiguous"/>
        <s v="1. People who are frugal or who live frugal lives do not eat much or spend much money on themselves. _x000a_2. A frugal meal is small and not expensive. "/>
        <s v="If you're inclined to do something, you want to do it, you like doing it, and you may even have an inherent talent for doing it. Alternatively, if the sidewalk outside your house is inclined, that means it slopes upward."/>
        <s v="If you describe a person or their interest in something as morbid, you mean that they are very interested in unpleasant things, especially death, and you think this is strange"/>
        <s v="1. in name or thought, but not in reality_x000a_2. very small compared to an expected price or value_x000a_3. relating to a noun"/>
        <s v="Pessimism is the belief that bad things are going to happen. "/>
        <s v="1. A placid person or animal is calm and does not easily become excited, angry, or upset. _x000a_2. A placid place, area of water, or life is calm and peaceful. "/>
        <s v="Sporadic occurrences of something happen at irregular intervals. "/>
        <s v="When you subvert something, your words or actions criticize or undermine the usual way of doing something or common values. The girl who wears a tuxedo to the prom might subvert traditional ideas about beauty."/>
        <s v="If you are susceptible to something or someone, you are very likely to be influenced or affected by them. "/>
        <s v="Abide means &quot;to be able to live with or put up with.&quot; If you can't abide with something, it means you can't stand it. If you can abide it, it means you can live with it."/>
        <s v="characterized by or liable to sudden unpredictable changes in attitude or behaviour; impulsive; fickle"/>
        <s v="1. A documentary is a television or radio programme, or a film, which shows real events or provides information about a particular subject. _x000a_2. Documentary evidence consists of things that are written down. "/>
        <s v="1. An echelon in an organization or society is a level or rank in it. _x000a_2. An echelon is a military formation in which soldiers, vehicles, ships, or aircraft follow each other but are spaced out sideways so that they can see ahead. "/>
        <s v="Inductive reasoning is based on the process of induction (using a particular set of facts or ideas to form a general principle)"/>
        <s v="Something that is innocuous is not at all harmful or offensive. "/>
        <s v="Levity is behaviour that shows a tendency to treat serious matters in a non-serious way. "/>
        <s v="To be prescient is to have foresight or foreknowledge. We can use this word to describe people themselves, or what they say or do at a given moment."/>
        <s v="1. If a doctor prescribes medicine or treatment for you, he or she tells you what medicine or treatment to have. _x000a_2. If a person or set of laws or rules prescribes an action or duty, they state that it must be carried out. "/>
        <s v="A sadistic person obtains pleasure from hurting other people and making them suffer physically or mentally"/>
        <s v="1. Something that is slight is very small in degree or quantity. _x000a_2. A slight person has a fairly thin and delicate looking body. _x000a_3. If you are slighted, someone does or says something that insults you by treating you as if your views or feelings are not"/>
        <s v="1. If you sustain something, you continue it or maintain it for a period of time. _x000a_2. If you sustain something such as a defeat, loss, or injury, it happens to you. _x000a_3. If something sustains you, it supports you by giving you help, strength, or encouragem"/>
        <s v="foolish or rash boldness"/>
        <s v="If you describe someone or something as vapid, you are critical of them because they are dull and uninteresting. "/>
        <s v="1. appropriate_x000a_2. apt to = likely; &quot;This type of weather is apt to be more common in winter&quot;"/>
        <s v="1. If you cite something, you quote it or mention it, especially as an example or proof of what you are saying_x000a_2. To cite a person means to officially name them in a legal case_x000a_3. If someone is cited, they are officially ordered to appear before a court ("/>
        <s v="1. If something is coherent, it is well planned, so that it is clear and sensible and all its parts go well with each other_x000a_2. If someone is coherent, they express their thoughts in a clear and calm way, so that other people can understand what they are s"/>
        <s v="If you say that someone is eccentric, you mean that they behave in a strange way, and have habits or opinions that are different from those of most people"/>
        <s v="When you are enamored by something or someone, you love it. It attracts you. You might say that you're enamored with your new car, or enamored of the new kid in school."/>
        <s v="If you say that something is imminent, especially something unpleasant, you mean it is almost certain to happen very soon. "/>
        <s v="If you describe an action as indiscriminate, you are critical of it because it does not involve any careful thought or choice. "/>
        <s v="Reach for the adjective intermittent to describe periodic movement and stopping and starting over a period of time."/>
        <s v="Mendacity is a tendency to lie."/>
        <s v="dark or biting artistic style, sense of humor, or psychological outlook"/>
        <s v="If something necessitates an event, action, or situation, it makes it necessary. "/>
        <s v="If you say that someone personifies a particular thing or quality, you mean that they seem to be a perfect example of that thing, or to have that quality to a very large degree. "/>
        <s v="A plaintive sound or voice sounds sad. "/>
        <s v="If someone, for example a sick child, is described as plucky, it means that although they are weak, they face their difficulties with courage. "/>
        <s v="Someone's remuneration is the amount of money that they are paid for the work that they do. "/>
        <s v="1. If something is extraordinary, remarkable, or one of a kind, you can say it is singular. A singular opportunity to sing onstage with a rock star is a remarkable opportunity._x000a_2. If you describe someone or something as singular, you mean that they are st"/>
        <s v="1. If you describe a person or animal as skittish, you mean they are easily made frightened or excited. _x000a_2. Someone who is skittish does not concentrate on anything or take life very seriously. "/>
        <s v="1. When you are sober, you are not drunk. _x000a_2. A sober person is serious and thoughtful. _x000a_3. Sober colours and clothes are plain and rather dull. "/>
        <s v="a lack of any honour or morals"/>
        <s v="Something that is daunting makes you feel slightly afraid or worried about dealing with it"/>
        <s v="1. If you dismantle a machine or structure, you carefully separate it into its different parts. _x000a_2. To dismantle an organization or system means to cause it to stop functioning by gradually reducing its power or purpose. "/>
        <s v="able to be understood in advance"/>
        <s v="an organized competition consisting of different sporting events"/>
        <s v="Things that are harmonious go together nicely, like notes in music or people that work well as a team."/>
        <s v="To indemnify someone against something bad happening means to promise to protect them, especially financially, if it happens. "/>
        <s v="1. If you say that something is limpid, you mean that it is very clear and transparent. _x000a_2. If you describe speech, writing, or music as limpid, you like it because it is clear, simple, and flowing. "/>
        <s v="When something becomes mellow, it gets softer or more relaxed. People are often said to mellow with age, meaning their aggressiveness, their sarcasm, and their short temper have given way to a more easygoing, genial manner."/>
        <s v="A taciturn person does not say very much and can seem unfriendly. "/>
        <s v="1. When you undertake a task or job, you start doing it and accept responsibility for it. _x000a_2. If you undertake to do something, you promise that you will do it. "/>
        <s v="If you are beholden to someone, you are in debt to them in some way or you feel that you have a duty to them because they have helped you"/>
        <s v="A catastrophe is an unexpected event that causes great suffering or damage."/>
        <s v="To explicate something means to explain it and make it clear. "/>
        <s v="Extraneous things are not relevant or essential to the situation you are involved in or the subject you are talking about. "/>
        <s v="1. to make a substance neutral (= not an acid or an alkali)_x000a_2. to stop something or someone from having an effect_x000a_3. to kill someone"/>
        <s v="1. Overwhelm means “give a person too much of something.” _x000a_also n: Overwhelm is the fact or feeling of not being able to cope or deal with something. _x000a_2. If a group of people overwhelm a place or another group, they gain complete control or victory over t"/>
        <s v="1. walker_x000a_2. ordinary, dull, boring; &quot;a pedestrian movie plot&quot;"/>
        <s v="A platitude is a statement which is considered meaningless and boring because it has been made many times before in similar situations. "/>
        <s v="If something is predominant, it is more important or noticeable than anything else in a set of people or things. "/>
        <s v="1. Someone or something that is prolific is fruitful or highly productive._x000a_- A prolific writer, artist, or composer produces a large number of works. _x000a_- A prolific sports player scores a lot of goals or wins a lot of matches or races. _x000a_- An animal, person"/>
        <s v="Someone who is veracious speaks the truth — like your brutally honest friend who always lets you know what she thinks about your outfits, your hairstyle, your lasagna recipe, and your taste in movies._x000a__x000a_The adjective veracious can be applied not just to pe"/>
        <s v="If you try to appease someone, you try to stop them from being angry by giving them what they want. "/>
        <s v="A beneficent person or thing helps people or results in something good. "/>
        <s v="to interpret the meaning, especially of other people's actions and statements, in a particular way_x000a_&quot;What may seem helpful behaviour to you can be construed as interference by others&quot;"/>
        <s v="To entrench is to establish something firmly, so that it would be difficult to change it. Entrench a tent pole in the ground so your tent doesn't fly away, or entrench yourself at your new job so you don’t get fired."/>
        <s v="If something is extant, it is still in existence, in spite of being very old. "/>
        <s v="1. You can use global to describe something that happens in all parts of the world or affects all parts of the world. _x000a_2. A global view or vision of a situation is one in which all the different aspects of it are considered. "/>
        <s v="unlucky"/>
        <s v="1. serious, critical_x000a_2. If you describe the appearance of someone or something as severe, you do not like its plain appearance and lack of decoration"/>
        <s v="adaptable, flexible"/>
        <s v="Something that is arcane is secret or mysterious. "/>
        <s v="If a person or thing is bereft of something, they no longer have it. "/>
        <s v="A group of people who do and believe things outside of what society considers normal or typical can be called a counterculture."/>
        <s v="​energy and enthusiasm to make new things happen or to make things succeed"/>
        <s v="If you talk about the efficacy of something, you are talking about its effectiveness and its ability to do what it is supposed to. "/>
        <m/>
        <s v="someone who says they have particular moral beliefs but behaves in way that shows these are not sincere"/>
        <s v="someone who is not an expert in or does not have a detailed knowledge of a particular subject"/>
        <s v="A malleable metal is able to be pounded or pressed into various shapes, and a malleable personality is capable of being changed or trained. It's easier to learn when you're young and malleable."/>
        <s v="Someone who is prudent is sensible and careful._x000a_&quot;It is always prudent to start any exercise programme gradually at first&quot;"/>
        <s v="To take refuge is to find a safe place. You might take refuge under a bridge in a hail storm, or in a basement during a tornado."/>
        <s v="1. When you row, you sit in a boat and make it move through the water by using oars. If you row someone somewhere, you take them there in a boat, using oars; also a noun_x000a_2. controversy or dispute_x000a_3. noisy argument_x000a_4. loud noise"/>
        <s v="1. You say that people are vocal when they speak forcefully about something that they feel strongly about. _x000a_2. Vocal means involving the use of the human voice, especially in singing. "/>
        <s v="If you say that someone is voluble, you mean that they talk a lot with great energy and enthusiasm. "/>
        <s v="Someone who is zealous spends a lot of time or energy in supporting something that they believe in very strongly, especially a political or religious ideal"/>
        <s v="If you describe people or their voices as clamorous, you mean they are talking loudly or shouting. "/>
        <s v="Like its linguistic relative, error, the adjective erratic means &quot;deviating from the norm,&quot; or &quot;wrong.&quot; It also implies behavior or qualities that are unpredictable or odd."/>
        <s v="If you say that something is futile, you mean there is no point in doing it, usually because it has no chance of succeeding. "/>
        <s v="If you describe someone, especially a young person, as gawky, you mean they are awkward and clumsy. "/>
        <s v="A grievance is a complaint. It can be formal, as when an employee files a grievance because of unsafe working conditions, or more of an emotional matter, like a grievance against an old friend who betrayed you."/>
        <s v="If you describe something as meretricious, you disapprove of it because although it looks attractive it is actually of little value. "/>
        <s v="a long speech by one person"/>
        <s v="1. If you have persistence, you continue to do something even though it is difficult or other people are against it. _x000a_2. The persistence of something, especially something bad, is the fact of its continuing to exist for a long time. "/>
        <s v="1. the sport of racing in cars or on motorcycles, especially over long distances on public roads_x000a_2. causing people to come together in order to support something or make a shared effort"/>
        <s v="1. Reins are the thin leather straps attached round a horse's neck which are used to control the horse_x000a_2. power and control of a country or organization"/>
        <s v="being skilled at getting what you want through manipulation or trickery"/>
        <s v="v: lose hope; also n"/>
        <s v="Divergent things are different from each other. "/>
        <s v="You describe something such as a quality as enviable when someone else has it and you wish that you had it too. "/>
        <s v="You use erstwhile to describe someone that used to be the type of person indicated, but no longer is"/>
        <s v="If you describe someone or something as estimable, you mean that they deserve admiration. "/>
        <s v="1. A hospitable person is friendly, generous, and welcoming to guests or people they have just met. _x000a_2. A hospitable climate or environment is one that encourages the existence or development of particular people or things. "/>
        <s v="Someone who is morose is miserable, bad-tempered, and not willing to talk very much to other people. "/>
        <s v="A mutiny is a refusal by people, usually soldiers or sailors, to continue obeying a person in authority;_x000a_also v"/>
        <s v="Someone who is parsimonious is very unwilling to spend money"/>
        <s v="1. Someone who is partisan strongly supports a particular person or cause, often without thinking carefully about the matter. _x000a_2. Partisans are ordinary people, rather than soldiers, who join together to fight enemy soldiers who are occupying their countr"/>
        <s v="1. A staple food, product, or activity is one that is basic and important in people's everyday lives. _x000a_2. A staple is something that forms an important part of something else. _x000a_&quot;staple of American journalism&quot;_x000a_3. Staples are small pieces of bent wire that "/>
        <s v="If you say that an argument, point of view, or situation is tenable, you believe that it is reasonable and could be successfully defended against criticism. "/>
        <s v="a very great success, achievement, or victory (= when you win a war, fight, or competition), or a feeling of great satisfaction or pleasure caused by this._x000a__x000a_Triumph can be a noun or a verb, so you can have a triumph after the big game when you triumph ove"/>
        <s v="not able to be proved to be true"/>
        <s v="1. The attainment of an aim is the achieving of it. _x000a_2. An attainment is a skill you have learned or something you have achieved. "/>
        <s v="To coddle someone means to treat them too kindly or protect them too much"/>
        <s v="To contravene a law or rule means to do something that is forbidden by the law or rule. "/>
        <s v="the action of moving away from the main subject you are writing or talking about and writing or talking about something else"/>
        <s v="1. If you say that someone is fastidious, you mean that they pay great attention to detail because they like everything to be very neat, accurate, and in good order. _x000a_2. If you say that someone is fastidious, you mean that they are concerned about keeping"/>
        <s v="seriousness; &quot;I don't think you understand the gravity of the situation&quot;, &quot;here was an appealing gravity to everything she said.&quot;"/>
        <s v="Hortatory is a word used to describe a behavior or action that is encouraging. In the face of great economic crisis, the president's speech takes on a hortatory or encouraging tone, at a time when people most need the reassurance."/>
        <s v="1. to show something clearly, through signs or actions: _x000a_&quot;he workers chose to manifest their dissatisfaction in a series of strikes.&quot;_x000a_2. to make something happen by imagining it and consciously thinking that it will happen_x000a_3. easily noticed or obvious_x000a_&quot;ma"/>
        <s v="gradually increasing: (ex: mouting debts)"/>
        <s v="1. To nullify something means to make it have no effect_x000a_2. To nullify a legal decision or procedure means to declare that it is not legally valid"/>
        <s v="show-off, to impress people"/>
        <s v="When you need a word that's deeper than &quot;deep,&quot; consider profound. A philosopher is likely to make many profound pronouncements."/>
        <s v="If you describe someone's behaviour as unrestrained, you mean that it is extreme or intense, for example because they are expressing their feelings strongly or loudly. "/>
        <s v="If you describe a person or their comments as vacuous, you are critical of them because they lack intelligent thought or ideas. "/>
        <s v="Someone who is wistful is rather sad because they want something and know that they cannot have it. "/>
        <s v="1. A belligerent person is hostile and aggressive. _x000a_2. The belligerents in a war are the countries or groups that are fighting each other. _x000a__x000a_bellum = war (in latin)"/>
        <s v="If you describe a mixture of sounds as cacophonous, you mean that they are loud and unpleasant. "/>
        <s v="If you castigate someone or something, you speak to them angrily or criticize them severely. "/>
        <s v="1. A Catholic is a member of the Catholic Church. _x000a_2. If you describe a collection of things or people as catholic, you are emphasizing that they are very varied. _x000a_&quot;He was a man of catholic tastes, a lover of grand opera, history and the fine arts.&quot;"/>
        <s v="a statue or painting representing the Roman god of love, shown as a naked baby boy with wings"/>
        <s v="If you say that someone is being facetious, you are criticizing them because they are making humorous remarks or saying things that they do not mean in a situation where they ought to be serious. "/>
        <s v="obstruct, stop, block"/>
        <s v="very difficult or impossible to control, manage, or solve"/>
        <s v="If you lambaste someone, you criticize them severely, usually in public. "/>
        <s v="If you describe someone as languid, you mean that they show little energy or interest and are very slow and casual in their movements. "/>
        <s v="1. Someone who behaves in a prodigal way spends a lot of money carelessly without thinking about what will happen when they have none left._x000a_2. You can describe someone as a prodigal son or daughter if they leave their family or friends, often after a peri"/>
        <s v="Someone or something that is quiescent is quiet and inactive"/>
        <s v="A spartan lifestyle or existence is very simple or strict, with no luxuries"/>
        <s v="1. If something is surmounted by a particular thing, that thing is on top of it_x000a_2. If you surmount a problem or difficulty, you deal successfully with it"/>
        <s v="If you describe something such as a job, task, or situation as tedious, you mean it is boring and rather frustrating. "/>
        <s v="a person who is able to imagine how a country, society, industry, etc., will or should develop in the future and to plan in a suitable way"/>
        <s v="1. bottom, main place, military base, customer base, necessary part, main part_x000a_2. Base behaviour is behaviour that is immoral or dishonest"/>
        <s v="If you gloat, you express great satisfaction at the misfortune of others. If your team scores a big win, it would be better not to gloat. Be happy for your win, but don't laugh at the other team's loss."/>
        <s v="1. If you say that something is lurid, you are critical of it because it involves a lot of violence, sex, or shocking detail. _x000a_2. If you describe something as lurid, you do not like it because it is very brightly coloured. "/>
        <s v="If someone or something is preeminent in a group, they are more important, powerful, or capable than other people or things in the group. "/>
        <s v="If one thing prefigures another, it is a first indication which suggests or determines that the second thing will happen. "/>
        <s v="To reinvent something is to completely change or remake it so thoroughly that it seems brand new. The driverless car is going to reinvent the way people think about driving."/>
        <s v="If you resent someone or something, you feel bitter and angry about them"/>
        <s v="1. To sever something means to cut completely through it or to cut it completely off_x000a_2. If you sever a relationship or connection that you have with someone, you end it suddenly and completely"/>
        <s v="1. Transient is used to describe a situation that lasts only a short time or is constantly changing. _x000a_2. Transients are people who stay in a place for only a short time and then move somewhere else. "/>
        <s v="Unorthodox describes something that goes against the usual ways of doing things."/>
        <s v="barren is often used to describe an area of land that lacks any signs of life. A barren wilderness is dry and empty, with no foliage or twittering birds to be found. An old-fashioned and unflattering word for a woman who is unable to have children is barr"/>
        <s v="If you are competent to do something, you have the skills, abilities, or experience necessary to do it well. "/>
        <s v="1. If something crumbles, or if you crumble it, it breaks into a lot of small pieces_x000a_2. If someone crumbles, they stop resisting or trying to win, or become unable to cope"/>
        <s v="Egalitarian means supporting or following the idea that all people are equal and should have the same rights and opportunities. "/>
        <s v="promote, raise, advance, upgrade"/>
        <s v="If you describe someone as imperturbable, you mean that they remain calm, even in disturbing or dangerous situations. "/>
        <s v="impossible to avoid"/>
        <s v="Ingrained habits and beliefs are difficult to change or remove. "/>
        <s v="1. If someone such as a sick, mentally ill, or old person is institutionalized, they are sent to stay in a special hospital or home, usually for a long period. _x000a_2. To institutionalize something means to establish it as part of a culture, social system, or"/>
        <s v="If you say that something is inviting, you mean that it has good qualities that attract you or make you want to experience it. "/>
        <s v="1. A lull is a period of quiet or calm in a longer period of activity or excitement_x000a_2. If you are lulled into feeling safe, someone or something causes you to feel safe at a time when you are not safe_x000a_3. If someone or something lulls you, they cause you t"/>
        <s v="A miscreant is someone who has done something illegal or behaved badly. "/>
        <s v="If you mollify someone, you do or say something to make them less upset or angry. "/>
        <s v="1. Novelty is a newness or refreshing quality. Many college freshmen enjoy the novelty of living on their own — until it comes time to do that first load of laundry._x000a_2. novelty is also a term for a small toy or trinket, usually mass-produced. Novelty shop"/>
        <s v="very dangerous"/>
        <s v="If you placate someone, you do or say something to make them stop feeling angry. "/>
        <s v="If things proliferate, they increase in number very quickly. "/>
        <s v="1. If you reproach someone/If you look at or speak to someone with reproach, you say or show that you are disappointed, upset, or angry because they have done something wrong. _x000a_2. If you reproach yourself, you think with regret about something you have do"/>
        <s v="A satirical drawing, piece of writing, or comedy show is one in which humour or exaggeration is used to criticize something"/>
        <s v="1. A sensational result, event, or situation is so remarkable that it causes great excitement and interest. _x000a_2. You can describe something as sensational when you think that it is extremely good. _x000a_3. You can describe stories or reports as sensational if y"/>
        <s v="1. Something that is sinuous moves with smooth twists and turns_x000a_&quot;...the silent, sinuous approach of a snake through the long grass&quot;_x000a_2. Something that is sinuous has many smooth turns and curves_x000a_&quot;I drove along sinuous mountain roads&quot;"/>
        <s v="1. You use token to describe things or actions which are small or unimportant, but are meant to show particular intentions or feelings which may not be sincere. Ex: &quot;token gesture&quot;_x000a_2. If you give something to a person or do something for them as a token o"/>
        <s v="Something that transcends normal limits or boundaries goes beyond them, because it is more significant than them. "/>
        <s v="If something unsettles you, it makes you feel rather worried or uncertain. "/>
        <s v="If something is in abeyance, it is not operating or being used at the present time. "/>
        <s v="1. {the usual meaning I know}_x000a_2 If you betray a feeling or quality, you show it without intending to"/>
        <s v="1. A compliment is a polite remark that you say to someone to show that you like their appearance, appreciate their qualities, or approve of what they have done. _x000a_2. If you compliment someone, you pay them a compliment. _x000a_3. If you consider something that "/>
        <s v="If someone or something complies with an order or set of rules, they are in accordance with what is required or expected. "/>
        <s v="Someone who is duplicitous is almost like two people, saying one thing but then doing something very different, even contradictory. Someone who is duplicitous can also be called &quot;two-faced,&quot; a vivid way to remember that this person shouldn't be trusted or"/>
        <s v="If you say that someone or something is fallible, you mean that they are not perfect and are likely to make mistakes or to fail in what they are doing. "/>
        <s v="1. If something flourishes, it is successful, active, or common, and developing quickly and strongly. _x000a_2. If a plant or animal flourishes, it grows well or is healthy because the conditions are right for it. _x000a_3. If you flourish an object, you wave it abou"/>
        <s v="Heterodox beliefs, opinions, or ideas are different from the accepted or official ones. "/>
        <s v="A hypothesis is an idea which is suggested as a possible explanation for a particular situation or condition, but which has not yet been proved to be correct"/>
        <s v="1. If you accuse someone of being indifferent to something, you mean that they have a complete lack of interest in it. _x000a_2. If you describe something or someone as indifferent, you mean that their standard or quality is not very good, and often quite bad. "/>
        <s v="If you say that someone or something is indispensable, you mean that they are absolutely essential and other people or things cannot function without them. "/>
        <s v="having few moral principles and having sexual relationships with many people"/>
        <s v="Something that is modish is fashionable. "/>
        <s v="1. A picturesque place is attractive and interesting, and has no ugly or modern buildings. _x000a_2. Picturesque words and expressions are unusual or poetic. "/>
        <s v="A salutary experience is good for you, even though it may seem difficult or unpleasant at first. "/>
        <s v="Slovenly people are careless, untidy, or inefficient. "/>
        <s v="1. Turbulent water or air contains strong currents which change direction suddenly. _x000a_2. A turbulent time, place, or relationship is one in which there is a lot of change, confusion, and disorder. "/>
        <s v="If you censure someone for something that they have done, you tell them that you strongly disapprove of it. "/>
        <s v="A person who's recovering from an illness is a convalescent. As a convalescent recovering from surgery, your grandmother would probably love some company to cheer her and help pass the time."/>
        <s v="1. A demanding job or task requires a lot of your time, energy, or attention. _x000a_2. People who are demanding are not easily satisfied or pleased. "/>
        <s v="Someone who is disingenuous is slightly dishonest and insincere in what they say. "/>
        <s v="same as egoist; a person who considers himself or herself to be better or more important than other people"/>
        <s v="1. Fallow land has been dug or ploughed but nothing has been planted in it, especially so that its quality or strength has a chance to improve. _x000a_2. A fallow period is a time when very little is being achieved. "/>
        <s v="If you describe someone as impudent, you mean they are rude or disrespectful, or do something they have no right to do. "/>
        <s v="If you impugn something such as someone's motives or integrity, you imply that they are not entirely honest or honourable. "/>
        <s v="the feeling of having little energy or of being unable or unwilling to do anything"/>
        <s v="If you say that a word or name is a misnomer, you mean that it describes something incorrectly. "/>
        <s v="1. not known to many people_x000a_2. not clear and difficult to understand or see_x000a_3. to make something (2); &quot;obscured his view&quot;"/>
        <s v="If someone perpetrates a crime or any other immoral or harmful act, they do it. "/>
        <s v="A proclivity is a tendency to behave in a particular way or to like a particular thing, often a bad way or thing. "/>
        <s v="to return someone to a healthy or usual condition or way of living, or to return something to good condition"/>
        <s v="Relegate means &quot;to assign to a lower position.&quot; If the quarterback of the football team stops making decent throws, he might be relegated to the position of benchwarmer."/>
        <s v="1. Unlike pants, which fully cover each of your legs separately, a skirt is basically a single piece of fabric covering part of your legs._x000a_2. As a verb, skirt means &quot;go around,&quot; like when you skirt a city instead of driving straight through it. The word o"/>
        <s v="strict"/>
        <s v="1. miserable/hopeless_x000a_2. having no self respect"/>
        <s v="1. existing as an idea, feeling, or quality, not as a material object: _x000a_2. An abstract argument or discussion is general and not based on particular examples_x000a_3. Abstract art makes use of shapes and patterns rather than showing people or things. _x000a_4. An abs"/>
        <s v="A copious amount of something is a large amount of it. "/>
        <s v="Covert means secret or hidden. It comes from the Old French covert, or &quot;covered.&quot; A covert bag of chips you've snuck into the movie theater might literally be covered, hidden under your coat, while a covert plan to throw your dad a surprise party is just "/>
        <s v="Something that is dormant is not active, growing, or being used at the present time but is capable of becoming active later on. "/>
        <s v="to instruct in such a way as to improve, enlighten, or uplift morally, spiritually, or intellectually "/>
        <s v="to make very happy or proud_x000a_&quot;news to elate the hearer&quot;"/>
        <s v="If you describe someone's behaviour as furtive, you disapprove of them behaving as if they want to keep something secret or hidden. "/>
        <s v="1. If you imitate someone, you copy what they do or produce. _x000a_2. If you imitate a person or animal, you copy the way they speak or behave, usually because you are trying to be funny. "/>
        <s v="1. v: If you lampoon someone or something, you criticize them very strongly, using humorous means. _x000a_2. n: A lampoon is a piece of writing or speech which criticizes someone or something very strongly, using humorous means. "/>
        <s v="clumsy, but with a hint of overall incompetence; can mean all kinds of clumsy. Trip over your words? You are verbally maladroit. Stumble in social situations? You're socially maladroit."/>
        <s v="1. If you malign someone, you badmouth them_x000a_2. If something is malign, it causes harm. "/>
        <s v="A munificent person is very generous. "/>
        <s v="Something that is poignant affects you deeply and makes you feel sadness or regret. "/>
        <s v="Something that is a sham is not real or is not really what it seems to be"/>
        <s v="1. If you describe someone as timorous, you mean that they are frightened and nervous of other people and situations. _x000a_2. If you describe someone's actions or decisions as timorous, you are criticizing them for being too cautious or weak, because the pers"/>
        <s v="(especially of a positive feeling) not spoiled by any amount of negative feeling; pure"/>
        <s v="Vestigial is used to describe the small amounts of something that still remain of a larger or more important thing. "/>
        <s v="If you alleviate pain, suffering, or an unpleasant condition, you make it less intense or severe. "/>
        <s v="If a person has an animus against someone, they have a strong feeling of dislike for them, even when there is no good reason for it. "/>
        <s v="If something is an anomaly, it is different from what is usual or expected. "/>
        <s v="Corporeal means involving or relating to the physical world rather than the spiritual world. "/>
        <s v="If you are discomfited by something, it causes you to feel slightly embarrassed or confused. "/>
        <s v="If something disorients you, you lose your sense of direction, or you generally feel lost and uncertain, for example because you are in an unfamiliar environment. "/>
        <s v="To eradicate something means to get rid of it completely. "/>
        <s v="1. If you use a word or expression in a figurative sense, you use it with a more abstract or imaginative meaning than its ordinary literal one. "/>
        <s v="If you fluster someone, you make them feel nervous and confused by rushing them and preventing them from concentrating on what they are doing. _x000a_&quot;She was so flustered that she forgot her reply&quot;"/>
        <s v="in a way that makes you feel as if your sense of balance is not good and that you may fall down"/>
        <s v="Polemical means arguing very strongly for or against a belief or opinion. "/>
        <s v="Something that is prodigious is very large or impressive. "/>
        <s v="Someone who is retiring is shy and avoids meeting other people"/>
        <s v="Sound can also mean &quot;solid or good.&quot; Sound advice is good advice. Sound investments are secure. When you have a sound sleep, it's restful and uninterrupted"/>
        <s v="If you describe someone as stingy, you are criticizing them for being unwilling to spend money. "/>
        <s v="When you talk about substantive change, you mean change that really makes a difference. After a substantive discussion, you will have an in-depth understanding of what you are talking about._x000a__x000a_When something is substantive, there is a lot of there there, b"/>
        <s v="1. If someone absconds from somewhere such as a prison, they escape from it or leave it without permission. _x000a_2. If someone absconds with something, they leave and take it with them, although it does not belong to them. "/>
        <s v="When you are apprised of something, someone tells you about it. "/>
        <s v="1. When you canonize a person, you put him on a pedestal — in other words, you think he's so wonderful that he can do no wrong._x000a_2. (in the Roman Catholic Church) to announce officially that a dead person is a saint"/>
        <s v="having or showing an alert mind "/>
        <s v="When people dissemble, they hide their real intentions or emotions"/>
        <s v="If writing or speech is indecipherable, you cannot understand what the words are. "/>
        <s v="1. To lure someone means to trick them into a particular place or to trick them into doing something that they should not do_x000a_2. A lure is an object which is used to attract animals so that they can be caught_x000a_3. A lure is an attractive quality that somethi"/>
        <s v="1.  Food that is piquant has a pleasantly spicy taste. _x000a_2. Something that is piquant is interesting and exciting. "/>
        <s v="If you’ve heard of a movie synopsis, which gives an overview of the plot, you can guess what synoptic means: summarizing. At the end of your 900-page treatise on morals, try to give a synoptic conclusion to drive your ideas home."/>
        <s v="Urbane people are sophisticated, polished, cultured, refined. Spend enough time in an urban setting–-going to concerts and museums, spending time in crowds––and you'll be urbane too."/>
        <s v="1. If you describe someone as artful, you mean that they are clever and skilful at achieving what they want, especially by deceiving people. _x000a_2. If you use artful to describe the way someone has done or arranged something, you approve of it because it is "/>
        <s v="A celebrated person or thing is famous and much admired. "/>
        <s v="A chivalrous man is polite, kind, and unselfish, especially towards women. "/>
        <s v="A conflagration is a fire that burns over a large area and destroys property. "/>
        <s v="If you describe something as encyclopedic, you mean that it is very full, complete, and thorough in the amount of knowledge or information that it has"/>
        <s v="unsystematic, disorderly, disorganized"/>
        <s v="If you loathe someone or something, you hate them very much"/>
        <s v="so obvious that it can easily be seen or known, or (of a feeling) so strong that it seems as if it can be touched or physically felt: "/>
        <s v="A stint is a period of time which you spend doing a particular job or activity or working in a particular place._x000a_&quot;He is returning to this country after a five-year stint in Hong Kong.&quot;"/>
        <s v="If you describe a person or their actions as unwitting, you mean that the person does something or is involved in something without realizing it. "/>
        <s v="having two opposing feelings at the same time, or being uncertain about how you feel"/>
        <s v="If you amend something that has been written such as a law, or something that is said, you change it in order to improve it or make it more accurate. "/>
        <s v="If something astounds you, you are very surprised by it"/>
        <s v="1. polish/to rub metal until it is smooth and shiny_x000a_2. If you burnish something such as your public image, you take action to improve it and make it more attractive"/>
        <s v="1. If you calibrate an instrument or tool, you mark or adjust it so that you can use it to measure something accurately. _x000a_2. If you calibrate something, you measure it accurately"/>
        <s v="Something that is monotonous is very boring because it has a regular, repeated pattern which never changes"/>
        <s v="To obfuscate something means to deliberately make it seem confusing and difficult to understand. "/>
        <s v="If you refer to someone as a paragon, you mean that they are perfect or have a lot of a good quality. "/>
        <s v="A providential event is lucky because it happens at exactly the right time. "/>
        <s v="1. If something puzzles you, you do not understand it and feel confused_x000a_2. If you puzzle over something, you try hard to think of the answer to it or the explanation for it"/>
        <s v="not able to be perceived, noticed, or discovered "/>
        <s v="1. Something that is universal relates to everyone in the world or everyone in a particular group or society. _x000a_2. Something that is universal affects or relates to every part of the world or the universe. _x000a_3. A universal is a principle that applies in all"/>
        <s v="describes someone who is a wag — the kind of hilarious person who keeps you entertained with witty stories and jokes."/>
        <s v="Someone wayward is a little stubborn and independent — they're determined to find their own way - often, going against what others want you to do - and are not easily controlled."/>
        <s v="1. Weary as an adjective means &quot;very tired or worn out,&quot; like weary students who finished a long week of studying and taking tests._x000a_2. As a verb, weary means &quot;to exhaust or wear out,&quot; like when the children you are babysitting weary you with their game of"/>
        <s v="Someone or something that is august is dignified and impressive. "/>
        <s v="1. If you have to contend with a problem or difficulty, you have to deal with it or overcome it. _x000a_2. If you contend that something is true, you state or argue that it is true. _x000a_3. If you contend with someone for something such as power, you compete with t"/>
        <s v="1. Speech or writing that is eloquent is well expressed and effective in persuading people. _x000a_2. A person who is eloquent is good at speaking and able to persuade people. "/>
        <s v="1. Resistance to or protection against a specified disease; power to resist infection, esp. as a result of antibody formation_x000a_2. Exemption or freedom from something burdensome or otherwise unpleasant, as a legal obligation"/>
        <s v="1. If you say that you are indebted to someone for something, you mean that you are very grateful to them for something_x000a_2. Indebted countries, organizations, or people are ones that owe money to other countries, organizations, or people"/>
        <s v="1. If something is a passable effort or of passable quality, it is satisfactory or quite good. _x000a_2. If a road is passable, it is not completely blocked, and people can still use it. "/>
        <s v="If a problem or difficulty is unresolved, no satisfactory solution has been found to it. "/>
        <s v="1. Cognizance is knowledge or understanding. _x000a_2. If you take cognizance of something, you take notice of it or acknowledge it. "/>
        <s v="If something is discernible, you can see it or recognize that it exists. "/>
        <s v="Something that is efficacious is effective. "/>
        <s v="When you elicit, you're bringing out a response of some sort. A good comedian elicits a lot of laughs."/>
        <s v="1. If you engage in an activity, you do it or are actively involved with it. _x000a_2. If something engages you or your attention or interest, it keeps you interested in it and thinking about it. _x000a_3. If you engage someone in conversation, you have a conversatio"/>
        <s v="Homogeneous is used to describe a group or thing which has members or parts that are all the same. "/>
        <s v="1. If you say that someone or something is a liability, you mean that they cause a lot of problems or embarrassment. _x000a_2. A company's or organization's liabilities are the sums of money which it owes. "/>
        <s v="If someone is malevolent, they wish evil on others"/>
        <s v="To protract something is to stretch it out. If you have a disagreement with a friend that you continue for weeks and weeks, you are protracting the argument."/>
        <s v="1. Provincial means connected with the parts of a country away from the capital city. _x000a_2. Provincial means relating to a large section of a country which has its own administration. _x000a_3. If you describe someone or something as provincial, you disapprove of"/>
        <s v="1. A resolution is a formal decision taken at a meeting by means of a vote. _x000a_2. If you make a resolution, you decide to try very hard to do something. _x000a_3. Resolution is determination to do something or not do something. _x000a_4. The resolution of a problem or "/>
        <s v="Use robust to describe a person or thing that is healthy and strong, or strongly built. This adjective also commonly describes food or drink: a robust wine has a rich, strong flavor."/>
        <s v="1. something that is added to something else in order to improve it or complete it; something extra: _x000a_2. A supplement is also an extra part of a magazine or newspaper_x000a_3. to add to something"/>
        <s v="to gradually weaken or destroy someone or something"/>
        <s v="You can describe something as a boon when it makes life better or easier for someone. "/>
        <s v="If one thing is conducive to another thing, it makes the other thing likely to happen. "/>
        <s v="1. If you are enchanted by someone or something, they cause you to have feelings of great delight or pleasure. _x000a_2. In fairy stories and legends, to enchant someone or something means to put a magic spell on them. "/>
        <s v="When someone equivocates, they deliberately use vague language in order to deceive people or to avoid speaking the truth. "/>
        <s v="pay attention to, listen to, take notice of, follow"/>
        <s v="to puzzle/confuse/bewilder/complicate"/>
        <s v="Something that is quantifiable can be measured or counted in a scientific way"/>
        <s v="1. A stalwart is a loyal worker or supporter of an organization, especially a political party. _x000a_2. A stalwart supporter or worker is loyal, steady, and completely reliable. _x000a_3. A stalwart man is strong. "/>
        <s v="able to be proved by testing/able to be tested"/>
        <s v="1. In a court of law, someone's testimony is a formal statement that they make about what they saw someone do or what they know of a situation, after having promised to tell the truth. _x000a_2. If you say that one thing is testimony to another, you mean that i"/>
        <s v="If you cope with a problem or task, you deal with it successfully"/>
        <s v="When you deflect, you throw someone or something off course, often by using a distraction. _x000a__x000a_Hockey goalies deflect the flying puck with their sticks or blockers, making it travel in a different direction. Another way to deflect something — such as critic"/>
        <s v="If someone or something engenders a particular feeling, atmosphere, or situation, they cause it to occur. "/>
        <s v="Extravagant is an adjective that means expensive, excessive, and over the top. A modest chandelier in your dining room is normal. But crystal-studded walls and gold-plated goblets? That's a bit extravagant."/>
        <s v="in a state of confusion or agitation_x000a_&quot;He gets all flustered and doesn't know what to say&quot;"/>
        <s v="A lucrative activity, job, or business deal is very profitable. "/>
        <s v="1. When someone minutes something that is discussed or decided at a meeting, they make a written record of it. _x000a_2. tiny_x000a_3. &lt;Obvious meanings&gt;"/>
        <s v="1. You use prime to describe something that is most important in a situation. _x000a_2. You use prime to describe something that is of the best possible quality. _x000a_3. You use prime to describe an example of a particular kind of thing that is absolutely typical. "/>
        <s v="A sedulous person is someone who works hard and doesn't give up easily"/>
        <s v="to make a humble request to (someone); plead"/>
        <s v="1. Someone who has an abrasive manner is unkind and rude_x000a_2. An abrasive substance is rough and can be used to clean hard surfaces"/>
        <s v="1. If you are blunt, you say exactly what you think without trying to be polite_x000a_2. A blunt object has a rounded or flat end rather than a sharp one_x000a_3. If something blunts an emotion, a feeling, or a need, it weakens it_x000a_&quot;The passing of time will blunt the "/>
        <s v="Disaffection is the attitude that people have when they stop supporting something such as an organization or political ideal"/>
        <s v="If you describe someone as fractious, you disapprove of them because they become upset or angry very quickly about small unimportant things"/>
        <s v="1. If you fret about something, you worry about it. _x000a_2. The frets on a musical instrument such as a guitar are the raised lines across its neck. "/>
        <s v="the very first"/>
        <s v="1. A peripheral activity or issue is one which is not very important compared with other activities or issues. _x000a_2. Peripheral areas of land are ones which are on the edge of a larger area. _x000a_3. Peripherals are devices that can be attached to computers. "/>
        <s v="If you propitiate someone, you stop them being angry or impatient by doing something to please them. "/>
        <s v="1. Remedial education is intended to improve a person's ability to read, write, or do mathematics, especially when they find these things difficult. _x000a_2. Remedial activities are intended to improve a person's health when they are ill. _x000a_3. Remedial action i"/>
        <s v="Something that is sinister seems evil or harmful"/>
        <s v="A trifling matter is small and unimportant. "/>
        <s v="not bad; having nothing that anyone could criticize or disapprove of"/>
        <s v="1. Virtue is thinking and doing what is right and avoiding what is wrong. _x000a_2. A virtue is a good quality or way of behaving. _x000a_3. The virtue of something is an advantage or benefit that it has, especially in comparison with something else. _x000a_4. You use by v"/>
        <s v="to make clear (something obscure or difficult); clarify"/>
        <s v="If you describe someone as impulsive, you mean that they do things suddenly without thinking about them carefully first. "/>
        <s v="1. If you have integrity, you are honest and firm in your moral principles. _x000a_2. The integrity of something such as a group of people or a text is its state of being a united whole. "/>
        <s v="Choose the verb mitigate when something lessens the unpleasantness of a situation."/>
        <s v="1. Someone who is nimble is able to move their fingers, hands, or legs quickly and easily_x000a_2. If you say that someone has a nimble mind, you mean they are clever and can think very quickly"/>
        <s v="A pressing problem, need, or issue has to be dealt with immediately. "/>
        <s v="n: A prop is something you use as a support, like a broom that serves as a prop to hold a door open. A prop is also something that goes on stage, like a garbage can in a Beckett play._x000a_also v: prop an object on or against something; &quot;propped his feet on th"/>
        <s v="If you ridicule someone or ridicule their ideas or beliefs, you make fun of them in an unkind way"/>
        <s v="A simpleton is an idiot — a person without much common sense or intelligence."/>
        <s v="1. influence/impact_x000a_2. If you affect a particular characteristic or way of behaving, you pretend that it is genuine, or natural for you._x000a_&quot;Since joining the band he’s affected a ridiculous southern accent&quot;"/>
        <s v="1. If someone will not countenance something, they do not agree with it and will not allow it to happen. _x000a_2. Someone's countenance is their face. "/>
        <s v="1. perceive or recognize (make out) something, especially something that is not obvious_x000a_2. If you can discern something, you can just see it, but not clearly"/>
        <s v="If you describe a study, search, or list as exhaustive, you mean that it is very thorough and complete. "/>
        <s v="If you describe someone as loquacious, you mean that they talk a lot. "/>
        <s v="If you have to use a garbage can lid as a sled or a set of drapes as a ball gown, then you know what it means to put together a makeshift creation. Something makeshift has been improvised, thrown together with whatever is around."/>
        <s v="A neophyte is someone who is new to a particular activity. "/>
        <s v="1. If something poses a problem or a danger, it is the cause of that problem or danger. _x000a_2. If you pose a question, you ask it. If you pose an issue that needs considering, you mention the issue. _x000a_3. If you pose as someone, you pretend to be that person i"/>
        <s v="A scintillating conversation or performance is very lively and interesting. "/>
        <s v="The adjective tempestuous can describe violent weather, but it can also figuratively describe something that just has the characteristics of such blustery and turbulent weather."/>
        <s v="You can use trenchant to describe something such as a criticism or comment that is very clear, effective, and forceful. "/>
        <s v="If you describe a person or their behaviour as uncritical, you mean that they do not judge whether someone or something is good or bad, right or wrong, before supporting or believing them. "/>
        <s v="Something that's arbitrary seems like it's chosen at random instead of following a consistent rule."/>
        <s v="When you're offering something in support of an already existing thing, you're offering something auxiliary. The auxiliary police will help out the regular police with things like directing traffic and crowd control when there's a special event in town."/>
        <s v="Something that is desultory is done in an unplanned and disorganized way, and without enthusiasm. "/>
        <s v="Someone who is diffident is rather shy and does not enjoy talking about themselves or being noticed by other people"/>
        <s v="An unusually short, small person is sometimes called a dwarf. The noun dwarf is also used for an unusually small animal or plant, or as a verb meaning &quot;make something seem very small,&quot; as when a new apartment building dwarfs the surrounding houses. "/>
        <s v="In sport or military conflict, if someone feints, they make a brief movement in a different direction from the one they intend to follow, as a way of confusing or deceiving their opponent. "/>
        <s v="1. uncontrolled excitement, anger, or panic_x000a_2. wildly funny"/>
        <s v="An incessant process or activity is one that continues without stopping. "/>
        <s v="Something that is intelligible can be understood. "/>
        <s v="If a bad situation or change is irremediable, the situation cannot be improved. "/>
        <s v="1. If you patronize a business, you shop there regularly_x000a_2. Someone who patronizes artists, writers, or musicians supports them and gives them money_x000a_3. If someone patronizes you, they talk to you as if you were inferior or not very intelligent"/>
        <s v="A pithy comment or piece of writing is short, direct, and full of meaning. "/>
        <s v="1. If something precipitates an event or situation, usually a bad one, it causes it to happen suddenly or sooner than normal. _x000a_2. A precipitate action or decision happens or is made more quickly or suddenly than most people think is sensible. "/>
        <s v="1. You can use render with an adjective that describes a particular state to say that someone or something is changed into that state. For example, if someone or something makes a thing harmless, you can say that they render it harmless. _x000a_2. If you render"/>
        <s v="1. Sobriety is the state of being sober rather than drunk. _x000a_2. Sobriety is serious and thoughtful behaviour. "/>
        <s v="Someone who is sparing with something uses it or gives it only in very small quantities. "/>
        <s v="Subsume means to absorb or include. A successful company might subsume a failing competitor through a merger, or love may subsume you in the early stages of a romance."/>
        <s v="A sycophant is a person who tries to win favor from wealthy or influential people by flattering them. Also known as brown-nosers, teacher's pets or suck-ups."/>
        <s v="unimportant"/>
        <s v="not interrupted or changed in any way"/>
        <s v="If things abound, or if a place abounds with things, there are a lot of them. In spring, birds, flowers, rain, and frisbees abound."/>
        <s v="bold or daring; fearless"/>
        <s v="Someone who is churlish is unfriendly, bad-tempered, or impolite. "/>
        <s v="If you are contrite, you are very sorry because you have done something wrong. "/>
        <s v="1. If you croon, you sing or hum quietly and gently. _x000a_2. If one person talks to another in a soft gentle voice, you can describe them as crooning, especially if you think they are being sentimental or insincere. "/>
        <s v="If something such as power, a custom, or an idea is entrenched, it is firmly established, so that it would be difficult to change it. "/>
        <s v="1. If two things such as opinions or proposals are irreconcilable, they are so different from each other that it is not possible to believe or have both of them. _x000a_2. An irreconcilable disagreement or conflict is so serious that it cannot be settled. "/>
        <s v="If you describe someone as a megalomaniac, you are criticizing them because they enjoy being powerful, or because they believe that they are more powerful or important than they really are"/>
        <s v="Normative means creating or stating particular rules of behaviour. "/>
        <s v="Someone who is penitent is very sorry for something wrong that they have done, and regrets their actions. "/>
        <s v="If something presages a situation or event, it is considered to be a warning or sign of what is about to happen. "/>
        <s v="1. intended to cause a reaction, esp. anger or annoyance, or to force you to think more carefully about something_x000a_2. If behavior or clothing is provocative, it is likely to cause sexual desire"/>
        <s v="relating to or determined by syntax_x000a_another word for syntactic"/>
        <s v="1. A valedictory speech, letter, or performance is one that is intended as a way of saying goodbye when someone leaves another person, a place, or a job. _x000a_2. A valedictory is a speech that is given by the student with the highest marks in their class at t"/>
        <s v="1. permit/authorization: the piece of paper they show you through the keyhole during an investigation_x000a_2. demand/call for: &quot;serious enough to warrant an investigation&quot;_x000a_3. justification/reason: &quot;There is some warrant for holding back on full-scale aid&quot;_x000a_4. I"/>
        <s v="1. to make a book, play, or piece of writing shorter by removing details and information that is not important _x000a_2. to reduce someone's freedom, rights, etc."/>
        <s v="If you say that someone's attitude or behaviour is an affectation, you disapprove of the fact that it is not genuine or natural, but is intended to impress other people."/>
        <s v="1. If you alienate someone, you make them become unfriendly or unsympathetic towards you_x000a_2. To alienate a person from someone or something that they are normally linked with means to cause them to be emotionally or intellectually separated from them"/>
        <s v="An apologist is a person who argues in favor of something unpopular. If you're an apologist for deep sea oil drilling, you would argue that drilling in the ocean is necessary and the benefits make up for any environmental damage."/>
        <s v="A bawdy story or joke contains humorous references to sex. "/>
        <s v="If something bemuses you, it puzzles or confuses you"/>
        <s v="If you covet something, you strongly want to have it for yourself. "/>
        <s v="The dissolution of a relationship means that it's broken up or ended. The dissolution of your band means you better get started on your solo album."/>
        <s v="If one thing entails another, it involves it or causes it. "/>
        <s v="If you forestall someone, you realize what they are likely to do and prevent them from doing it"/>
        <s v="To improvise means to make something up on the spot, or figure it out as you go."/>
        <s v="A ploy is a way of behaving that someone plans carefully and secretly in order to gain an advantage for themselves_x000a_&quot;marketing ploy&quot;"/>
        <s v="Propriety is the quality of being socially or morally acceptable. "/>
        <s v="Someone who is pugnacious is always ready to quarrel or start a fight. "/>
        <s v="1. n: A suspect is a person who is believed to be guilty of a crime_x000a_2. v: To suspect someone of something is to believe that they probably did it_x000a_3. adj: If something such as someone's excuse or motive is suspect, it seems a bit off"/>
        <s v="1. If you describe something as unfathomable, you mean that it cannot be understood or explained, usually because it is very strange or complicated. _x000a_2. If you use unfathomable to describe a person or the expression on their face, you mean that you cannot"/>
        <s v="Something arresting commands your attention. It's stunning, and you can't turn away."/>
        <s v="If you chastise someone, you speak to them angrily or punish them for something wrong that they have done. "/>
        <s v="If you say that a person or society is decadent, you think that they have low moral standards and are interested mainly in pleasure. "/>
        <s v="If you say that someone is doctrinaire or has a doctrinaire attitude, you disapprove of them because they have fixed principles which they try to force on other people. "/>
        <s v="to make someone feel weak and without energy"/>
        <s v="1. Someone who is gregarious enjoys being with other people. _x000a_2. Gregarious animals or birds normally live in large groups. "/>
        <s v="extremely valuable, or priceless"/>
        <s v="merry and cheerful"/>
        <s v="using very few words to express what you mean"/>
        <s v="Largesse is a generous gift of money or a generous act of kindness. "/>
        <s v="If you describe an amount or quantity of something as meager, you are critical of it because it is very small or not enough. "/>
        <s v="the fact of being based on facts and not influenced by personal beliefs or feelings"/>
        <s v="Someone who is phlegmatic stays calm even when upsetting or exciting things happen. "/>
        <s v="1. A piece of information that is speculative is based on guesses rather than knowledge. _x000a_2. Someone who has a speculative expression seems to be trying to guess something about a person or thing. _x000a_3. Speculative is used to describe activities which invol"/>
        <s v="1. Temperate is used to describe a climate or a place which is never extremely hot or extremely cold. _x000a_2. If a person's behaviour is temperate, it is calm and reasonable, so that they do not get angry or lose their temper easily. "/>
        <s v="Activism is the process of campaigning in public or working for an organization in order to bring about political or social change. "/>
        <s v="Allusive speech, writing, or art is full of indirect references to people or things. "/>
        <s v="1. When things antedate something else, they come before it, or happen earlier than it does. World War I antedates World War II._x000a_2. to put a date on a document that is earlier than the date it is signed: (Ex: &quot;to antedate a check&quot;)"/>
        <s v="Archaic means extremely old or extremely old-fashioned. "/>
        <s v="1. Disparate things are clearly different from each other in quality or type. _x000a_2. A disparate thing is made up of very different elements. "/>
        <s v="1. A fringe is hair which is cut so that it hangs over your forehead. _x000a_2. A fringe is a decoration attached to clothes, or other objects such as curtains, consisting of a row of hanging strips or threads. _x000a_3. To be on the fringe or the fringes of a place "/>
        <s v="to please someone, or to satisfy a wish or need"/>
        <s v="1. hinder_x000a_2. basket/package"/>
        <s v="1. to influence or control someone to your advantage, often without that person knowing it: _x000a_2. to control something by using the hands: "/>
        <s v="Overt means open and done in plain sight"/>
        <s v="Pomposity means speaking or behaving in a very serious manner which shows that you think you are more important than you really are. "/>
        <s v="Preternatural abilities, qualities, or events are very unusual in a way that might make you think that unknown forces are involved. "/>
        <s v="1. If something resonates, it vibrates and produces a deep, strong sound. _x000a_2. You say that something resonates when it has a special meaning or when it is particularly important to someone. "/>
        <s v="If you say that one thing is tantamount to a second, more serious thing, you are emphasizing how bad, unacceptable, or unfortunate the first thing is by comparing it to the second. _x000a__x000a_When something is tantamount to another thing it is essentially its equi"/>
        <s v="1. If a person's activities or judgment are unsound, they are not good enough, acceptable, or able to be trusted: _x000a_2. If a building or other structure is unsound, it is in bad condition and likely to fall down or fail: "/>
        <s v="If something is vitiated, its effectiveness is spoiled or weakened. "/>
        <s v="lack of emotion/interest, indifference"/>
        <s v="Someone who is assertive states their needs and opinions clearly, so that people take notice. "/>
        <s v="To augment something means to make it larger, stronger, or more effective by adding something to it. "/>
        <s v="Avarice is a fancy word for good old-fashioned greed"/>
        <s v="A connoisseur is someone who knows a lot about the arts, food, drink, or some other subject. "/>
        <s v="If you look crestfallen, you look sad and disappointed about something. "/>
        <s v="Depravity goes beyond mere bad behavior — it is a total lack of morals, values, and even regard for other living things, like the depravity of a serial killer."/>
        <s v="1. If you describe someone as devious you do not like them because you think they are dishonest and like to keep things secret, often in a complicated way. _x000a_2. A devious route or path to a place involves many changes in direction, rather than being as str"/>
        <s v="If a part of your body is distended, or if it distends, it becomes swollen and unnaturally large. "/>
        <s v="feeling of being tired, bored, and dissatisfied"/>
        <s v="If you expedite something, you cause it to be done more quickly. "/>
        <s v="If you say that someone is finicky, you mean that they are worried about small details and are difficult to please. "/>
        <s v="1. If you inform someone of something, you tell them about it. _x000a_2. If someone informs on a person, they give information about the person to the police or another authority, which causes the person to be suspected or proved guilty of doing something bad. "/>
        <s v="to scold or reprimand "/>
        <s v="If you describe something as outlandish, you disapprove of it because you think it is very unusual, strange, or unreasonable. "/>
        <s v="1. When people quibble over a small matter, they argue about it even though it is not important; also n"/>
        <s v="If someone or something is stigmatized, they are unfairly regarded by many people as being bad or having something to be ashamed of. "/>
        <s v="If you describe a person or their actions as unprincipled, you are criticizing them for their lack of moral principles and because they do things which are immoral or dishonest. "/>
        <s v="(of a story, play, picture, etc. ) using characters or events as symbols to represent an idea or a quality, such as truth, evil, death, etc."/>
        <s v="1. eager/enthusiastic, liking somebody/something_x000a_2. sharp; &quot;a keen mind&quot;, &quot;a keen interest&quot;, &quot;a keen eye for&quot;_x000a_3. extremely cold; &quot;a keen wind&quot;_x000a_4. If someone keens, they cry out or make sounds to express their sorrow at someone's death"/>
        <s v="Narcissism is the habit of always thinking about yourself and admiring yourself"/>
        <s v="1. A paltry amount of money or of something else is one that you consider to be very small. _x000a_2. You can use paltry to describe something or someone that you consider to be small or unimportant. "/>
        <s v="If you describe someone as self-righteous, you disapprove of them because they are convinced that they are right in their beliefs, attitudes, and behaviour and that other people are wrong. "/>
        <s v="without precedent or parallel "/>
        <s v="not premeditated; done without plan or forethought"/>
        <s v="affinity (for/with somebody/something) | affinity (between A and B):_x000a_a close similarity between two things, or an attraction or sympathy for someone or something, esp. because of shared characteristics"/>
        <s v="confidence"/>
        <s v="Approbation is approval of something or agreement to it. "/>
        <s v="Bucolic means relating to the countryside. "/>
        <s v="If you describe someone or something as cerebral, you mean that they are intellectual rather than emotional"/>
        <s v="Collusion is secret or illegal co-operation, especially between countries or organizations. "/>
        <s v="1. A contentious issue causes a lot of disagreement or arguments. _x000a_2. A contentious person seems to like arguing and disagreeing with other people. "/>
        <s v="1. Something that is cumbersome is large and heavy and therefore difficult to carry, wear, or handle. _x000a_2. A cumbersome system or process is very complicated and inefficient. _x000a__x000a_A &quot;cumber&quot; is something that slows you down"/>
        <s v="If you curtail something, you reduce or limit it. "/>
        <s v="Decorum is behaviour that people consider to be correct, polite, and respectable. "/>
        <s v="Disapprobation is a noun for the state of total disapproval and condemnation. It is often used in conjunction with a moral or social offense."/>
        <s v="The word &quot;bell&quot; shows up in the middle of embellish, and bells are something that decorate, or embellish something, making it more attractive. If you embellish speech, though, it can get ugly if you add a lot of details that aren't true."/>
        <s v="If a bad situation escalates or if someone or something escalates it, it becomes greater in size, seriousness, or intensity. "/>
        <s v="If someone is inarticulate, they are unable to express themselves easily or well in speech. "/>
        <s v="1. having or showing high moral qualities or character_x000a_2. having a high social rank, esp. from birth_x000a_3. impressive in appearance"/>
        <s v="If something obligates you to do a particular thing, it creates a situation where you have to do it. "/>
        <s v="Self-indulgence is the act of allowing yourself to have or do the things that you enjoy very much. "/>
        <s v="If you are torpid, you are mentally or physically inactive, especially because you are feeling lazy or sleepy. "/>
        <s v="ban, get rid of, dismiss"/>
        <s v="1. If you endorse someone or something, you say publicly that you support or approve of them. _x000a_2. If someone's driving licence is endorsed, an official record is made on it that they have been found guilty of a driving offence. _x000a_&quot;He also had his licence e"/>
        <s v="1. If you describe something as florid, you disapprove of the fact that it is complicated and extravagant rather than plain and simple. _x000a_2. Someone who is florid always has a red face. "/>
        <s v="to leave forever or to give up completely"/>
        <s v="To galvanize someone means to cause them to take action, for example by making them feel very excited, afraid, or angry. "/>
        <s v="Pristine things are extremely clean or new. "/>
        <s v="1. the study of the ways of using language effectively_x000a_2. clever language that sounds good but is not sincere or has no real meaning"/>
        <s v="You can describe something as a ritual action when it is done in exactly the same way whenever a particular situation occurs"/>
        <s v="thinly spread or distributed; not dense or crowded"/>
        <s v="Something that is tranquil is calm and peaceful. "/>
        <s v="When you want to indicate that something is silly or overused, you would call it trite. A love song with lyrics about holding hands in the sunshine? Totally trite."/>
        <s v="To amalgamate is to combine different things to create something new. Institutions — such as banks, schools, or hospitals — often join forces and amalgamate with one other. But other things — like musical genres — get amalgamated as well."/>
        <s v="1. Circumstantial evidence is evidence that makes it seem likely that something happened, but does not prove it. _x000a_2. Something that is circumstantial is related to a particular circumstance. "/>
        <s v="A complacent person is very pleased with themselves or feels that they do not need to do anything about a situation, even though the situation may be uncertain or dangerous. "/>
        <s v="Convivial people or occasions are pleasant, friendly, and relaxed. _x000a__x000a_Use the adjective convivial to describe your friend who is &quot;the life of the party.&quot;"/>
        <s v="If something is counterintuitive it means it's the opposite of &quot;intuitive&quot; — in other words it's not easily understood in an instinctive, unconscious way. A red light for &quot;go&quot; and a green light for &quot;stop&quot; would be highly counterintuitive, for example."/>
        <s v="Someone who is glum is sad and quiet because they are disappointed or unhappy about something"/>
        <s v="1. If you describe something as immaculate, you mean that it is extremely clean, tidy, or neat. _x000a_2. If you say that something is immaculate, you are emphasizing that it is perfect, without any mistakes or bad parts at all. "/>
        <s v="1. You use invasive to describe something undesirable which spreads very quickly and which is very difficult to stop from spreading. Ex: &quot;invasive cancer&quot;_x000a_2. An invasive medical procedure involves operating on a patient or examining the inside of their bo"/>
        <s v="If you describe a task or job as laborious, you mean that it takes a lot of time and effort. "/>
        <s v="If you think someone is pedantic, you mean that they are too concerned with unimportant details or traditional rules, especially in connection with academic subjects. "/>
        <s v="If someone or something perpetuates a situation, system, or belief, especially a bad one, they cause it to continue. "/>
        <s v="an unpleasant situation that is difficult to get out of"/>
        <s v="1. Radical changes and differences are very important and great in degree. _x000a_2. Radical people believe that there should be great changes in society and try to bring about these changes. "/>
        <s v="A town, country, or economy that has been ravaged is one that has been damaged so much that it is almost completely destroyed"/>
        <s v="If you replenish something, you make it full or complete again. "/>
        <s v="To substantiate a statement or a story means to supply evidence which proves that it is true. "/>
        <s v="If you describe a rumour, belief, or feeling as unfounded, you mean that it is wrong and is not based on facts or evidence. "/>
        <s v="If two or more facts, numbers, etc. correlate or are correlated, there is a relationship between them"/>
        <s v="Someone or something that is enigmatic is mysterious and difficult to understand"/>
        <s v="Something that is immutable will never change or cannot be changed. "/>
        <s v="not prudent"/>
        <s v="1. If someone mediates between two groups of people, or mediates an agreement between them, they try to settle an argument between them by talking to both groups and trying to find things that they can both agree to. _x000a_2. If something mediates a particular"/>
        <s v="When people begin an open-ended discussion or activity, they do not have a particular result, decision, or timespan in mind. "/>
        <s v="not known about by many people and difficult to understand: "/>
        <s v="An untapped supply or source of something has not yet been used"/>
        <s v="used to emphasize how great or unusual something is by comparing it to something else. (ex: &quot;My garden had become a veritable jungle by the time I came back from holiday&quot;)"/>
        <s v="To accentuate something means to emphasize it or make it more noticeable. "/>
        <s v="1. You can use acute to indicate that an undesirable situation or feeling is very severe or intense. _x000a_2. An acute illness is one that becomes severe very quickly but does not last very long. Compare chronic. _x000a_3. If a person's or animal's sight, hearing, o"/>
        <s v="Ascribe means to give credit to, like if you ascribe the A you got on your group project to the hard work of your partners!"/>
        <s v="Someone who is assiduous works hard or does things very thoroughly. "/>
        <s v="A clangor is a loud or harsh noise. "/>
        <s v="Credible means able to be trusted or believed. "/>
        <s v="1. To discredit someone or something means to cause them to lose people's respect or trust_x000a_2. To discredit an idea or evidence means to make it appear false or not certain"/>
        <s v="1. If you describe someone or something as feeble, you mean that they are weak. _x000a_2. If you describe someone as feeble, you are criticizing them because they are afraid of taking strong action or seem to make no effort. _x000a_3. If you describe something that s"/>
        <s v="Something that is germane to a situation or idea is connected with it in an important way. "/>
        <s v="If you are inquisitive that means you love to inquire; you’re always asking questions."/>
        <s v="slack, casual, careless, sloppy; n: laxity"/>
        <s v="To polarize is to divide. Something that's been polarized has been split into two sides that are so different, it seems as though they're from opposite ends of the earth — like the North Pole and the South Pole."/>
        <s v="If you describe something as risible, you mean that it is ridiculous and does not deserve to be taken seriously. "/>
        <s v="Someone or something that is serene is calm and quiet. "/>
        <s v="Starvation is extreme suffering or death, caused by lack of food. "/>
        <s v="If you say that someone's behaviour is unseemly, you disapprove of it because it is not polite or not suitable for a particular situation or occasion. "/>
        <s v="If you have audacity then you're one daring — and perhaps reckless — character"/>
        <s v="A cataclysmic event is one that changes a situation or society very greatly, especially in an unpleasant way. "/>
        <s v="If you call someone a curmudgeon, you do not like them because they are mean or bad-tempered. "/>
        <s v="1. If someone is distressed, they are upset or worried_x000a_2. A distressed object such as a piece of furniture or an item of clothing has been deliberately made to look old"/>
        <s v="Choose the adjective dubious for something you have doubts about or you suspect is not true. That bridge you just &quot;bought&quot; might be of dubious value."/>
        <s v="Something that is ingenious is very clever and involves new ideas, methods, or equipment. "/>
        <s v="A pivotal role, point, or figure in something is one that is very important and affects the success of that thing. "/>
        <s v="If you call someone a spendthrift, you mean that they spend too much money. "/>
        <s v="If something is superseded by something newer, it is replaced because it has become old-fashioned or unacceptable. "/>
        <s v="1. If someone or something is unaffected by an event or occurrence, they are not changed by it in any way. _x000a_2. If someone says you're unaffected they could mean you're genuine; you don't put on an act for people."/>
        <s v="If you say that something is unattainable, you mean that it cannot be achieved or is not available. "/>
        <s v="1. A volatile liquid or substance is one that will quickly change into a gas. _x000a_2. If someone is volatile, their mood often changes quickly. _x000a_3. A situation that is volatile is likely to change suddenly and unexpectedly. "/>
        <s v="If you describe someone or their behaviour as wily, you mean that they are clever at achieving what they want, especially by tricking people"/>
        <s v="1. An abstraction is a general idea rather than one relating to a particular object, person, or situation. _x000a_2. Abstraction is the state of being very deep in thought. _x000a_3. Abstraction is the use of shapes and patterns in art. "/>
        <s v="If something befuddles you, it confuses your mind or thoughts"/>
        <s v="Someone who is craven is very cowardly. "/>
        <s v="When you're idealistic, you dream of perfection, whether in yourself or other people. For example, you might have the idealistic goal of bringing an end to childhood poverty in the world."/>
        <s v="When you inhibit something, you block it or hold it back. If you put plants in a dark room, you inhibit their growth. A teacher who mocks their students for giving wrong answers inhibits their willingness to speak up in class."/>
        <s v="1. relating to a parish (= an area that has its own church or priest): _x000a_2. showing interest only in a narrow range of matters, especially those that directly affect yourself, your town, or your country: "/>
        <s v="1. You use perennial to describe situations or states that keep occurring or which seem to exist all the time; used especially to describe problems or difficulties. _x000a_2 A perennial plant lives for several years and has flowers each year. "/>
        <s v="Someone who is surly behaves in a rude bad-tempered way. "/>
        <s v="1. If someone or something thrives, they do well and are successful, healthy, or strong. _x000a_2. If you say that someone thrives on a particular situation, you mean that they enjoy it or that they can deal with it very well, especially when other people find "/>
        <s v="If you abhor something, you hate it very much, especially for moral reasons"/>
        <s v="1. A compromise is a situation in which people accept something slightly different from what they really want, because of circumstances or because they are considering the wishes of other people. _x000a_2. If you compromise with someone, you reach an agreement "/>
        <s v="A conundrum is a problem or puzzle which is difficult or impossible to solve. "/>
        <s v="1. quality of being delicate_x000a_2. fragile beauty; &quot;the delicacy of a petal&quot;_x000a_3. rare or expensive food that is considered especially nice to eat"/>
        <s v="1. A dictum is a saying that describes an aspect of life in an interesting or wise way_x000a_2. A dictum is a formal statement made by someone who has authority"/>
        <s v="The general sense of economy is careful management of resources such as money and materials, so as not to waste them, but the more familiar reference is to a system of producing, distributing, and consuming goods and services."/>
        <s v="To endanger someone is to put them in a dangerous position, or to threaten their safety. It would endanger your little brother if you encouraged him to jump off the garage roof into a pile of leaves."/>
        <s v="A heterogeneous group consists of many different types of things or people. "/>
        <s v="You use the word metaphorical to indicate that you are not using words with their ordinary meaning, but are describing something by means of an image or symbol"/>
        <s v="Someone who is optimistic is hopeful about the future or the success of something in particular. "/>
        <s v="A pastiche is something such as a piece of writing or music in which the style is copied from somewhere else, or which contains a mixture of different styles. "/>
        <s v="1. If people propagate an idea or piece of information, they spread it and try to make people believe it or support it. _x000a_2. If you propagate plants, you grow more of them from the original ones. "/>
        <s v="A rhapsody is a piece of music which has an irregular form and is full of feeling. "/>
        <s v="1. Utilitarian means based on the idea that the morally correct course of action is the one that produces benefit for the greatest number of people. _x000a_2. Utilitarian objects and buildings are designed to be useful rather than attractive. "/>
        <s v="1. An acolyte is a follower or assistant of an important person. _x000a_2. An acolyte is someone who assists a priest in performing certain religious services. "/>
        <s v="quick to see how to use a situation to your advantage"/>
        <s v="1. If you attribute something to an event or situation, you think that it was caused by that event or situation. _x000a_2. If you attribute a particular quality or feature to someone or something, you think that they have got it. _x000a_3. If a piece of writing, a wo"/>
        <s v="1. Compelling means attractive, or irresistible, or really, really convincing_x000a_2. forceful and persuasive"/>
        <s v="If you get goose bumps, the hairs on your skin stand up so that it is covered with tiny bumps. You get goose bumps when you are cold, frightened, or excited. "/>
        <s v="Something that is inconsequential is not important. "/>
        <s v="If something is inevitable, it is certain to happen and cannot be prevented or avoided. "/>
        <s v="n: If it's threatening you or otherwise posing some sort of danger, then it's a menace. Angry rabid dogs, smog clouds, and annoying little brothers are all probable menaces._x000a_also v_x000a__x000a_&quot;a bad reputation can menace an otherwise promising career, weeds can men"/>
        <s v="If you describe someone as prurient, you mean that they show too much interest in sexual matters. "/>
        <s v="If you think that something is horrible and disgusting, you can say that it is repugnant. "/>
        <s v="1. If you restrain someone, you stop them from doing what they intended or wanted to do, usually by using your physical strength. _x000a_2. If you restrain an emotion or you restrain yourself from doing something, you prevent yourself from showing that emotion "/>
        <s v="If you say that someone is sanctimonious, you disapprove of them because you think that they are trying to appear morally better than other people/pretending to be very holy or pious"/>
        <s v="n form of superficial"/>
        <s v="If something is unprecedented, it has never happened before. "/>
        <s v="Acumen is the ability to make good judgments and quick decisions"/>
        <s v="broad in scope or content _x000a_[Encompass means to contain]"/>
        <s v="1. Bromide is a drug which used to be given to people to calm their nerves when they were worried or upset_x000a_2. A bromide is a comment which is intended to calm someone down when they are angry, but which has been expressed so often that it has become borin"/>
        <s v="Contentment is a feeling of quiet happiness and satisfaction. "/>
        <s v="1. Someone who is cunning has the ability to achieve things in a clever way, often by deceiving other people. _x000a_2. Cunning is the ability to achieve things in a clever way, often by deceiving other people. "/>
        <s v="If you extrapolate from known facts, you use them as a basis for general statements about a situation or about what is likely to happen in the future. "/>
        <s v="An ideology is a set of beliefs, especially the political beliefs on which people, parties, or countries base their actions. "/>
        <s v="If someone is indicted for a crime, they are officially charged with it. "/>
        <s v="If you say that someone is insular, you are being critical of them because they are unwilling to meet new people or to consider new ideas. "/>
        <s v="If you are pensive, you are thinking deeply about something, especially something that worries you slightly. "/>
        <s v="a person who uses sophistry (= clever but untrue arguments) in order to deceive people"/>
        <s v="1. The underlying features of an object, event, or situation are not obvious, and it may be difficult to discover or reveal them. _x000a_2. You describe something as underlying when it is below the surface of something else. "/>
        <s v="If you describe something as unmistakable, you mean that it is so obvious that it cannot be mistaken for anything else. "/>
        <s v="You can describe something as abstruse if you find it difficult to understand, especially when you think it could be explained more simply. "/>
        <s v="1. Apprehension is a feeling of fear that something bad may happen. _x000a_2. The apprehension of someone who is thought to be a criminal is their capture or arrest by the police. _x000a_3. The apprehension of something is awareness and understanding of it. "/>
        <s v="If you say that someone is compliant, you mean they willingly do what they are asked to do. "/>
        <s v="If you denigrate someone or something, you criticize them unfairly or insult them. "/>
        <s v="Dispassionate describes someone who is not getting carried away by — or maybe not even having — feelings. It's something you'd want to see in a surgeon, who keeps cool under pressure, but not in a romantic partner."/>
        <s v="Foreboding = the feeling that something bad is going to happen;_x000a_Forebode =  to indicate beforehand; portend; foretell; predict (esp. something bad or harmful) "/>
        <s v="Something that is laudable deserves to be praised or admired. "/>
        <s v="If you describe a task as onerous, you dislike having to do it because you find it difficult or needing a lot of effort. "/>
        <s v="Residual is used to describe what remains of something when most of it has gone. "/>
        <s v="If someone or something is woeful, they are very sad. "/>
        <s v="1. surrender; &quot;He may yield control&quot;_x000a_2. give way; &quot;If a moving person or a vehicle yields, they slow down or stop in order to allow other people or vehicles to pass in front of them&quot;_x000a_3. produce_x000a_4. profit, return"/>
        <s v="1. If you have contempt for someone or something, you have no respect for them or think that they are unimportant. _x000a_2. Contempt of court is the criminal offence of disobeying an instruction from a judge or a court of law. "/>
        <s v="Equanimity is a calm state of mind and attitude to life, so that you never lose your temper or become upset. "/>
        <s v="To exculpate means to find someone not guilty of criminal charges. If you've been wrongly accused of robbery, you'd better hope a judge will exculpate you"/>
        <s v="To meld is to completely combine or blend two or more things. If you meld breakfast and lunch, you get brunch. If you meld jeans and leggings, you get jeggings."/>
        <s v="If you describe something as outmoded, you mean that you think it is old-fashioned and no longer useful or relevant to modern life. "/>
        <s v="If you do something with panache, you do it in a confident, stylish, and elegant way. "/>
        <s v="Something that is pellucid is extremely clear. "/>
        <s v="Use the adjective rational to describe people or ideas that operate according to logic or reason than on emotion"/>
        <s v="To swindle is to cheat or steal. You can swindle money, goods, ideas, and anything else that can be stolen, but be careful, because someone can also swindle you."/>
        <s v="A treatise is a formal written paper about a specific subject. It’s like an essay but longer. A treatise is usually about a serious subject, so you might read a treatise on democracy, but you probably won't read a treatise about chewing gum."/>
        <s v="Turpitude is very immoral behaviour. "/>
        <s v="Aesthetic is used to talk about beauty or art, and people's appreciation of beautiful things. "/>
        <s v="Someone who is boisterous is noisy, lively, and full of energy. "/>
        <s v="Use the adjective caustic to describe any chemical that is able to burn living tissue or other substances, or, figuratively, a statement that has a similarly burning effect. Caustic in this sense means harshly critical."/>
        <s v="1. Complementary things are different from each other but make a good combination. _x000a_2. Complementary medicine refers to ways of treating patients which are different from the ones used by most Western doctors, for example acupuncture and homoeopathy. "/>
        <s v="Conclusive evidence shows that something is certainly true. "/>
        <s v="Egregious means very bad indeed"/>
        <s v="If you describe something as esoteric, you mean it is known, understood, or appreciated by only a small number of people"/>
        <s v="1. If you say that a situation, problem, or feeling is festering, you disapprove of the fact that it is being allowed to grow more unpleasant or full of anger, because it is not being properly recognized or dealt with. _x000a_2. If a wound festers, it becomes i"/>
        <s v="deny; If there is no gainsaying something, it is true or obvious and everyone would agree with it"/>
        <s v="Use the adjective heady to describe a sensation that is so exciting it makes you a little dizzy, a bit like being intoxicated. "/>
        <s v="To liberate something means to release it from confinement. "/>
        <s v="If you describe something bad, such as a crime or disease, as rampant, you mean that it is very common and is increasing in an uncontrolled way"/>
        <s v="Something has transparency if you can see through it, like the ice on the top of a frozen lake or a glass. Transparency can also refer to a figurative kind of clearness or openness, which is what people mean when they talk about &quot;government transparency.&quot;"/>
        <s v="If you are wary of something or someone, you are cautious because you do not know much about them and you believe they may be dangerous or cause problems"/>
        <s v="1. leave/ditch_x000a_2. stop/drop_x000a_3. If you abandon yourself to an emotion, you think about it a lot and feel it strongly_x000a_4. do something with abandon: recklessness/wildness"/>
        <s v="1. entertain/delight_x000a_2. amuse yourself: occupy/engage; I need to amuse myself so I won't keep thinking about things."/>
        <s v="The word commensurate has to do with things that are similar in size and therefore appropriate. Many people think the death penalty is a commensurate punishment for murder. In other words, the penalty fits the crime."/>
        <s v="If one thing is dissimilar to another, or if two things are dissimilar, they are very different from each other. "/>
        <s v="the power of understanding and imaginatively entering into another person's feelings"/>
        <s v="appearing strange or wrong within a particular situation_x000a_&quot;Such a modern office building looks incongruous in the quaint little town.&quot;"/>
        <s v="1. Nettles are wild plants which have leaves covered with fine hairs that sting you when you touch them. _x000a_2. If you are nettled by something, you are annoyed or offended by it. "/>
        <s v="If something portends something, it indicates that it is likely to happen in the future. "/>
        <s v="If you describe something as sacrosanct, you consider it to be special and are unwilling to see it criticized or changed. "/>
        <s v="If something is tenuous it's thin, either literally or metaphorically. If you try to learn a complicated mathematical concept by cramming for 45 minutes, you will have a tenuous grasp of that concept, at best."/>
        <s v="insult (v,n)"/>
        <s v="Boorish behaviour is rough, uneducated, and rude"/>
        <s v="A callow young person has very little experience or knowledge of the way they should behave as an adult. "/>
        <s v="1. A crescendo is a noise that gets louder and louder. Some people also use crescendo to refer to the point when a noise is at its loudest. _x000a_2. People sometimes describe an increase in the intensity of something, or its most intense point, as a crescendo."/>
        <s v="fruitful or fertile; productive; prolific"/>
        <s v="Are you feeling cranky or irritable and complaining about every little thing that annoys you? You're grouchy."/>
        <s v="to give new energy or strength to someone or something"/>
        <s v="If someone has a penchant for something, they have a special liking for it or a tendency to do it. "/>
        <s v="If you are proficient in something, you can do it well. "/>
        <s v="Proportionate means the same as proportional. If one amount is proportional to another, the two amounts increase and decrease at the same rate so there is always the same relationship between them. "/>
        <s v="To retaliate means to get back at someone, usually through a counterattack"/>
        <s v="1. If you undercut someone or undercut their prices, you sell a product more cheaply than they do. _x000a_2. If your attempts to achieve something are undercut by something, that thing prevents your attempts from being effective. "/>
        <s v="Someone who is adept at something can do it skilfully. "/>
        <s v="Someone who is affable is pleasant and friendly. "/>
        <s v="1. Buttresses are supports, usually made of stone or brick, that support a wall. _x000a_2. To buttress an argument, system, or person means to give them support and strength. "/>
        <s v="The cessation of something is the stopping of it. "/>
        <s v="If you champion (/you are a champion of) a person, a cause, or a principle, you support or defend them. "/>
        <s v="1. &quot;decipher the code&quot; (communication system)_x000a_2. &quot;Indian Penal Code&quot;, &quot;bro code&quot;, &quot;moral code&quot; (Rules)"/>
        <s v="careful about what one says or does; prudent; esp., keeping silent or preserving confidences when necessary"/>
        <s v="When you're disgusted by something, or simply dislike it, you have a distaste for it. You might have such a distaste for the smell of meat cooking that you only go to vegetarian restaurants."/>
        <s v="someone who believes that some things should be controlled or owned only by the richest or best educated people;_x000a_snob"/>
        <s v="When you evade something, you escape it."/>
        <s v="To exonerate someone is to declare him not guilty of criminal charges. This word is pretty much only used in reference to proceedings in a court of law. A word with a similar meaning that might be familiar is “acquit.”"/>
        <s v="Someone who is haughty is arrogant and full of pride. When you're haughty, you have a big attitude and act like you're better than other people."/>
        <s v="When you impair something, you damage it or make it work poorly."/>
        <s v="Something that is yours forever, that can’t be taken away and given to your little brother instead? That something would be called inalienable. The word refers to a natural right that cannot be revoked by an outside force."/>
        <s v="1. Intrigue is the making of secret plans to harm or deceive people. _x000a_2. If something, especially something strange, intrigues you, it interests you and you want to know more about it. "/>
        <s v="having merit; deserving reward, praise, etc."/>
        <s v="1. dark and dirty/cloudy or difficult to see through_x000a_2. used to describe a situation that is complicated and unpleasant, and about which many facts are not clear"/>
        <s v="Nascent things or processes are just beginning, and are expected to become stronger or to grow bigger. Ex: &quot;nascent civilization&quot;"/>
        <s v="When you're restless, you find it hard to sit still or concentrate on anything"/>
        <s v="Something that is showy is very noticeable because it is large, colourful, or bright. "/>
        <s v="1. If you are stunned by something, you are extremely shocked or surprised by it and are therefore unable to speak or do anything. _x000a_2. If something such as a blow on the head stuns you, it makes you unconscious or confused and unsteady. "/>
        <s v="Subversion is the attempt to weaken or destroy a political system or a government. "/>
        <s v="An anecdote is a short, amusing account of something that has happened. "/>
        <s v="bragger"/>
        <s v="If you commiserate with someone, you show them pity or sympathy when something unpleasant has happened to them. "/>
        <s v="If you impede someone or something, you make their movement, development, or progress difficult. "/>
        <s v="Something that is pertinent is relevant to a particular subject. "/>
        <s v="If you describe someone's ideas or plans as quixotic, you mean that they are imaginative or hopeful but unrealistic"/>
        <s v="You ramble when your talking or your walking goes on and on and on. And on. You’re in no hurry to make a point or get to your destination — if there is one at all."/>
        <s v="Rudimentary means basic, or at a very early stage. &quot;The test should be easy: it requires only a rudimentary understanding of the materials.&quot;"/>
        <s v="A fact or situation that is self-evident is so obvious that there is no need for proof or explanation. "/>
        <s v="reckless; rash"/>
        <s v="If you describe someone as tyrannical, you mean that they are severe or unfair towards the people that they have authority over. "/>
        <s v="If one person colludes with another, they co-operate with them secretly or illegally. "/>
        <s v="When you deify someone, you're treating them like a god."/>
        <s v="If two or more things are interwoven or interweave, they are very closely connected or are combined with each other. "/>
        <s v="Something that is marketable is able to be sold because people want to buy it. "/>
        <s v="1. Opulent things or places look grand and expensive. _x000a_2. Opulent people are very wealthy and spend a lot of money. "/>
        <s v="If you describe something as outdated, you mean that you think it is old-fashioned and no longer useful or relevant to modern life. "/>
        <s v="1. If something was prophetic, it described or suggested something that did actually happen later. _x000a_2. Prophetic means related to a prophecy or a prophet. "/>
        <s v="A surreptitious action is done secretly. "/>
        <s v="1. relating to practical matters or physical things, rather than spiritual ones_x000a_2. relating to the temple (= the side of the head behind the eyes) or the temporal bone of the skull beneath the temple_x000a_3. relating to time"/>
        <s v="If you say that a person takes umbrage, you mean that they are upset or offended by something that someone says or does to them, often without much reason. "/>
        <s v="Waning can be used for anything that diminishes, like the brightness of the sunlight in the late afternoon, your interest in cartoons, or your influence over your teenage daughter's fashion choices."/>
        <s v="If you do something with alacrity, you do it quickly and eagerly. "/>
        <s v="enthusiastic/eager"/>
        <s v="Something that is counterproductive achieves the opposite result from the one that you want to achieve. "/>
        <s v="To dispense means to give out or distribute something. A school nurse can dispense students' medication and we all can dispense advice."/>
        <s v="Something that is equitable is fair and reasonable in a way that gives equal treatment to everyone. "/>
        <s v="1. Fawn is a pale yellowish-brown colour. _x000a_2. A fawn is a very young deer. _x000a_3. If you say that someone fawns over a powerful or rich person, you disapprove of them because they flatter that person and like to be with him or her. "/>
        <s v="1. Fraught means filled with something — often something bad. Your Thanksgiving was fraught with awkward moments when your family saw your blue hair, and it only got worse when you told them you'd quit law school to join the circus._x000a_2. Fraught can also de"/>
        <s v="If you talk about someone's indiscretion, you mean that they have done or said something that is risky, careless, or likely to upset people. "/>
        <s v="Whenever you see the prefix &quot;mal-,&quot; you know it's not good. Malfeasance is bad behavior, especially from officials or people who should know better."/>
        <s v="1. A person is modest if he or she is very successful but does not call attention to this._x000a_2. Modest generally means &quot;big enough but not huge&quot; — like a modest house or a modest income."/>
        <s v="Someone or something that is persuasive is likely to persuade a person to believe or do a particular thing. "/>
        <s v="1. If something is pliant, you can bend it easily without breaking it. _x000a_2. A pliant person can be easily influenced and controlled by other people. "/>
        <s v="Sloth is laziness, especially with regard to work. "/>
        <s v="1. (of a disease) dangerous and spreading quickly, or (of poison) having an effect very quickly_x000a_2. fierce and full of hate"/>
        <s v="to agree or consent quietly without protest, but without enthusiasm"/>
        <s v="Something that is amorphous has no clear shape or structure. "/>
        <s v="1. A blemish is a small mark on something that spoils its appearance_x000a_2. A blemish on something is a small fault in it_x000a_3. If something blemishes someone's character or reputation, it spoils it or makes it seem less good than it was in the past"/>
        <s v="the attribute of being brief; The brevity of something is the fact that it is short or lasts for only a short time. "/>
        <s v="If you demystify something, you make it easier to understand by giving a clear explanation of it. "/>
        <s v="1. If a person dupes you, they trick you into doing something or into believing something which is not true_x000a_2. A dupe is someone who is tricked by someone else"/>
        <s v="1. the act of describing something in a way that makes it seem better or more important than it really is_x000a_2. the act of praising and honouring God or a person"/>
        <s v="If you're headstrong, you want to do what you want to do"/>
        <s v="Lassitude is a state of tiredness, laziness, or lack of interest. "/>
        <s v="1. If something is so new and original that it's never been seen, used or even thought of before, call it novel. Ex: novel idea, novel virus_x000a_2. The noun novel describes a book-length work of fiction."/>
        <s v="If you scrutinize something, you examine it very carefully, often to find out some information from it or about it. "/>
        <s v="Being chary (pronounced CHAIR-ee) is being wary or cautious. If you lost two teeth in last year’s rugby season, you should be chary of signing up again this year."/>
        <s v="To constrain someone or something means to limit their development or force them to behave in a particular way. "/>
        <s v="A cursory glance or examination is a brief one in which you do not pay much attention to detail. "/>
        <s v="An eclectic collection of objects, ideas, or beliefs is wide-ranging and comes from many different sources. "/>
        <s v="If there is an inexhaustible supply of something, there is so much of it that it cannot all be used up. "/>
        <s v="Lofty is a good word for describing something that's high above the ground, or someone who acts like she's high above everyone else."/>
        <s v="When you make something young again or give it more life and energy, you rejuvenate it. For example, you can often rejuvenate a not-quite-dead plant, bringing it back to health with some water and some TLC."/>
        <s v="If you relinquish something such as power or control, you give it up. "/>
        <s v="If you describe someone as a zealot, you think that their views and actions are very extreme, especially in following a particular political or religious belief"/>
        <s v="1. The zenith is the point at which the sun or moon is directly above you and seems to be at its highest_x000a_2. The zenith of something is the time when it is most successful or powerful"/>
        <s v="1. If people agitate for something, they protest or take part in political activity in order to get it_x000a_2. If you agitate something, you shake it so that it moves about_x000a_3. If something agitates you, it worries you and makes you unable to think clearly or c"/>
        <s v="1. Blight is a disease which makes plants dry up and die_x000a_2. You can refer to something as a blight when it causes great difficulties, and damages or spoils other things_x000a_3. If something blights your life or your hopes, it damages and spoils them. If someth"/>
        <s v="Buoyancy is a quality that makes things float in water. It's also a type of happiness: if you're full of buoyancy, your mood is light and happy."/>
        <s v="If you capitulate, you stop resisting and do what someone else wants you to do. "/>
        <s v="If someone tends to be hypercritical and finds fault with everything, you can describe that person as captious."/>
        <s v="1. a loose outer piece of clothing without sleeves, that fastens at the neck, and is worn instead of a coat_x000a_2. something that hides, covers, or keeps something else secret: _x000a_3. to cover or hide something: "/>
        <s v="1. A cosmopolitan place or society is full of people from many different countries and cultures. _x000a_2. Someone who is cosmopolitan has had a lot of contact with people and things from many different countries and as a result is very open to different ideas "/>
        <s v="Something that is detrimental to something else has a harmful or damaging effect on it"/>
        <s v="1. Something that is economical does not require a lot of money to operate. For example a car that only uses a small amount of petrol is economical. _x000a_2. Someone who is economical spends money sensibly and does not want to waste it on things that are unnec"/>
        <s v="especially of a disease or a condition, regularly found and very common among a particular group or in a particular area"/>
        <s v="If something is feasible, it can be done, made, or achieved. "/>
        <s v="If you describe a remark or idea as felicitous, you approve of it because it seems particularly suitable in the circumstances. "/>
        <s v="The juxtaposition of two contrasting objects, images, or ideas is the fact that they are placed together or described together, so that the differences between them are emphasized. "/>
        <s v="1. Your kindred are your family, and all the people who are related to you_x000a_2. Kindred things are similar to each other"/>
        <s v="1. If you lament something, you express your sadness, regret, or disappointment about it. _x000a_2. Someone's lament is an expression of their sadness, regret, or disappointment about something. _x000a_3. A lament is a poem, song, or piece of music which expresses so"/>
        <s v="Nonintervention is the practice or policy of not becoming involved in a dispute or disagreement between other people and of not helping either side. "/>
        <s v="If an idea, system, or organization ossifies or if something ossifies it, it becomes fixed and difficult to change. "/>
        <s v="If you say that someone is overstating something, you mean they are describing it in a way that makes it seem more important or serious than it really is. "/>
        <s v="a model of something, or a very clear and typical example of something"/>
        <s v="an uncomfortable feeling of doubt about whether you are doing the right thing"/>
        <s v="If you squander money, resources, or opportunities, you waste them. "/>
        <s v="1. If someone or something is acclaimed, they are praised enthusiastically. _x000a_2. Acclaim is public praise for someone or something. "/>
        <s v="extreme admiration or praise"/>
        <s v="1. providing psychological relief through the open expression of strong emotions; causing catharsis_x000a_2. purgative/laxative"/>
        <s v="(used esp of a person's appearance or clothes) not stylish or fashionable"/>
        <s v="humorous, especially in an unusual way"/>
        <s v="The verb expatiate means &quot;to add details to in order to clear up.&quot; If your story is confusing to everyone who hears it, certain key parts must be missing. Better expatiate so that people can understand it."/>
        <s v="If you say that someone has shown fortitude, you admire them for being brave, calm, and uncomplaining when they have experienced something unpleasant or painful. "/>
        <s v="If you are vilified by someone, they say or write very unpleasant things about you, so that people will have a low opinion of you. "/>
        <s v="To enfeeble is to make someone or something very weak or fragile. Your governor's budget cuts might enfeeble the state's public school system."/>
        <s v="If you describe something such as a price or fee as exorbitant, you are emphasizing that it is much greater than it should be. "/>
        <s v="A goad is a pointy stick or other instrument used to prod something along. To goad is to poke something with that pointy stick. Literally or figuratively, a goad prods and pokes and provokes people into doing something. A sheep herder might hustle his flo"/>
        <s v="very small and therefore not important or not worth considering"/>
        <s v="1. A malignant tumour or disease is out of control and likely to cause death. _x000a_2. If you say that someone is malignant, you think they are cruel and like to cause harm. "/>
        <s v="Mawkish means excessively sentimental or so sappy it's sickening. Which is how you'd describe two lovebirds gushing over each other or your grandma’s cooing and cheek pinches."/>
        <s v="Something that is mundane is very ordinary and not at all interesting or unusual"/>
        <s v="If you describe someone as obdurate, you think that they are being unreasonable in their refusal to change their decision or opinion. "/>
        <s v="1. If you are obliged to do something, a situation, rule, or law makes it necessary for you to do that thing_x000a_2. To oblige someone means to be helpful to them by doing what they have asked you to do"/>
        <s v="1. to advertise, talk about, or praise something or someone repeatedly, especially as a way of encouraging people to like, accept, or buy something_x000a_2. to repeatedly try to persuade people to buy your goods or services_x000a_3. to sell tickets for something such"/>
        <s v="not reduced or lessened"/>
        <s v="1. If you abstain from something, usually something you want to do, you deliberately do not do it. _x000a_2. If you abstain during a vote, you do not use your vote. "/>
        <s v="unfavourable"/>
        <s v="Something that's ahistorical completely ignores or disregards the history or tradition that came before it. An ahistorical review of a movie would leave out any references to influential films and directors."/>
        <s v="Something that is arduous is difficult and tiring, and involves a lot of effort"/>
        <s v="1. If you describe something as austere, you approve of its plain and simple appearance. _x000a_2. If you describe someone as austere, you disapprove of them because they are strict and serious. _x000a_3. An austere way of life is one that is simple and without luxur"/>
        <s v="Autonomous describes things that function separately or independently. Once you move out of your parents' house and get your own job, you will be an autonomous member of the family."/>
        <s v="1. A bridle is a set of straps that is put around a horse's head and mouth so that the person riding or driving the horse can control it. _x000a_2. If you bridle, you show that you are angry or offended by moving your head and body upwards in a proud way. "/>
        <s v="A canny person is clever and able to think quickly. You can also describe a person's behaviour as canny. "/>
        <s v="If you say that someone is condescending, you are showing your disapproval of the fact that they talk or behave in a way which shows that they think they are superior to other people. "/>
        <s v="If something disconcerts you, it makes you feel suddenly disturbed or worried"/>
        <s v="Draconian laws or measures are extremely harsh and severe. "/>
        <s v="Something that is evanescent gradually disappears from sight or memory. "/>
        <s v="needing urgent attention, or demanding too much from other people"/>
        <s v="If you describe someone as farsighted, you admire them because they understand what is likely to happen in the future, and therefore make wise decisions and plans"/>
        <s v="Someone who instigates an event causes it to happen. "/>
        <s v="If you refer to someone as a luminary, you mean that they are an expert in a particular subject or activity. "/>
        <s v="1. A mercenary is a soldier who is paid to fight by a country or group that they do not belong to_x000a_2. If you describe someone as mercenary, you are criticizing them because you think that they are only interested in the money that they can get from a parti"/>
        <s v="If you are mystified by something, you find it impossible to explain or understand. "/>
        <s v="1. You use scant to indicate that there is very little of something or not as much of something as there should be. _x000a_2. If you describe an amount as scant, you are emphasizing that it is small. "/>
        <s v="Affluence is the state of having a lot of money or a high standard of living. "/>
        <s v="An avaricious person is very greedy for money or possessions. "/>
        <s v="Anything related to office work is called clerical, especially the more menial and boring jobs such as filing and administration. "/>
        <s v="1. If something is commonplace, it happens often or is often found, and is therefore not surprising. _x000a_2. A commonplace is something that happens often or is often found. _x000a_3. A commonplace is a remark or opinion that is often expressed and is therefore not"/>
        <s v="To do something under duress means to do it because someone forces you to do it or threatens you"/>
        <s v="Something or someone that is elusive is difficult to find, describe, remember, or achieve. "/>
        <s v="to take control or possession of something in a gradual way and often without being noticed"/>
        <s v="A factious group is one that breaks away, or wants to_x000a_Faction: a small group of people within a larger one, whose members have some different aims and beliefs to those of the larger group"/>
        <s v="If you say that someone is implacable, you mean that they have very strong feelings of hostility or disapproval which nobody can change. "/>
        <s v="Incontrovertible evidence or facts are absolutely certain and cannot be shown to be wrong. "/>
        <s v="If you say that someone is being insolent, you mean they are being rude to someone they ought to be respectful to. "/>
        <s v="The adjective invidious is used to describe an act, thought, opinion or critique that is full of ill will or prejudice. When the captain of a cheerleading squad says nasty things about an opposing cheer team's skills, work ethic, and uniforms, those are i"/>
        <s v="Irrefutable evidence, statements, or arguments cannot be shown to be incorrect or unsatisfactory. "/>
        <s v="You describe something such as an event or story as macabre when it is strange and horrible or upsetting, usually because it involves death or injury. "/>
        <s v="If one thing outstrips another, the first thing becomes larger in amount, or more successful or important, than the second thing. "/>
        <s v="1. When a substance is refined, it is made pure by having all other substances removed from it. _x000a_2. If something such as a process, theory, or machine is refined, it is improved by having small changes made to it. "/>
        <s v="If an action or event has repercussions, it causes unpleasant things to happen some time after the original action or event. "/>
        <s v="Salubrious is a fancy way to describe something that’s good for you or is generally favorable to mind or body, but it need not be limited to describing healthy foods or liquids."/>
        <s v="If land is uncultivated, there are no crops growing on it. "/>
        <s v="If you describe a place, person, or thing as unpretentious, you approve of them because they are simple in appearance or character, rather than sophisticated or luxurious. "/>
        <s v="If you find something or someone wanting, they are not of as high a standard as you think they should be. [they lack something necessary]"/>
        <s v="unclear because it can be understood in more than one way"/>
        <s v="1. the distant past (= a long time ago), especially before the sixth century_x000a_2. an object that was created a very long time ago"/>
        <s v="To bolster is to support or strengthen._x000a__x000a_A bolster is also the name of a long pillow you might use to make your back feel better."/>
        <s v="using cleverness to cheat people"/>
        <s v="Empirical evidence or study relies on practical experience rather than theories"/>
        <s v="A problem that is insurmountable is so great that it cannot be dealt with successfully. "/>
        <s v="1. Obeisance to someone or something is great respect shown for them. _x000a_2. An obeisance is a physical gesture, especially a bow, that you make in order to show your respect for someone or something. "/>
        <s v="Opportunism is taking advantage of situations and people in a self-centered way, without regard to the consequences."/>
        <s v="1. If someone has poise, they are calm, dignified, and self-controlled. _x000a_2. Poise is a graceful, very controlled way of standing and moving. "/>
        <s v="A populous country or area has a lot of people living in it. "/>
        <s v="Something that is unadorned is plain, rather than having decoration on it. "/>
        <s v="1. If a place or building is accessible to people, it is easy for them to reach it or get into it. If an object is accessible, it is easy to reach. _x000a_2. If something is accessible to people, they can easily use it or obtain it. _x000a_3. If you describe a book, "/>
        <s v="An anachronism is something that doesn't fit its time period, like if you say you'll &quot;dial&quot; your smartphone."/>
        <s v="Someone who is artless is simple and honest, and does not think of deceiving other people. "/>
        <s v="If you are cogitating, you are thinking deeply about something. "/>
        <s v="When you want to describe something that includes all or most details, you can use the adjective comprehensive. If you get the comprehensive treatment at a spa, it might include massage, manicure and a facial."/>
        <s v="1. Someone who is conventional has behaviour or opinions that are ordinary and normal. _x000a_2. A conventional method or product is one that is usually used or that has been in use for a long time. _x000a_3. Conventional weapons and wars do not involve nuclear explo"/>
        <s v="If there is a dearth of something, there is not enough of it. "/>
        <s v="1. If you denounce a person or an action, you criticize them severely and publicly because you feel strongly that they are wrong or evil. _x000a_2. If you denounce someone who has broken a rule or law, you report them to the authorities. "/>
        <s v="(of a person or a group) strongly expressing your beliefs as if they were facts"/>
        <s v="If you are euphoric, you feel intense happiness and excitement"/>
        <s v="1. If you describe someone's behaviour as a mask, you mean that they do not show their real feelings or character. _x000a_2. If you mask your feelings, you deliberately do not show them in your behaviour, so that people cannot know what you really feel. _x000a_3. If "/>
        <s v="1. If you pacify someone who is angry, upset, or not pleased, you succeed in making them calm or pleased. _x000a_2. If the army or the police pacify a group of people, they use force to overcome their resistance or protests. "/>
        <s v="Someone who is petulant is unreasonably angry and upset in a childish way. "/>
        <s v="When you premeditate, you are planning ahead"/>
        <s v="apparently correct or true, but actually wrong or false"/>
        <s v="If a liquid is dark and murky and you can't see through it, it's turbid. It’s usually used as a criticism — a turbid river is generally a polluted one, but then again a good pint of real ale should be turbid. If your teacher says your essay for English is"/>
        <s v="If something such as food or drink is adulterated, someone has made its quality worse by adding water or cheaper products to it"/>
        <s v="Ardent is used to describe someone who has extremely strong feelings about something or someone. _x000a_&quot;ardent supporter&quot;, &quot;ardent opponent&quot;"/>
        <s v="If you deride someone or something, you say that they are stupid or have no value. "/>
        <s v="A garrulous person just won’t stop talking (and talking, and talking, and talking...)"/>
        <s v="the state or quality of being partial; tendency to favor unfairly; bias"/>
        <s v="Someone's prowess is their great skill at doing something. "/>
        <s v="1. To stimulate something means to encourage it to begin or develop further. _x000a_2. If you are stimulated by something, it makes you feel full of ideas and enthusiasm. _x000a_3. If something stimulates a part of a person's body, it causes it to move or start worki"/>
        <s v="Anything superficial has to do with the surface of something. If you're judging a book by its cover, you're being superficial. People who worry too much about their clothes and hair may also be considered superficial. Superficial can have a negative flavo"/>
        <s v="to report fewer than the actual number or less than the true amount of "/>
        <s v="If one thing is analogous to another, the two things are similar in some way. "/>
        <s v="A congenial person, place, or environment is pleasant. Congenial means sharing the same temperament, or agreeing with your temperament. "/>
        <s v="1. If two or more people or groups conspire to do something illegal or harmful, they make a secret agreement to do it. _x000a_2. If events conspire to produce a particular result, they seem to work together to cause this result. "/>
        <s v="to make timid and submissive by filling with fear or awe; intimidate"/>
        <s v="If you describe something as ephemeral, you mean that it lasts only for a very short time. "/>
        <s v="an inoffensive word or phrase substituted for one considered offensive or hurtful, esp one concerned with religion, sex, death, or excreta. Examples of euphemisms are sleep with for have sexual intercourse with; departed for dead; relieve oneself for urin"/>
        <s v="1. If a possible or expected event does not materialize, it does not happen. _x000a_2. If a person or thing materializes, they suddenly appear, after they have been invisible or in another place. "/>
        <s v="If you describe someone as mercurial, you mean that they frequently change their mind or mood without warning. "/>
        <s v="If you're spirited and brave, you're mettlesome. It takes a mettlesome person to hike the Appalachian Trail all alone."/>
        <s v="imitate (v), imitator (n)"/>
        <s v="If you describe someone as obsequious, you are criticizing them because they are too eager to help or agree with someone more important than them. "/>
        <s v="1. If you replicate someone's experiment, work, or research, you do it yourself in exactly the same way. _x000a_2. If a molecule replicates, it divides into smaller molecules which are exact copies of itself. "/>
        <s v="1. Abreast means side by side; &quot;...or them to walk abreast&quot;, &quot;As he drew abreast of the man he pretended to stumble&quot;_x000a_2. Abreast can also mean &quot;informed or up-to-date.&quot; If you're a big fan of comics, you probably keep abreast of all the latest publications"/>
        <s v="a criticism, suggestion, or remark that damages another person's reputation"/>
        <s v="You know that vinegar-like liquid teens put on their faces in order to tighten their pores and dry up their pimples? That's astringent. An astringent personality, on the other hand, is perceived as bitter and perhaps even a bit toxic."/>
        <s v="When something balloons, it increases rapidly in amount. "/>
        <s v="1. Banter is teasing or joking talk that is amusing and friendly_x000a_2. banter &quot;with&quot; someone"/>
        <s v="using or characterized by high-sounding but unimportant or meaningless language"/>
        <s v="If you are circumspect, you are cautious in what you do and say and do not take risks. "/>
        <s v="A contretemps is a small disagreement that is rather embarrassing. "/>
        <s v="1. If you describe someone as cynical, you mean they believe that people always act selfishly_x000a_2. If you are cynical about something, you do not believe that it can be successful or that the people involved are honest"/>
        <s v="To debase something means to reduce its value or quality_x000a_&quot;Politicians have debased the meaning of the word 'freedom'&quot;"/>
        <s v="quick and neat in movement; nimble; dexterous"/>
        <s v="Distort means to twist out of shape._x000a__x000a_When one distorts the truth, it might not be an out-and-out lie; it could just be an exaggeration — like telling your pals you caught a six-foot tuna when you actually landed a six-inch minnow."/>
        <s v="To exorcise is to cast out a devil or evil spirit, using prayer and other religious tools."/>
        <s v="If you describe something as illusory, you mean that although it seems true or possible, it is in fact false or impossible. "/>
        <s v="1. A malady is an illness or disease. _x000a_2. In written English, people sometimes use maladies to refer to serious problems in a society or situation. "/>
        <s v="If your friend is acting cool, unconcerned or in an indifferent manner, call him nonchalant — like when he saunters by a group of whispering, giggling girls and just nods and says, &quot;Hey.&quot;"/>
        <s v="betrayal of a trust (ನಂಬಿಕೆ ದ್ರೋಹ)"/>
        <s v="Redemption is the buying back of something. You might try for redemption by attempting to buy back a bike you sold, or you might attempt to buy back your soul after you steal someone else’s bike."/>
        <s v="Remote describes something far, far away, like a campsite way out in the woods, a distant planet, or the chance you'll win the lottery."/>
        <s v="1. When animals ruminate, they bring food back from their stomach into their mouth and chew it again. _x000a_2. If you ruminate on something, you think about it very carefully. "/>
        <s v="1. To synthesize a substance means to produce it by means of chemical or biological reactions. _x000a_2. If you synthesize different ideas, facts, or experiences, you combine them to form a single idea or impression. "/>
        <s v="Someone or something that is atypical is not typical of its kind. "/>
        <s v="Belligerence is a natural disposition to be hostile or aggressive, or a warlike attitude. The belligerence of Roman gladiators made them excel in battle and instilled fear in their opponents."/>
        <s v="If someone condones behaviour that is morally wrong, they accept it and allow it to happen. "/>
        <s v="1. If someone harangues you, they try to persuade you to accept their opinions or ideas in a forceful way_x000a_2. A harangue is a long, forceful speech that someone makes to try and persuade other people to accept their opinions"/>
        <s v="If you say that someone is inept, you are criticizing them because they do something with a complete lack of skill. "/>
        <s v="1. used to refer to the part of the work of teachers and priests that involves giving help and advice about personal matters: _x000a_2. A pastoral piece of art, writing, or music represents the pleasant and traditional features of the countryside"/>
        <s v="If you say that there is a paucity of something, you mean that there is not enough of it. "/>
        <s v="1. If you describe something as plastic, you mean that you think it looks or tastes unnatural or not real. _x000a_2. If you use plastic or plastic money to pay for something, you pay for it with a credit card instead of using cash. _x000a_3. Something that is plastic"/>
        <s v="ordinary; recurring everyday"/>
        <s v="1. If someone in authority sanctions an action or practice, they officially approve of it and allow it to be done. _x000a_2. Sanctions are measures taken by countries to restrict trade and official contact with a country that has broken international law. _x000a_3. A"/>
        <s v="1. If people scuffle, they fight for a short time in a disorganized way_x000a_2. A scuffle is a short, disorganized fight or struggle"/>
        <s v="lacking tact;_x000a_tact: Tact is the ability to avoid upsetting or offending people by being careful not to say or do things that would hurt their feelings. "/>
        <s v="Tangential describes something that's not part of the whole. If you make a comment that is tangential to the story you're telling, it's a digression. The story could still be understood without it."/>
        <s v="If you have tenacity, you are very determined and do not give up easily. "/>
        <s v="When something is tendentious, it shows a bias towards a particular point of view, especially one that people disagree about"/>
        <s v="1. Something that's terrific is wonderful, like a terrific concert you'll never forget. _x000a_2. Terrific can also describe something very intense, like a terrific thunderstorm."/>
        <s v="Torpor is the state of being completely inactive mentally or physically, for example because of illness or laziness. "/>
        <s v="If you say that something is transitory, you mean that it lasts only for a short time. "/>
        <s v="If you vacillate between two alternatives or choices, you keep changing your mind. "/>
        <s v="hostile, opposed, resistant, at odds"/>
        <s v="Something apposite is fitting or relevant. It is apposite that radio stations play Christmas carols on Christmas Eve, and that your tax accountant takes vacation after April 15th. It all makes sense."/>
        <s v="a pretentious, swaggering display of courage"/>
        <s v="Candor is the quality of speaking honestly and openly about things. "/>
        <s v="1. A conviction is a strong belief or opinion_x000a_2. If someone has a conviction, they have been found guilty of a crime in a court of law"/>
        <s v="1. If one country or group of countries imposes an embargo against another, it forbids trade with that country. _x000a_2. If goods of a particular kind are embargoed, people are not allowed to import them from a particular country or export them to a particular"/>
        <s v="&quot;Fallible&quot; means capable of making mistakes — or, easier to remember — capable of failing. Infallible means exactly the opposite — incapable of failing. _x000a__x000a_If a person or thing is infallible, they are never wrong. "/>
        <s v="A propensity to do something or a propensity for something is a natural tendency that you have to behave in a particular way. "/>
        <s v="1. open, unfasten_x000a_2. reverse_x000a_3. ruin, destroy"/>
        <s v="_x000a_not capable of being quantified"/>
        <s v="Zeal is great enthusiasm, especially in connection with work, religion, or politics"/>
        <s v="To attenuate something means to reduce it or weaken it"/>
        <s v="1. bearing on something: the way in which something is related to something or influences it_x000a_2. the way in which you stand, walk or behave_x000a_&quot;She had a proud, distinguished bearing&quot;_x000a_3. an exact position, measured clockwise (= to the right) from north. Beari"/>
        <s v="To bias someone means to influence them in favour of a particular choice"/>
        <s v="If something burgeons, it grows or develops rapidly. "/>
        <s v="Discord is disagreement and argument between people. "/>
        <s v="If you discount an idea, fact, or theory, you consider that it is not true, not important, or not relevant. "/>
        <s v="When you palliate something, you try to make something less bad. _x000a__x000a_Palliate doesn’t mean “cure” or “solve.” Instead, something that palliates relieves the symptoms or consequences of something, without addressing the underlying cause. Your dentist might g"/>
        <s v="Perseverance is the quality of continuing with something even though it is difficult. "/>
        <s v="A vivacious person, especially a woman or girl, is attractively energetic and enthusiastic"/>
        <s v="If something bad or undesirable abates, it becomes much less strong or severe. "/>
        <s v="1. To anoint someone means to put oil or water on a part of their body, usually for religious reasons. _x000a_2. If a person in a position of authority anoints someone, they choose them to do a particular important job. "/>
        <s v="1. A clumsy person moves or handles things in a careless, awkward way, often so that things are knocked over or broken_x000a_2. A clumsy action or statement is not skilful or is likely to upset people_x000a_3. An object that is clumsy is not neat in design or appeara"/>
        <s v="The noun comity means a state of civility or courtesy between people, organizations, and nations. It's a hoped-for mutual respect and friendliness, although too infrequently the case in politics and business."/>
        <s v="1. Counterfeit money, goods, or documents are not genuine, but have been made to look exactly like genuine ones in order to deceive people. _x000a_2. If someone counterfeits something, they make a version of it that is not genuine but has been made to look genu"/>
        <s v="If you describe someone as feckless, you mean that they lack determination or strength, and are unable to do anything properly. "/>
        <s v="If one thing presupposes another, the first thing cannot be true or exist unless the second thing is true or exists. "/>
        <s v="1. If something is done with rigour, it is done in a strict, thorough way_x000a_2. If you refer to the rigours of an activity or job, you mean the difficult, demanding, or unpleasant things that are associated with it"/>
        <s v="A tirade is a long angry speech in which someone criticizes a person or thing. "/>
        <s v="If you describe a person as unscrupulous, you are critical of the fact that they are prepared to act in a dishonest or immoral way in order to get what they want. "/>
        <s v="Valor is great bravery, especially in battle. "/>
        <s v="If you describe someone as vociferous, you mean that they speak with great energy and determination, because they want their views to be heard. "/>
        <s v="Because an adherent is usually something or someone that sticks to something or someone else, it's logical that it can also mean a person who believes in and supports a certain philosophy or leader."/>
        <s v="You say that something is anachronistic when you think that it is out of date or old-fashioned. "/>
        <s v="Animosity is a strong feeling of dislike and anger."/>
        <s v="If you aver that something is the case, you say very firmly that it is true"/>
        <s v="A cogent reason, argument, or example is strong and convincing. "/>
        <s v="If a situation or agreement is conditional on something, it will only happen or continue if this thing happens. "/>
        <s v="someone/something who/that is the reason for something bad happening"/>
        <s v="1. Manacles are metal devices attached to a prisoner's wrists or legs in order to prevent him or her from moving or escaping. _x000a_2. If a prisoner is manacled, their wrists or legs are put in manacles in order to prevent them from moving or escaping. "/>
        <s v="Opprobrium is open criticism or disapproval of something that someone has done. "/>
        <s v="1. overturn: quash something (law): to officially say that a decision made by a court is no longer legally acceptable or correct_x000a_2. suppress: quash something: to take action to stop something from continuing"/>
        <s v="A rapprochement is an increase in friendliness between two countries, groups, or people, especially after a period of unfriendliness. "/>
        <s v="same as stoical; not showing or not feeling any emotion, esp. in a situation in which the expression of emotion is expected"/>
        <s v="If something is tempting, it makes you want to do it or have it. "/>
        <s v="1. A tortuous road is full of bends and twists. _x000a_2. A tortuous process or piece of writing is very long and complicated. "/>
        <s v="not likely to arouse controversy;_x000a_A controversy is a dispute or argument in which people express strong opposing views."/>
        <s v="1. Someone who is aloof is not very friendly and does not like to spend time with other people_x000a_2. If someone stays aloof from something, they do not become involved with it"/>
        <s v="If something or someone astonishes you, they surprise you very much"/>
        <s v="If you brandish something, especially a weapon, you wave it in a threatening or excited way"/>
        <s v="1. A contingent of police, soldiers, or military vehicles is a group of them. _x000a_2. A contingent is a group of people representing a country or organization at a meeting or other event. _x000a_3. If something is contingent on something else, the first thing depen"/>
        <s v="1. If you delineate something, you outline/describe/define it, often in a lot of detail_x000a_2. If you delineate a border, you say exactly where it is going to be"/>
        <s v="A dilemma is a difficult situation in which you have to choose between two or more alternatives. "/>
        <s v="1. When something disperses or when you disperse it, it spreads over a wide area. _x000a_2. When a group of people disperses or when someone disperses them, the group splits up and the people leave in different directions. "/>
        <s v="When soil or land erodes, it wears away or is removed. Many beaches seem to get smaller and smaller, as the endless wash of the waves begins to erode the fine sand._x000a__x000a_While erode is most commonly used when describing land loss, you can also use it in less "/>
        <s v="1. If someone fabricates information, they invent it in order to deceive people. _x000a_2. If something is fabricated from different materials or substances, it is made out of those materials or substances. "/>
        <s v="1. a large piece of equipment that is pulled behind a tractor to break the earth into small pieces ready for planting_x000a_2. to cause mental distress to; torment; vex: &quot;harrowing footage&quot;"/>
        <s v="1. Something that is improbable is unlikely to be true or to happen. _x000a_2. If you describe something as improbable, you mean it is strange, unusual, or ridiculous. "/>
        <s v="Skulduggery is behaviour in which someone acts in a dishonest way in order to achieve their aim. "/>
        <s v="Strategic is a military word, relating to the careful plotting and planning necessary to win battles. But you don't need to be a general to think strategically. If you recruit your friends to talk you up to the girl you have a crush on, you're taking a st"/>
        <s v="An advocate is someone who supports a cause, like an advocate for outdoor recess. Advocate is also a verb meaning to speak in favor of, so you can advocate for that outdoor recess by urging your school to play outside!"/>
        <s v="If you are aghast, you are filled with horror and surprise"/>
        <s v="fake"/>
        <s v="To corroborate something that has been said or reported means to provide evidence or information that supports it. "/>
        <s v="If a ruler or political leader is deposed, they are forced to give up their position. "/>
        <s v="If there is a dichotomy between two things, there is a very great difference or opposition between them. "/>
        <s v="A disjunction is a broken connection. If you expect to be a doctor but you haven't taken any science courses since high school biology, you would have a disjunction between your expectations and your training."/>
        <s v="An exegesis is an explanation and interpretation of a piece of writing, especially a religious piece of writing, after very careful study"/>
        <s v="Someone's foresight is their ability to see what is likely to happen in the future and to take appropriate action"/>
        <s v="You use indefatigable to describe someone who never gets tired of doing something. "/>
        <s v="If you are nonplussed, you feel confused and unsure how to react. "/>
        <s v="1. Something noxious is harmful and could be even fatal_x000a_2. People are called noxious too when they hurt others with cruelty or mental anguish."/>
        <s v="If you describe something as pernicious, you mean that it is very harmful. "/>
        <s v="1. Profundity is great intellectual depth and understanding. _x000a_2. If you refer to the profundity of a feeling, experience, or change, you mean that it is deep, powerful, or serious. _x000a_3. A profundity is a remark that shows great intellectual depth and under"/>
        <s v="Prolix means using more words than necessary."/>
        <s v="1. If people promulgate a new law or a new idea, they make it widely known. _x000a_2. If a new law is promulgated by a government or national leader, it is publicly approved or made official. "/>
        <s v="1. lukewarm_x000a_2. half-hearted, unenthusiastic"/>
      </sharedItems>
    </cacheField>
    <cacheField name=" " numFmtId="0">
      <sharedItems containsString="0" containsBlank="1" containsNonDate="0" count="1">
        <m/>
      </sharedItems>
    </cacheField>
    <cacheField name="Pron" numFmtId="0">
      <sharedItems containsBlank="1" count="16">
        <m/>
        <s v="kæləmni"/>
        <s v="ʃoʊvɪnɪstɪk"/>
        <s v="ˈθwɔrtəd"/>
        <s v="grəˈtuədəs"/>
        <s v="trʌkjʊlənt"/>
        <s v="goʊʃ"/>
        <s v="flaʊt"/>
        <s v="neɪdər"/>
        <s v="ɪræsɪbəl"/>
        <s v="plæsɪd"/>
        <s v="kəˈdʒəʊl"/>
        <s v="ɒnwiː"/>
        <s v="əplɒm"/>
        <s v="/kwoʊˈtɪd.i.ən/"/>
        <s v="taɪreɪd"/>
      </sharedItems>
    </cacheField>
    <cacheField name="Mnemonics" numFmtId="0">
      <sharedItems containsBlank="1" count="12">
        <m/>
        <s v="co labor = work together"/>
        <s v="hyper bolna"/>
        <s v="Imagine a giraffe (gaffe) clumsily tripping and making a big scene"/>
        <s v="remember judgement"/>
        <s v="remember wander aimlessly"/>
        <s v="remember throwing a stone from a jetty"/>
        <s v="remember joke"/>
        <s v="think life with cows"/>
        <s v="melt+weld"/>
        <s v="roam aimlessly"/>
        <s v="instead of &quot;eww femme&quot;, lil flamboyant"/>
      </sharedItems>
    </cacheField>
    <cacheField name="Starts with" numFmtId="0">
      <sharedItems count="26">
        <s v="C"/>
        <s v="D"/>
        <s v="E"/>
        <s v="F"/>
        <s v="G"/>
        <s v="I"/>
        <s v="M"/>
        <s v="P"/>
        <s v="Q"/>
        <s v="S"/>
        <s v="T"/>
        <s v="A"/>
        <s v="B"/>
        <s v="R"/>
        <s v="U"/>
        <s v="V"/>
        <s v="N"/>
        <s v="H"/>
        <s v="O"/>
        <s v="J"/>
        <s v="W"/>
        <s v="X"/>
        <s v="L"/>
        <s v="Z"/>
        <s v="K"/>
        <s v="Y"/>
      </sharedItems>
    </cacheField>
    <cacheField name="Kannada" numFmtId="0">
      <sharedItems count="1366">
        <s v="ಸಮಕಾಲೀನ"/>
        <s v="ಪ್ರಸಾರ ಮಾಡಿ"/>
        <s v="ಪರಿಸರ ವಿಜ್ಞಾನ"/>
        <s v="ಉನ್ನತಿಸು"/>
        <s v="ಸೋಗು"/>
        <s v="ದುರ್ಬಲತೆ"/>
        <s v="ಕೃಪೆ"/>
        <s v="ಆತ್ಮೀಯವಾಗಿ"/>
        <s v="ಮಿಸಾಂತ್ರೋಪಿಕ್"/>
        <s v="ಮಾರ್ಟಿಫೈ"/>
        <s v="ಪರ್ಟೆಂಟಸ್"/>
        <s v="ಅನಿಶ್ಚಿತ"/>
        <s v="ಇಕ್ಕಟ್ಟು"/>
        <s v="ಜಡ"/>
        <s v="ಉದ್ವೇಗ"/>
        <s v="ಚಾಣಾಕ್ಷ"/>
        <s v="ಅನುಕೂಲಕರ"/>
        <s v="ಕ್ಯಾಲಮ್ನಿ"/>
        <s v="ಛಲವಾದಿ"/>
        <s v="ಅನುಸರಣೆ"/>
        <s v="ಸಮರ್ಥನೀಯ"/>
        <s v="ಬಹಿರಂಗಪಡಿಸು"/>
        <s v="Flummoxed"/>
        <s v="ಬಿಟ್ಟುಬಿಡಿ"/>
        <s v="ವಿಶಿಷ್ಟ"/>
        <s v="ಸಂಬಂಧಿತ"/>
        <s v="ಫೋನಿ"/>
        <s v="ವ್ಯಾವಹಾರಿಕವಾದ"/>
        <s v="ತ್ಯಜಿಸು"/>
        <s v="ಸೂಕ್ತ"/>
        <s v="ಮಂಗಳಕರ"/>
        <s v="ತೇಲುವ"/>
        <s v="ಪಾಲಿಸು"/>
        <s v="ಸಂಯೋಜಿತ"/>
        <s v="ನಿಖರ"/>
        <s v="ಆಕರ್ಷಕ"/>
        <s v="ಅಬ್ಬರದ"/>
        <s v="ಕ್ಷಣಿಕ"/>
        <s v="ಸರ್ವರೋಗ ನಿವಾರಕ"/>
        <s v="ಪುಣ್ಯಾತ್ಮ"/>
        <s v="ದ್ವಿಗುಣಗೊಳಿಸು"/>
        <s v="ಗಾಬರಿ ಹುಟ್ಟಿಸುವಂಥದ್ದು"/>
        <s v="ಸಂಪೂರ್ಣವಾಗಿ"/>
        <s v="ಕಾರ್ಯಸಾಧ್ಯ"/>
        <s v="ರದ್ದುಗೊಳಿಸಿ"/>
        <s v="ಭಗ್ನಗೊಳಿಸುವಿಕೆ"/>
        <s v="ನಿಲ್ಲಿಸು"/>
        <s v="ಪರಿಶೀಲಿಸಿ"/>
        <s v="ಅಸಮ್ಮತಿಸು"/>
        <s v="ಭಾವಪರವಶ"/>
        <s v="ಹಗೆತನ"/>
        <s v="ವಿಲಕ್ಷಣ"/>
        <s v="ಅಡಚಣೆ"/>
        <s v="ಅಭೇದ್ಯ"/>
        <s v="ಅಗ್ರಾಹ್ಯ"/>
        <s v="ಕೆರಳಿದ"/>
        <s v="ಶ್ರಮಜೀವಿ"/>
        <s v="ಚತುರ"/>
        <s v="ಕಬ್ಬಿಣದ ಹೊದಿಕೆ"/>
        <s v="ಅವಹೇಳನಕಾರಿ"/>
        <s v="ಪರ್ಫಂಕ್ಟರಿ"/>
        <s v="ಪ್ರಪಾತದ"/>
        <s v="ಅಪಪ್ರಚಾರ"/>
        <s v="ನಿರಾಕರಿಸು"/>
        <s v="ವಿನಾಶಕಾರಿ"/>
        <s v="ನಿಸ್ಸಾರತೆ"/>
        <s v="ತಡೆಯೊಡ್ಡಿದೆ"/>
        <s v="ಕಿರಿಕಿರಿ"/>
        <s v="ಸುಧಾರಿಸಿ"/>
        <s v="ಸೌಹಾರ್ದಯುತ"/>
        <s v="ವಿರೋಧಾಭಾಸ"/>
        <s v="ತಪಸ್ವಿ"/>
        <s v="ಪರೋಪಕಾರಿ"/>
        <s v="ಸುತ್ತು ಹಾಕು"/>
        <s v="ಸಹಕರಿಸಿ"/>
        <s v="ಗೊಂದಲ"/>
        <s v="ಡಿಟೆಂಟೆ"/>
        <s v="ಅನಪೇಕ್ಷಿತ"/>
        <s v="ವಿವರಣಾತ್ಮಕ"/>
        <s v="ನೆಟಲ್ಸೋಮ್"/>
        <s v="ಪೆಕ್ಕಾಡಿಲೊ"/>
        <s v="ಪ್ರಾಬಿಟಿ"/>
        <s v="ಸಪ್ಲ್ಯಾಂಟ್"/>
        <s v="ಪೂರಕ"/>
        <s v="ಟ್ರುಕ್ಯುಲೆಂಟ್"/>
        <s v="ಅಬೆಟ್"/>
        <s v="ಸಮಾಧಾನಪಡಿಸು"/>
        <s v="ಸಮಾಧಾನಕರ"/>
        <s v="ಭ್ರಮೆ"/>
        <s v="ವ್ಯತ್ಯಾಸ"/>
        <s v="ಉಲ್ಲಸಿತ"/>
        <s v="ವಂಶಾವಳಿ"/>
        <s v="ಗೊಣಗುತ್ತಾರೆ"/>
        <s v="ಗುಲ್ಲಿಬಲ್"/>
        <s v="ಹೈಪರ್ಬೋಲ್"/>
        <s v="ಮ್ಯಾಜಿಸ್ಟೇರಿಯಲ್"/>
        <s v="ಬಳಕೆಯಲ್ಲಿಲ್ಲ"/>
        <s v="ಮುಚ್ಚು"/>
        <s v="ಸರ್ವಜ್ಞ"/>
        <s v="ಶ್ರಮದಾಯಕ"/>
        <s v="ಭಾಗಶಃ"/>
        <s v="ತಡೆಗಟ್ಟು"/>
        <s v="ಪ್ರಚೋದಿಸು"/>
        <s v="ಹಿಮ್ಮೆಟ್ಟುವಿಕೆ"/>
        <s v="ಅಸಹಜ"/>
        <s v="ಏಸರ್ಬಿಕ್"/>
        <s v="ಅಪೋಜಿ"/>
        <s v="ಕ್ಯಾಪ್ರಿಸ್"/>
        <s v="ಪ್ರಾರಂಭಿಸಿ"/>
        <s v="ಜ್ಞಾನೋದಯ ಮಾಡು"/>
        <s v="ಗಫೆ"/>
        <s v="ಐಕಾನೊಕ್ಲಾಸ್ಟಿಕ್"/>
        <s v="ಐಡಿಲಿಕ್"/>
        <s v="ಇಲಿಬರಲ್"/>
        <s v="ನಿರ್ಭೀತ"/>
        <s v="ಅಂಚಿನಲ್ಲಿದೆ"/>
        <s v="ತೊಡೆದುಹಾಕು"/>
        <s v="ಹೊರಹಾಕಿ"/>
        <s v="ಪೆನ್ಯೂರಿಯಸ್"/>
        <s v="ಕಲಹ"/>
        <s v="ಸರ್ಫೀಟ್"/>
        <s v="ಟ್ರ್ಯಾಕ್ ಮಾಡಬಹುದಾದ"/>
        <s v="ಅಕಾರ್ಡ್"/>
        <s v="ತಾಕೀತು ಮಾಡಿ"/>
        <s v="ಕ್ರಾಫ್ಟ್"/>
        <s v="ದುರ್ಬಲಗೊಳಿಸುವುದು"/>
        <s v="ಗೌಚೆ"/>
        <s v="ವಿವೇಚನಾಶೀಲ"/>
        <s v="ತಪ್ಪಾಗಿ ಅರ್ಥೈಸಿಕೊಳ್ಳಿ"/>
        <s v="ಭೇದಿಸಿ"/>
        <s v="ಗ್ರಹಿಸುವ"/>
        <s v="ಪ್ರಶಾಂತ"/>
        <s v="ಅಧೀನ"/>
        <s v="ಮೀರಿಸಿ"/>
        <s v="ಟರ್ಗಿಡ್"/>
        <s v="ಪೂಜಿಸು"/>
        <s v="ಕಟುವಾದ"/>
        <s v="ಗೌರವ"/>
        <s v="ನಿರ್ದೇಶಿಸಿ"/>
        <s v="ದತ್ತಿ"/>
        <s v="ಅಸ್ಪಷ್ಟ"/>
        <s v="ಸಂಯೋಜಿಸಿ"/>
        <s v="ಅಪಾಯವನ್ನುಂಟುಮಾಡು"/>
        <s v="ಉದಾತ್ತ"/>
        <s v="ದಿಗ್ಬಂಧನ"/>
        <s v="ಏಕಾಂತ"/>
        <s v="ಏಕಕಾಲಿಕತೆ"/>
        <s v="ಸರೋಗೇಟ್"/>
        <s v="ಹೇಳಿ ಮಾಡಿಸಿದ"/>
        <s v="ಅಪ್ಬ್ರೇಡ್"/>
        <s v="ಸಮರ್ಥಿಸಿಕೊಳ್ಳಿ"/>
        <s v="ಖಚಿತಪಡಿಸಿ"/>
        <s v="ಬಾನಲ್"/>
        <s v="ಕಠೋರ"/>
        <s v="ಡಿಕ್ರೈ"/>
        <s v="ಗ್ರಹಣ"/>
        <s v="ಅಹಂಭಾವ"/>
        <s v="ಹರ್ಷದಾಯಕ"/>
        <s v="ನಂಬಲಾಗದ"/>
        <s v="ಅಂದಾಜು ಮಾಡಲಾಗದು"/>
        <s v="ಕಪಟ"/>
        <s v="ಆತ್ಮೀಯ"/>
        <s v="ಆಡಂಬರದ"/>
        <s v="ಚಮತ್ಕಾರಿ"/>
        <s v="ಅನುಮಾನಾಸ್ಪದ"/>
        <s v="ಪ್ರದರ್ಶಿಸದ"/>
        <s v="ಫಾಸ್ಟರ್"/>
        <s v="ಇಂಚಾಟ್"/>
        <s v="ಐರ್"/>
        <s v="ಸಮೀಪದೃಷ್ಟಿ"/>
        <s v="ಸೂಕ್ಷ್ಮತೆ"/>
        <s v="ಪುನರುತ್ಥಾನ"/>
        <s v="ಸ್ವಗತ"/>
        <s v="ಮೂರ್ತ"/>
        <s v="ಪ್ರಲೋಭನೆಗೊಳಿಸುವುದು"/>
        <s v="ಜಾಗರೂಕ"/>
        <s v="ಒಮ್ಮತ"/>
        <s v="ಬಟ್ಟಿ ಇಳಿಸಿ"/>
        <s v="ಪ್ರಾಥಮಿಕ"/>
        <s v="ವಿಚಾರವಾದಿ"/>
        <s v="ಅಸಂಖ್ಯಾತ"/>
        <s v="ಅಸಹ್ಯಕರ"/>
        <s v="ಅತಿಯಾದ"/>
        <s v="ಮಾಹಿತಿಯಿಲ್ಲದ"/>
        <s v="ಹುರುಪು"/>
        <s v="ಆಯಾಸದಾಯಕ"/>
        <s v="ಅಸಂಗತ"/>
        <s v="ಬ್ರೂಕ್"/>
        <s v="ಸುರುಳಿಯಾಕಾರದ"/>
        <s v="ಗಡೀಪಾರು"/>
        <s v="ಅನುಕರಿಸಿ"/>
        <s v="ಎಂಬ ಶೀರ್ಷಿಕೆಯಿದೆ"/>
        <s v="ತಪ್ಪಿಸಿಕೊಳ್ಳುವ"/>
        <s v="ಕ್ಷುಲ್ಲಕ"/>
        <s v="ನಿರೂಪಣೆ"/>
        <s v="ಪ್ರಬಲ"/>
        <s v="ಮಿತವ್ಯಯ"/>
        <s v="ಸರ್ವತ್ರ"/>
        <s v="ಅನ್ಯದ್ವೇಷದ"/>
        <s v="ವಿರೋಧಿಸು"/>
        <s v="ಅಪ್ರೋಪೋಸ್"/>
        <s v="ಗೆಳೆತನ ಮಾಡಿ"/>
        <s v="ಲಜ್ಜೆಗೆಟ್ಟ"/>
        <s v="ವಿಪತ್ತು"/>
        <s v="ಮಾನಹಾನಿಕರ"/>
        <s v="ಅಳಿಸುವ"/>
        <s v="ಉದ್ದೇಶಪೂರ್ವಕ"/>
        <s v="ನಿಖರವಾದ"/>
        <s v="ಚಂಚಲ"/>
        <s v="ಫೂಲ್ಹಾರ್ಡಿ"/>
        <s v="ಬಹುಮುಖಿ"/>
        <s v="ನಿರ್ಲಕ್ಷ್ಯ"/>
        <s v="ಹಠಮಾರಿ"/>
        <s v="ಪೇಟೆಂಟ್"/>
        <s v="ಆಶ್ರಯ"/>
        <s v="ಪಟ್ಟುಬಿಡದ"/>
        <s v="ಪ್ರದರ್ಶನ"/>
        <s v="ಅಸಾಧಾರಣವಾಗಿ"/>
        <s v="ಹಾಸ್ಯದ"/>
        <s v="ಸ್ವಾಧೀನಪಡಿಸಿಕೊಳ್ಳುವ"/>
        <s v="ಬಲಾತ್ಕಾರ"/>
        <s v="ಎದ್ದುಕಾಣುವ"/>
        <s v="ಹಾಡ್ಜ್ಪೋಡ್ಜ್"/>
        <s v="ಅಪ್ರಸ್ತುತ"/>
        <s v="ದೀರ್ಘ-ಗಾಳಿ"/>
        <s v="ಅತಿಯಾದ ಬಳಕೆ"/>
        <s v="ತೋರಿಕೆಯ"/>
        <s v="ಜಾಣತನದ"/>
        <s v="ಸ್ವಯಂ ಸೇವೆ"/>
        <s v="ಸಿನೆಕ್ಯೂರ್"/>
        <s v="ಸ್ಪರ್ಶಕ"/>
        <s v="ವೂ"/>
        <s v="ಬೆಲೀ"/>
        <s v="ದಂಡೆ"/>
        <s v="ಅಲ್ಪಾರ್ಥಕ"/>
        <s v="ತಿರಸ್ಕಾರ"/>
        <s v="ದ್ವಂದ್ವತೆ"/>
        <s v="ಫ್ಲೌಟ್"/>
        <s v="ಹಾಕ್ನೀಡ್"/>
        <s v="ಹರ್ಬಿಂಗರ್"/>
        <s v="ಲಯನೈಸ್ ಮಾಡಿ"/>
        <s v="ವ್ಯಾಪಿಸಿರುವ"/>
        <s v="ಮರುವ್ಯಾಖ್ಯಾನಿಸಿ"/>
        <s v="ಸ್ಟರ್ನ್"/>
        <s v="ವಾಸ್ತವಿಕತೆ"/>
        <s v="ವೇನ್"/>
        <s v="ವಿಚಿತ್ರವಾದ"/>
        <s v="ಪುರಸ್ಕಾರ"/>
        <s v="ತಾತ್ಕಾಲಿಕ"/>
        <s v="ನಿವಾರಣೆ"/>
        <s v="ಬರೋಕ್"/>
        <s v="ವ್ಯಂಗ್ಯಚಿತ್ರ"/>
        <s v="ಚಗ್ರಿನ್"/>
        <s v="ಕತ್ತಲೆ"/>
        <s v="ಹಮ್ಡ್ರಮ್"/>
        <s v="ಸೂಕ್ಷ್ಮವಾದ"/>
        <s v="ಮುನ್ಸೂಚನೆ"/>
        <s v="ಸ್ವೇ"/>
        <s v="ವೆನಲ್"/>
        <s v="ಊಹೆ"/>
        <s v="ಬೇರ್ಪಟ್ಟ"/>
        <s v="ಭಿನ್ನಮತೀಯ"/>
        <s v="ಫಾಯಿಲ್"/>
        <s v="ಸರ್ವವ್ಯಾಪಿ"/>
        <s v="ಅಪಾರದರ್ಶಕ"/>
        <s v="ನೆರಳು"/>
        <s v="ವಿಚಾರಮಯ"/>
        <s v="ಪಶ್ಚಾತ್ತಾಪ"/>
        <s v="ಪರಿಹರಿಸು"/>
        <s v="ಗುಲಾಮಗಿರಿಯಿಂದ"/>
        <s v="ಸೊಪೊರಿಫಿಕ್"/>
        <s v="ಟರ್ಸೆ"/>
        <s v="ಮೌಖಿಕ"/>
        <s v="ಬೈಜಾಂಟೈನ್"/>
        <s v="ಹಿಗ್ಗಿಸಿ"/>
        <s v="ವಿಚ್ಛೇದನ ಪಡೆದಿದ್ದಾರೆ"/>
        <s v="ಉಲ್ಬಣಗೊಳಿಸು"/>
        <s v="ಎಕ್ಕೊರಿಯೇಟ್"/>
        <s v="ಹೊರಹಾಕುವಿಕೆ"/>
        <s v="ಉತ್ಸಾಹ"/>
        <s v="ಗ್ಲಿಬ್"/>
        <s v="ಐತಿಹಾಸಿಕ"/>
        <s v="ನಿಷ್ಪಕ್ಷಪಾತ"/>
        <s v="ತಡೆಹಿಡಿಯಿರಿ"/>
        <s v="ಮುಳುಗಿಸು"/>
        <s v="ಮಾರ್ಟಿನೆಟ್"/>
        <s v="ಮರೆವಿನ"/>
        <s v="ಪ್ರಾಸಾಯಿಕ್"/>
        <s v="ಸ್ಕಿಸಮ್"/>
        <s v="ಸಾರ್ವಭೌಮತ್ವ"/>
        <s v="ಟೋಲ್"/>
        <s v="ಕುಟಿಲ"/>
        <s v="ಒತ್ತಾಯ"/>
        <s v="ಊಹೆಯ"/>
        <s v="ಧೈರ್ಯ"/>
        <s v="ಮೋಸಗೊಳಿಸುವ"/>
        <s v="ಡೆಮುರ್"/>
        <s v="ನೀತಿಬೋಧಕ"/>
        <s v="ಶಿಷ್ಯ"/>
        <s v="ಕ್ಷೀಣಿಸುತ್ತಿದೆ"/>
        <s v="ಎಬುಲಿಯಂಟ್"/>
        <s v="ಇನ್ಫೆಲಿಸಿಟಿ"/>
        <s v="ಕ್ಷೀಣಿಸು"/>
        <s v="ಬಹುಸಂಖ್ಯೆಯ"/>
        <s v="ನಿಷ್ಕ್ರಿಯತೆ"/>
        <s v="ಫಿಲಿಸ್ಟಿನ್"/>
        <s v="ಭಂಗಿ ಹಾಕುವುದು"/>
        <s v="ಅಹಂಕಾರಿ"/>
        <s v="ರೆಟಿಸೆಂಟ್"/>
        <s v="ಮೌನಿ"/>
        <s v="ಕಡಿಮೆ ಮಾಡಿ"/>
        <s v="ಸಂಯಮ"/>
        <s v="ತಪ್ಪಿಸು"/>
        <s v="ಒಗ್ಗೂಡಿಸು"/>
        <s v="ಹೈಬ್ರಿಡ್"/>
        <s v="ಅರಾಜಕೀಯ"/>
        <s v="ಸಿಟ್ಟಿಗೆದ್ದ"/>
        <s v="ಜಡತ್ವ"/>
        <s v="ಅದ್ದೂರಿ"/>
        <s v="ಮೌಂಡರ್"/>
        <s v="ಅಪಶಕುನ"/>
        <s v="ಪ್ಲೋಡಿಂಗ್"/>
        <s v="ರೆಪರ್ಟರಿ"/>
        <s v="ದೃಢವಾದ"/>
        <s v="ಕೂಲಂಕುಷವಾಗಿ"/>
        <s v="ಅಭಿವ್ಯಕ್ತಗೊಳಿಸು"/>
        <s v="ಪರಿಣಾಮವಾಗಿ"/>
        <s v="ಕೋಯ್"/>
        <s v="ಡೀಕ್ರಿಫರ್"/>
        <s v="ಡೆಕ್ಸ್ಟರ್"/>
        <s v="ವಿಘಟಿಸು"/>
        <s v="ಡಾಗ್ಡ್"/>
        <s v="ಉಪದೇಶಿಸಿ"/>
        <s v="ಉತ್ಸಾಹಭರಿತ"/>
        <s v="ಪ್ರಚೋದಕ"/>
        <s v="ಸೂಚ್ಯ"/>
        <s v="ಜೆಟ್ಟಿಸನ್"/>
        <s v="ಸ್ಪಷ್ಟ"/>
        <s v="ಹಾಸ್ಯಾಸ್ಪದ"/>
        <s v="ಅತಿಯಾಗಿ"/>
        <s v="ಪೂರ್ವಭಾವಿ"/>
        <s v="ಪ್ಯೂರಿಲ್"/>
        <s v="ತರ್ಕಬದ್ಧಗೊಳಿಸು"/>
        <s v="ದೃಢನಿಶ್ಚಯ"/>
        <s v="ಕಳಂಕಿತಗೊಳಿಸು"/>
        <s v="ಅತಿಕ್ರಮಣ"/>
        <s v="ಉಲ್ಟೇರಿಯರ್"/>
        <s v="ಅಂಡರ್ಸ್ಕೋರ್"/>
        <s v="ಆಫ್ರಾರಿಸಂ"/>
        <s v="ಆಕ್ಸಿಯೋಮ್ಯಾಟಿಕ್"/>
        <s v="ಬೆರಟೆ"/>
        <s v="ಎರುಡೈಟ್"/>
        <s v="ನಿರ್ಭಯ"/>
        <s v="ಸಂಚಾರಿ"/>
        <s v="ನಾದಿರ್"/>
        <s v="ಅಧಿಕೃತ"/>
        <s v="ಪಾಲಿಮತ್"/>
        <s v="ಬಲೆ"/>
        <s v="ತಗ್ಗಿಸು"/>
        <s v="ರೋಮಾಂಚನವಾಯಿತು"/>
        <s v="ಮೆಚ್ಚುಗೆಯಿಲ್ಲದ"/>
        <s v="ರೂಪುಗೊಂಡಿಲ್ಲ"/>
        <s v="ವೀಡಲ್"/>
        <s v="ಫ್ಲಾಗ್ರ್ಯಾಂಟ್"/>
        <s v="ಫೋರ್ಜರಿ"/>
        <s v="ವಿಶಿಷ್ಟವಾದ"/>
        <s v="ಸಿಡುಕುವ"/>
        <s v="ಪೂರ್ವಭಾವಿಯಾಗಿಸಿ"/>
        <s v="ಸೆಡಕ್ಟಿವ್"/>
        <s v="ಹುರುಪಿನ"/>
        <s v="ಸೌಹಾರ್ದತೆ"/>
        <s v="ನಾಣ್ಯ"/>
        <s v="ಡಾಡಲ್"/>
        <s v="ಡಿಸ್ಲೊಕೇಶನ್"/>
        <s v="ಫಿಕ್ಸೇಟ್"/>
        <s v="ಮರೆಮಾಡಲಾಗಿದೆ"/>
        <s v="ಭೇದಿಸದ"/>
        <s v="ಆಂತರಿಕಗೊಳಿಸಿ"/>
        <s v="ಲಗುಬ್ರಿಯಸ್"/>
        <s v="ನಿಷ್ಕಪಟ"/>
        <s v="ಅಲಂಕಾರಿಕ"/>
        <s v="ಪ್ರಾಕ್ಸಿ"/>
        <s v="ರಾಮಿಫಿಕೇಶನ್"/>
        <s v="ವ್ಯಕ್ತಿನಿಷ್ಠ"/>
        <s v="ಸುಲ್ಲೆನ್"/>
        <s v="ಚಾತುರ್ಯ"/>
        <s v="ವರ್ವ್"/>
        <s v="ಕಲಾತ್ಮಕತೆ"/>
        <s v="ಆರ್ಕಿಟೈಪ್"/>
        <s v="ಬ್ಯಾರೇಜ್"/>
        <s v="ಬೆನಿಗ್ನ್"/>
        <s v="ವಂಚನೆ"/>
        <s v="ವಿರೋಧಿ"/>
        <s v="ಡಿಸೆಂಚಂಟ್"/>
        <s v="ಆಕ್ರಮಣಶೀಲತೆ"/>
        <s v="ಎಕ್ಸ್ಟೆಂಪೋರ್"/>
        <s v="ಮುನ್ನೆಲೆ"/>
        <s v="ಫುಲ್ಕ್ರಮ್"/>
        <s v="ಪ್ರಚೋದನೆ"/>
        <s v="ಅಡ್ಡಿಪಡಿಸುವ"/>
        <s v="ಅತಿಕ್ರಮಿಸುತ್ತಿದೆ"/>
        <s v="ಅನಗತ್ಯ"/>
        <s v="ಭಾವುಕ"/>
        <s v="ಅರ್ಥವಾಗುವುದಿಲ್ಲ"/>
        <s v="ಹೆಚ್ಚಿಸಿ"/>
        <s v="ಸ್ಪರ್ಧಿಸಿ"/>
        <s v="ಸೋಲು"/>
        <s v="ನಿರಾಸಕ್ತಿ"/>
        <s v="ಎದುರಿಸಿ"/>
        <s v="ಫೆರ್ವಿಡ್"/>
        <s v="ಮುಖಸ್ತುತಿ"/>
        <s v="ಪ್ರಾಸಂಗಿಕ"/>
        <s v="ಅಕ್ಷಾಂಶ"/>
        <s v="ಬಿಡುವು"/>
        <s v="ಜಿಪುಣತನದಿಂದ"/>
        <s v="ಒಲವು"/>
        <s v="ಸಮೃದ್ಧ"/>
        <s v="ನಿಷ್ಠುರ"/>
        <s v="ಸೂಕ್ಷ್ಮ"/>
        <s v="ಒಪ್ಪಬಹುದು"/>
        <s v="ಆಕ್ರಮಣ ಮಾಡಿ"/>
        <s v="ಸೀದಾ"/>
        <s v="ಕ್ಯಾವಲಿಯರ್"/>
        <s v="ವ್ಯುತ್ಪನ್ನ"/>
        <s v="ವಿಚಲನ"/>
        <s v="ಗ್ರೋವೆಲ್"/>
        <s v="ಹೆರಾಲ್ಡ್"/>
        <s v="ಅಶುದ್ಧ"/>
        <s v="ಪರಸ್ಪರ ಬದಲಾಯಿಸಬಹುದಾದ"/>
        <s v="ಮಧ್ಯಂತರ"/>
        <s v="ಪ್ರಾಶಸ್ತ್ಯ"/>
        <s v="ಪ್ರಚಲಿತವಾಗಿದೆ"/>
        <s v="ಪಂಕ್ಟಿಯಸ್"/>
        <s v="ಸಂದೇಹವಾದಿ"/>
        <s v="ಬೇಡುವ"/>
        <s v="ಅಸಾಧಾರಣ"/>
        <s v="ಆಕ್ಷೇಪಿಸಲಾಗದು"/>
        <s v="ವ್ಯಾಂಕ್ವಿಶ್"/>
        <s v="ಮೋಸಮಾಡು"/>
        <s v="ಬ್ಲಿತ್"/>
        <s v="ಡಿಬಂಕ್"/>
        <s v="ಡಿರ್ಜ್"/>
        <s v="ಇಕ್ವಿವೋಕಲ್"/>
        <s v="ರೋಗಗ್ರಸ್ತ"/>
        <s v="ನಾಮಮಾತ್ರ"/>
        <s v="ನಿರಾಶಾವಾದ"/>
        <s v="ವಿರಳ"/>
        <s v="ಸಬ್ವರ್ಟ್"/>
        <s v="ಒಳಗಾಗುವ"/>
        <s v="ಸಾಕ್ಷ್ಯಚಿತ್ರ"/>
        <s v="ಎಚೆಲಾನ್"/>
        <s v="ಅನುಗಮನದ"/>
        <s v="ನಿರುಪದ್ರವಿ"/>
        <s v="ಲೆವಿಟಿ"/>
        <s v="ಪ್ರಜ್ಞಾವಂತ"/>
        <s v="ಸೂಚಿಸಿ"/>
        <s v="ಸ್ಯಾಡಿಸ್ಟಿಕ್"/>
        <s v="ಸ್ವಲ್ಪ"/>
        <s v="ಸುಸ್ಥಿರ"/>
        <s v="ಟೆಮೆರಿಟಿ"/>
        <s v="ವ್ಯಾಪಿಡ್"/>
        <s v="ಉಲ್ಲೇಖಿಸಿ"/>
        <s v="ಸುಸಂಬದ್ಧ"/>
        <s v="ಎನಾಮರ್"/>
        <s v="ಸನ್ನಿಹಿತವಾಗಿದೆ"/>
        <s v="ವಿವೇಚನೆಯಿಲ್ಲದ"/>
        <s v="ಮೆಂಡಾಸಿಟಿ"/>
        <s v="ಮೊರ್ಡೆಂಟ್"/>
        <s v="ಅಗತ್ಯಪಡಿಸಿ"/>
        <s v="ವ್ಯಕ್ತಿಗತಗೊಳಿಸಿ"/>
        <s v="ವಾದಿ"/>
        <s v="ಪ್ಲಕ್ಕಿ"/>
        <s v="ಸಂಭಾವನೆ"/>
        <s v="ಏಕವಚನ"/>
        <s v="ಸ್ಕಿಟ್ಟಿಶ್"/>
        <s v="ಸಮಚಿತ್ತ"/>
        <s v="ಮೂಲತನ"/>
        <s v="ಬೆದರಿಸುವ"/>
        <s v="ಕಿತ್ತುಹಾಕು"/>
        <s v="ನಿರೀಕ್ಷಿತ"/>
        <s v="ಆಟಗಳು"/>
        <s v="ಸಾಮರಸ್ಯ"/>
        <s v="ಪರಿಹಾರ ಕೊಡು"/>
        <s v="ಲಿಂಪಿಡ್"/>
        <s v="ಮಧುರ"/>
        <s v="ಟಾಸಿಟರ್ನ್"/>
        <s v="ಕೈಗೊಳ್ಳಿ"/>
        <s v="ನೋಡಿದೆ"/>
        <s v="ದುರಂತ"/>
        <s v="ವಿವರಿಸಿ"/>
        <s v="ಬಾಹ್ಯ"/>
        <s v="ತಟಸ್ಥಗೊಳಿಸು"/>
        <s v="ಅತಿಕ್ರಮಿಸಿ"/>
        <s v="ಪಾದಚಾರಿ"/>
        <s v="ಪ್ಲಾಟಿಟ್ಯೂಡ್"/>
        <s v="ಪ್ರಧಾನವಾದುದು"/>
        <s v="ಪ್ರಾಮಾಣಿಕ"/>
        <s v="ಉಪಕಾರಿ"/>
        <s v="ನಿರ್ಮಿಸು"/>
        <s v="ಎಂಟ್ರೆಂಚ್"/>
        <s v="ವಿಸ್ತಾರವಾಗಿದೆ"/>
        <s v="ಜಾಗತಿಕ"/>
        <s v="ದುರದೃಷ್ಟಕರ"/>
        <s v="ತೀವ್ರ"/>
        <s v="ಬಹುಮುಖ"/>
        <s v="ರಹಸ್ಯವಾದ"/>
        <s v="ಬೆರೆಫ್ಟ್"/>
        <s v="ಪ್ರತಿ-ಸಾಂಸ್ಕೃತಿಕ"/>
        <s v="ಕ್ರಿಯಾಶೀಲತೆ"/>
        <s v="ದಕ್ಷತೆ"/>
        <s v="ಉದ್ರೇಕಗೊಂಡ"/>
        <s v="ಕಪಟಿ"/>
        <s v="ದಹನಕಾರಿ"/>
        <s v="ಒಳನೋಟವುಳ್ಳ"/>
        <s v="ಮಧ್ಯವರ್ತಿ"/>
        <s v="ಲೇಪರ್ಸನ್"/>
        <s v="ಮೆತುವಾದ"/>
        <s v="ವಿವೇಕಯುತ"/>
        <s v="ವಿಶ್ರಾಂತಿ"/>
        <s v="ಸಾಲು"/>
        <s v="ಗಾಯನ"/>
        <s v="ವಾಲ್ಯೂಬಲ್"/>
        <s v="ಉತ್ಸಾಹಿ"/>
        <s v="ಕೋಲಾಹಲದ"/>
        <s v="ಅನಿಯಮಿತ"/>
        <s v="ನಿರರ್ಥಕ"/>
        <s v="ಗಾವ್ಕಿ"/>
        <s v="ಕುಂದುಕೊರತೆ"/>
        <s v="ಮೆರೆಟ್ರಿಯಸ್"/>
        <s v="ಹಠ"/>
        <s v="ರ್ಯಾಲಿ ಮಾಡುತ್ತಿದೆ"/>
        <s v="ರಿಕ್ರೂಡೆಸ್ಸೆ"/>
        <s v="ರೀನ್"/>
        <s v="ನಕಲಿ"/>
        <s v="ಕುತಂತ್ರ"/>
        <s v="ಹತಾಶೆ"/>
        <s v="ಡಯಾಟ್ರಿಬ್"/>
        <s v="ವಿಭಿನ್ನ"/>
        <s v="ಅಸೂಯೆಪಡುವ"/>
        <s v="ಹಿಂದಿನ ಕಾಲದಲ್ಲಿ"/>
        <s v="ಅಂದಾಜು ಮಾಡಬಹುದಾದ"/>
        <s v="ಆತಿಥ್ಯಕಾರಿ"/>
        <s v="ಮೋರೋಸ್"/>
        <s v="ದಂಗೆ"/>
        <s v="ಪಾರ್ಸಿಮೋನಿಯಸ್"/>
        <s v="ಪಕ್ಷಪಾತಿ"/>
        <s v="ಪ್ರಧಾನ"/>
        <s v="ಟೆನೆಬಲ್"/>
        <s v="ವಿಜಯೋತ್ಸವ"/>
        <s v="ಪರಿಶೀಲಿಸಲಾಗುವುದಿಲ್ಲ"/>
        <s v="ಸಾಧನೆ"/>
        <s v="ಕೊಡಲ್"/>
        <s v="ಕಾಂಟ್ರಾವೆನ್"/>
        <s v="ವಿಷಯಾಂತರ"/>
        <s v="ಡಿಲೆಟ್ಟಾಂಟೆ"/>
        <s v="ವೇಗದ"/>
        <s v="ಗುರುತ್ವಾಕರ್ಷಣೆ"/>
        <s v="ಹೋರ್ಟೇಟರಿ"/>
        <s v="ಮ್ಯಾನಿಫೆಸ್ಟ್"/>
        <s v="ಆರೋಹಿಸುವಾಗ"/>
        <s v="ಶೂನ್ಯಗೊಳಿಸಿ"/>
        <s v="ಆಳವಾದ"/>
        <s v="ಅನಿಯಂತ್ರಿತ"/>
        <s v="ನಿರ್ವಾತ"/>
        <s v="ವಿಸ್ಫುಲ್"/>
        <s v="ಯುದ್ಧಮಾಡುವ"/>
        <s v="ಕಾಕೋಫೋನಸ್"/>
        <s v="ಜಾತಿಗೇಟ್ ಮಾಡಿ"/>
        <s v="ಕ್ಯಾಥೋಲಿಕ್"/>
        <s v="ಮನ್ಮಥ"/>
        <s v="ಮುಖಾಮುಖಿ"/>
        <s v="ಅಡ್ಡಿ"/>
        <s v="ದುಸ್ತರ"/>
        <s v="ಲ್ಯಾಂಬಾಸ್ಟ್"/>
        <s v="ಸುಸ್ತಾದ"/>
        <s v="ಪೋಡಿಗಲ್"/>
        <s v="ನಿಶ್ಚಲ"/>
        <s v="ಸ್ಪಾರ್ಟಾನ್"/>
        <s v="ಬೇಸರದ"/>
        <s v="ದಾರ್ಶನಿಕ"/>
        <s v="ಬೇಸ್"/>
        <s v="ಗ್ಲೋಟ್"/>
        <s v="ಉಲ್ಲಂಘಿಸು"/>
        <s v="ಲೂರಿಡ್"/>
        <s v="ಅಗ್ರಮಾನ್ಯ"/>
        <s v="ಪೂರ್ವಾಕೃತಿ"/>
        <s v="ನಿರಾಕರಣೆ"/>
        <s v="ಮರುಶೋಧನೆ"/>
        <s v="ಮರುಕಳಿಸು"/>
        <s v="ಸೆವೆರ್"/>
        <s v="ಅಸಾಂಪ್ರದಾಯಿಕ"/>
        <s v="ಬಂಜರು"/>
        <s v="ಸಮರ್ಥ"/>
        <s v="ಕುಸಿಯಲು"/>
        <s v="ಸಮತಾವಾದಿ"/>
        <s v="ಎತ್ತರಿಸಿ"/>
        <s v="ಅಡೆತಡೆಯಿಲ್ಲದ"/>
        <s v="ತಡೆಯಲಾಗದ"/>
        <s v="ಬೇರೂರಿದೆ"/>
        <s v="ಸಾಂಸ್ಥಿಕಗೊಳಿಸು"/>
        <s v="ಆಹ್ವಾನಿಸುತ್ತಿದೆ"/>
        <s v="ವಿರಾಮ"/>
        <s v="ದುಷ್ಕರ್ಮಿ"/>
        <s v="ಮೊಲಿಫೈ"/>
        <s v="ನವೀನತೆ"/>
        <s v="ಅಪಾಯಕಾರಿ"/>
        <s v="ಪ್ರಸರಣ"/>
        <s v="ನಿಂದೆ"/>
        <s v="ವಿಡಂಬನಾತ್ಮಕ"/>
        <s v="ಸಂವೇದನಾಶೀಲ"/>
        <s v="ಪಾತಕ"/>
        <s v="ಟೋಕನ್"/>
        <s v="ಮೀರಿಸು"/>
        <s v="ಅಸ್ಥಿರತೆ"/>
        <s v="ದ್ರೋಹ"/>
        <s v="ಹೊಗಳಿಕೆ"/>
        <s v="ದ್ವಂದ್ವಾರ್ಥ"/>
        <s v="ತಪ್ಪಬಹುದಾದ"/>
        <s v="ಅರಳಿಸು"/>
        <s v="ಹೆಟೆರೊಡಾಕ್ಸ್"/>
        <s v="ಕಲ್ಪನೆ"/>
        <s v="ಅಸಡ್ಡೆ"/>
        <s v="ಅನಿವಾರ್ಯ"/>
        <s v="ಲಿಬರ್ಟೈನ್"/>
        <s v="ಮೋದಿಶ್"/>
        <s v="ಚಿತ್ರಸದೃಶ"/>
        <s v="ನಮಸ್ಕಾರ"/>
        <s v="ಸ್ಲೋವೆನ್ಲಿ"/>
        <s v="ಪ್ರಕ್ಷುಬ್ಧ"/>
        <s v="ಖಂಡನೆ"/>
        <s v="ಚೇತರಿಸಿಕೊಳ್ಳುವ"/>
        <s v="ಬೇಡಿಕೆ ಇಡುತ್ತಿದ್ದಾರೆ"/>
        <s v="ಅಪ್ರಬುದ್ಧ"/>
        <s v="ಸ್ವಾರ್ಥಿ"/>
        <s v="ಫಾಲೋ"/>
        <s v="ನಿರ್ಲಜ್ಜ"/>
        <s v="ಇಂಪಗ್ನ್"/>
        <s v="ಆಲಸ್ಯ"/>
        <s v="ತಪ್ಪು ಹೆಸರು"/>
        <s v="ಅಪರಾಧ ಮಾಡು"/>
        <s v="ಪ್ರಾಕ್ಲಿವಿಟಿ"/>
        <s v="ಪುನರ್ವಸತಿ ಮಾಡಿ"/>
        <s v="ಕೆಳಗಿಳಿಸು"/>
        <s v="ಸ್ಕರ್ಟ್"/>
        <s v="ಕಟ್ಟುನಿಟ್ಟಾದ"/>
        <s v="ಆಬ್ಜೆಕ್ಟ್"/>
        <s v="ಅಮೂರ್ತ"/>
        <s v="ಅಪಾರ"/>
        <s v="ರಹಸ್ಯ"/>
        <s v="ಸುಪ್ತ"/>
        <s v="ಸಂಪಾದಿಸು"/>
        <s v="ಉಲ್ಲಾಸ"/>
        <s v="ಫ್ಯೂರ್ಟಿವ್"/>
        <s v="ಲ್ಯಾಂಪೂನ್"/>
        <s v="ಮಲಾಡ್ರೋಯಿಟ್"/>
        <s v="ಹಾನಿಕರ"/>
        <s v="ಮುನಿಫಿಸೆಂಟ್"/>
        <s v="ಶಾಮ್"/>
        <s v="ಟಿಮೊರಸ್"/>
        <s v="ಮಿಶ್ರರಹಿತ"/>
        <s v="ವೆಸ್ಟಿಜಿಯಲ್"/>
        <s v="ನಿವಾರಿಸು"/>
        <s v="ಅನಿಮಸ್"/>
        <s v="ಅಸಂಗತತೆ"/>
        <s v="ಕಾಜೋಲ್"/>
        <s v="ಕಾರ್ಪೋರಿಯಲ್"/>
        <s v="ಅಸ್ವಸ್ಥತೆ"/>
        <s v="ದಿಗ್ಭ್ರಮೆಯುಳ್ಳ"/>
        <s v="ನಿರ್ಮೂಲನೆ ಮಾಡಿ"/>
        <s v="ಸಾಂಕೇತಿಕ"/>
        <s v="ಫ್ಲಸ್ಟರ್"/>
        <s v="ಸಹಿಸಿಕೊಳ್ಳಿ"/>
        <s v="ಗಿಡ್ಡಿಲಿ"/>
        <s v="ಬೆಳಗು"/>
        <s v="ವಿವೇಚನಾರಹಿತ"/>
        <s v="ವಿವಾದಾತ್ಮಕ"/>
        <s v="ಅದ್ಭುತ"/>
        <s v="ನಿವೃತ್ತರಾಗುತ್ತಿದ್ದಾರೆ"/>
        <s v="ಧ್ವನಿ"/>
        <s v="ಸ್ಟೇಡ್"/>
        <s v="ಜಿಪುಣ"/>
        <s v="ಸಬ್ಸ್ಟಾಂಟಿವ್"/>
        <s v="ಪರಾರಿ"/>
        <s v="ತಿಳಿಸು"/>
        <s v="ಕ್ಯಾನೊನೈಸ್ ಮಾಡಿ"/>
        <s v="ತೆರವುಗೊಳಿಸಲಾಗಿದೆ"/>
        <s v="ಡಿಸ್ಸೆಂಬಲ್ ಮಾಡಿ"/>
        <s v="ವಿವರಿಸಲಾಗದ"/>
        <s v="ಅಸಭ್ಯ"/>
        <s v="ಆಮಿಷ"/>
        <s v="ಪಿಕ್ವಾಂಟ್"/>
        <s v="ಸಾರಾಂಶ"/>
        <s v="ನಗರವಾಸಿ"/>
        <s v="ಕಲಾತ್ಮಕ"/>
        <s v="ಆಚರಿಸಲಾಯಿತು"/>
        <s v="ಧೈರ್ಯಶಾಲಿ"/>
        <s v="ಘರ್ಷಣೆ"/>
        <s v="ವಿಶ್ವಕೋಶ"/>
        <s v="ತಪ್ಪಾಗಿದೆ"/>
        <s v="ಎಸ್ಚೆವ್"/>
        <s v="ಅಡ್ಡಾದಿಡ್ಡಿಯಾಗಿ"/>
        <s v="ಅಸಹ್ಯ"/>
        <s v="ಸ್ಪರ್ಶನೀಯ"/>
        <s v="ಪೂಜ್ಯಭಾವನೆ"/>
        <s v="ಸ್ಟಿಂಟ್"/>
        <s v="ತಿಳಿಯದೆ"/>
        <s v="ತಿದ್ದುಪಡಿ ಮಾಡಿ"/>
        <s v="ದಿಗ್ಭ್ರಮೆಗೊಳಿಸು"/>
        <s v="ಸುಟ್ಟುಹಾಕು"/>
        <s v="ಮಾಪನಾಂಕ ನಿರ್ಣಯಿಸಿ"/>
        <s v="ಭಿನ್ನಾಭಿಪ್ರಾಯ"/>
        <s v="ತಬ್ಬಿಬ್ಬು"/>
        <s v="ಏಕತಾನತೆ"/>
        <s v="ಅಸ್ಪಷ್ಟಗೊಳಿಸು"/>
        <s v="ಪ್ಯಾರಾಗಾನ್"/>
        <s v="ಪ್ರಾವಿಡೆನ್ಶಿಯಲ್"/>
        <s v="ಒಗಟು"/>
        <s v="ರೈಲರಿ"/>
        <s v="ಸ್ಥಿತಿಸ್ಥಾಪಕ"/>
        <s v="ಸಾರ್ಟೋರಿಯಲ್"/>
        <s v="ಪತ್ತೆಹಚ್ಚಲಾಗದ"/>
        <s v="ಯುನಿವರ್ಸಲ್"/>
        <s v="ವಾಗ್ಗಿಶ್"/>
        <s v="ದಾರಿ ತಪ್ಪಿದ"/>
        <s v="ಸುಸ್ತಾಗಿದೆ"/>
        <s v="ಆಗಸ್ಟ್"/>
        <s v="ವಾದ ಮಾಡು"/>
        <s v="ನಿರರ್ಗಳ"/>
        <s v="ಮನವಿ"/>
        <s v="ತಪ್ಪು"/>
        <s v="ರೋಗನಿರೋಧಕ ಶಕ್ತಿ"/>
        <s v="ಋಣಿಯಾಗಿದೆ"/>
        <s v="ಶತ್ರುತ್ವದ"/>
        <s v="ಅನಿರ್ದಿಷ್ಟ"/>
        <s v="ರವಾನಿಸಬಹುದಾದ"/>
        <s v="ಪರಿಹರಿಸಲಾಗಿಲ್ಲ"/>
        <s v="ಅರಿವು"/>
        <s v="ಗ್ರಹಿಸಬಹುದಾದ"/>
        <s v="ಪರಿಣಾಮಕಾರಿ"/>
        <s v="ಎಲಿಸಿಟ್"/>
        <s v="ತೊಡಗಿಸಿಕೊಳ್ಳಿ"/>
        <s v="ಏಕರೂಪದ"/>
        <s v="ವಿಪರ್ಯಾಸ"/>
        <s v="ಹೊಣೆಗಾರಿಕೆ"/>
        <s v="ದುರುದ್ದೇಶಪೂರಿತ"/>
        <s v="ಮುಂದೂಡು"/>
        <s v="ಪ್ರಾಂತೀಯ"/>
        <s v="ರೆಸಲ್ಯೂಶನ್"/>
        <s v="ವಶಪಡಿಸಿಕೊಂಡರು"/>
        <s v="ದುರ್ಬಲಗೊಳಿಸು"/>
        <s v="ವರದಾನ"/>
        <s v="ಮೋಡಿಮಾಡು"/>
        <s v="ಇಕ್ವಿವೋಕೇಟ್"/>
        <s v="ಗಮನಿಸು"/>
        <s v="ಅನ್ಯಾಯದ"/>
        <s v="ಅಂತರ್ಗತ"/>
        <s v="ಪರ್ಪ್ಲೆಕ್ಸ್"/>
        <s v="ಪ್ರಮಾಣೀಕರಿಸಬಹುದಾದ"/>
        <s v="ಸ್ಟಾಲ್ವಾರ್ಟ್"/>
        <s v="ನಿಗ್ರಹಿಸಿ"/>
        <s v="ಪರೀಕ್ಷಿಸಬಹುದಾದ"/>
        <s v="ಸಾಕ್ಷ್ಯ"/>
        <s v="ನಿಭಾಯಿಸಿ"/>
        <s v="ತಿರುಗಿಸು"/>
        <s v="ಹುಟ್ಟುಹಾಕು"/>
        <s v="ಅತಿರಂಜಿತ"/>
        <s v="ವಾಸ್ತವಿಕ"/>
        <s v="ಕಾಲ್ಪನಿಕ"/>
        <s v="ಗಲಿಬಿಲಿಗೊಂಡ"/>
        <s v="ಲಾಭದಾಯಕ"/>
        <s v="ನಿಮಿಷ"/>
        <s v="ಸೆಡ್ಯುಲಸ್"/>
        <s v="ಮನವಿ ಮಾಡು"/>
        <s v="ಅಪಘರ್ಷಕ"/>
        <s v="ಮೊಂಡಾದ"/>
        <s v="ನಿರಂಕುಶ"/>
        <s v="ಅಸಮಾಧಾನ"/>
        <s v="ಎಂತ್ರಾಲ್"/>
        <s v="ಫ್ರಾಕ್ಟಿವ್"/>
        <s v="ಕುಗ್ಗಿಸು"/>
        <s v="ಮೂಲ"/>
        <s v="ಪ್ರಾಯಶ್ಚಿತ್ತ ಮಾಡಿ"/>
        <s v="ಪರಿಹಾರಕ"/>
        <s v="ಅಶುಭ"/>
        <s v="ಟ್ರಿಫ್ಲಿಂಗ್"/>
        <s v="ಅಪವಾದ"/>
        <s v="ಪುಣ್ಯ"/>
        <s v="ಡಿಲೇಟರಿ"/>
        <s v="ಸ್ಪಷ್ಟಪಡಿಸು"/>
        <s v="ಹಠಾತ್ ಪ್ರವೃತ್ತಿ"/>
        <s v="ಪ್ರೇರಣೆ"/>
        <s v="ಸಮಗ್ರತೆ"/>
        <s v="ವೇಗವುಳ್ಳ"/>
        <s v="ಒತ್ತುವುದು"/>
        <s v="ಆಸರೆಯಾದ"/>
        <s v="ಅಪಹಾಸ್ಯ"/>
        <s v="ಸಿಂಪಲ್ಟನ್"/>
        <s v="ಪರಿಣಾಮ ಬೀರುತ್ತವೆ"/>
        <s v="ಮುಖಭಾವ"/>
        <s v="ವಿವೇಚಿಸಿ"/>
        <s v="ಸಮಗ್ರ"/>
        <s v="ಫಂಗಬಲ್"/>
        <s v="ಲೋಕ್ವಾಸ್"/>
        <s v="ನಿಯೋಫೈಟ್"/>
        <s v="ಪೋಸ್ ನೀಡಿದರು"/>
        <s v="ಮಿನುಗುವ"/>
        <s v="ಟ್ರೆಂಚಂಟ್"/>
        <s v="ವಿಮರ್ಶಾತ್ಮಕವಲ್ಲದ"/>
        <s v="ಸಹಾಯಕ"/>
        <s v="ಅವಮಾನಕರ"/>
        <s v="ಡಿಫಿಡೆಂಟ್"/>
        <s v="ಕುಬ್ಜ"/>
        <s v="ಫೀಂಟ್"/>
        <s v="ಹಿಸ್ಟರಿಕಲ್"/>
        <s v="ನಿಲ್ಲದ"/>
        <s v="ಅರ್ಥಗರ್ಭಿತ"/>
        <s v="ಸರಿಪಡಿಸಲಾಗದ"/>
        <s v="ಪ್ರೋತ್ಸಾಹಿಸಿ"/>
        <s v="ಪಿಥಿ"/>
        <s v="ಅವಕ್ಷೇಪ"/>
        <s v="ನಿರೂಪಿಸಿ"/>
        <s v="ಸಮಚಿತ್ತತೆ"/>
        <s v="ಉಳಿಸುವ"/>
        <s v="ಉಪವಿಭಾಗ"/>
        <s v="ಸೈಕೋಫಾಂಟ್"/>
        <s v="ಹೇರಳವಾಗಿದೆ"/>
        <s v="ಚುರ್ಲಿಶ್"/>
        <s v="ಪಶ್ಚಾತ್ತಾಪಪಡುತ್ತಾರೆ"/>
        <s v="ಕ್ರೂನ್"/>
        <s v="ಮೆಗಾಲೊಮೇನಿಯಾಕ್"/>
        <s v="ರೂಢಿಗತ"/>
        <s v="ತಪಸ್ಸು ಮಾಡಿದ"/>
        <s v="ಪ್ರೆಸೇಜ್"/>
        <s v="ಪ್ರಚೋದನಕಾರಿ"/>
        <s v="ಪುನರುಚ್ಚರಿಸಿ"/>
        <s v="ಸಿಂಟ್ಯಾಕ್ಟಿಕಲ್"/>
        <s v="ವ್ಯಾಲೆಡಿಕ್ಟರಿ"/>
        <s v="ಖಾತರಿಪಡಿಸಲಾಗಿದೆ"/>
        <s v="ಸೇತುವೆ"/>
        <s v="ವಾತ್ಸಲ್ಯ"/>
        <s v="ಪರಕೀಯಗೊಳಿಸು"/>
        <s v="ಕ್ಷಮಿಸಿ"/>
        <s v="ಬೌಡಿ"/>
        <s v="ಬೆಮುಸೆ"/>
        <s v="ಅಪೇಕ್ಷೆ"/>
        <s v="ವಿಸರ್ಜನೆ"/>
        <s v="ಎಂಟೈಲ್"/>
        <s v="ಫಾರೆಸ್ಟಾಲ್"/>
        <s v="ತಂತ್ರ"/>
        <s v="ಔಚಿತ್ಯ"/>
        <s v="ಶಂಕಿತ"/>
        <s v="ಬಂಧಿಸಲಾಗುತ್ತಿದೆ"/>
        <s v="ಶಿಕ್ಷಿಸಿ"/>
        <s v="ದಶಕ"/>
        <s v="ಡಾಕ್ಟಿನೇರ್"/>
        <s v="ಹುರಿದುಂಬಿಸಿ"/>
        <s v="ಗ್ರೆಗೇರಿಯಸ್"/>
        <s v="ಅಮೂಲ್ಯ"/>
        <s v="ಜೋಕುಂಡ್"/>
        <s v="ಲಕೋನಿಕ್"/>
        <s v="ದೊಡ್ಡದು"/>
        <s v="ಅತ್ಯಲ್ಪ"/>
        <s v="ವಸ್ತುನಿಷ್ಠತೆ"/>
        <s v="ಫ್ಲೆಗ್ಮ್ಯಾಟಿಕ್"/>
        <s v="ಊಹಾತ್ಮಕ"/>
        <s v="ಸಮಶೀತೋಷ್ಣ"/>
        <s v="ಸೂಚಿಸುವ"/>
        <s v="ಆಂಟೆಡೇಟ್"/>
        <s v="ಪುರಾತನ"/>
        <s v="ಭಿನ್ನವಾದ"/>
        <s v="ಫ್ರಿಂಜ್"/>
        <s v="ತೃಪ್ತಿಪಡಿಸು"/>
        <s v="ಕುಶಲತೆಯಿಂದ"/>
        <s v="ಬಹಿರಂಗ"/>
        <s v="ಪೊಂಪೊಸಿಟಿ"/>
        <s v="ಪ್ರತಿಧ್ವನಿಸಿ"/>
        <s v="ಸ್ಕೇಟ್"/>
        <s v="ಟಾಂಟಮೌಂಟ್"/>
        <s v="ಅಸ್ವಸ್ಥ"/>
        <s v="ವಿಟಿಯೇಟ್"/>
        <s v="ಪ್ರತಿಪಾದಿಸುವ"/>
        <s v="ವೃದ್ಧಿಗೊಳಿಸು"/>
        <s v="ದುರಾಸೆ"/>
        <s v="ಕಾನಸರ್"/>
        <s v="ಕ್ರೆಸ್ಟ್ಫಾಲೆನ್"/>
        <s v="ಭ್ರಷ್ಟತೆ"/>
        <s v="ವಂಚಕ"/>
        <s v="ಡಿಸ್ಟೆಂಡ್"/>
        <s v="ಎನ್ನಿ"/>
        <s v="ತ್ವರಿತಗೊಳಿಸಿ"/>
        <s v="ಫಿನಿಕಿ"/>
        <s v="ಅಬ್ಜರ್ಗೇಟ್"/>
        <s v="ಕ್ವಿಬಲ್"/>
        <s v="ಕಳಂಕಗೊಳಿಸು"/>
        <s v="ತತ್ವರಹಿತ"/>
        <s v="ಸೂಕ್ತವಾಗಿ"/>
        <s v="ಇಂಪೀರಿಯಸ್"/>
        <s v="ಕೀನ್"/>
        <s v="ನಾರ್ಸಿಸಿಸಮ್"/>
        <s v="ಸ್ವಾಭಿಮಾನಿ"/>
        <s v="ಉದಾಹರಣೆಯಿಲ್ಲದ"/>
        <s v="ಪೂರ್ವಯೋಜಿತವಲ್ಲದ"/>
        <s v="ಬಾಂಧವ್ಯ"/>
        <s v="ಅಪ್ಲೋಂಬ್"/>
        <s v="ಅನುಮೋದನೆ"/>
        <s v="ಬುಕೋಲಿಕ್"/>
        <s v="ಸೆರೆಬ್ರಲ್"/>
        <s v="ಒಪ್ಪಂದ"/>
        <s v="ತೊಡಕಿನ"/>
        <s v="ಮೊಟಕುಗೊಳಿಸಿ"/>
        <s v="ಅಲಂಕಾರ"/>
        <s v="ಅಸಮ್ಮತಿ"/>
        <s v="ಅಲಂಕರಿಸಿ"/>
        <s v="ಹೆಚ್ಚಿಸು"/>
        <s v="ಮರಿಗಳು"/>
        <s v="ಕಡ್ಡಾಯ"/>
        <s v="ಸ್ವಯಂ ಭೋಗ"/>
        <s v="ಟಾರ್ಪಿಡ್"/>
        <s v="ಬಹಿಷ್ಕಾರ"/>
        <s v="ಅನುಮೋದಿಸಿ"/>
        <s v="ಫ್ಲೋರಿಡ್"/>
        <s v="ಕಲಾಯಿ ಮಾಡಿ"/>
        <s v="ಪ್ರಾಚೀನ"/>
        <s v="ವಾಕ್ಚಾತುರ್ಯ"/>
        <s v="ಆಚರಣೆ"/>
        <s v="ಟ್ರಿಟ್"/>
        <s v="ಸಮ್ಮಿಲನ"/>
        <s v="ಸಾಂದರ್ಭಿಕ"/>
        <s v="ಆತ್ಮತೃಪ್ತಿ"/>
        <s v="ವಿರುದ್ಧಾರ್ಥಕ"/>
        <s v="ಗ್ಲುಮ್"/>
        <s v="ನಿರ್ಮಲ"/>
        <s v="ಆಕ್ರಮಣಕಾರಿ"/>
        <s v="ಪೆಡಾಂಟಿಕ್"/>
        <s v="ಶಾಶ್ವತಗೊಳಿಸು"/>
        <s v="ಆಮೂಲಾಗ್ರ"/>
        <s v="ರಾವೇಜ್"/>
        <s v="ಮರುಪೂರಣ"/>
        <s v="ಸಮರ್ಥಿಸಿ"/>
        <s v="ಆಧಾರರಹಿತ"/>
        <s v="ಪರಸ್ಪರ ಸಂಬಂಧ"/>
        <s v="ಡಿಸ್ಗರ್ಜ್"/>
        <s v="ನಿಗೂಢ"/>
        <s v="ಘಟನೆ"/>
        <s v="ಬದಲಾಗದ"/>
        <s v="ಅವಿವೇಕದ"/>
        <s v="ಮಧ್ಯಸ್ಥಿಕೆ ವಹಿಸಿ"/>
        <s v="ಓಪನ್-ಎಂಡೆಡ್"/>
        <s v="ಮರುಪರಿಶೀಲಿಸಿ"/>
        <s v="ರೆನೆಜ್"/>
        <s v="ಟ್ಯಾಪ್ ಮಾಡದ"/>
        <s v="ಒತ್ತು ನೀಡಿ"/>
        <s v="ಆಪಾದಿಸಿ"/>
        <s v="ಪರಿಶ್ರಮಿ"/>
        <s v="ಕ್ಲಾಂಗರ್"/>
        <s v="ನಂಬಲರ್ಹ"/>
        <s v="ಅಪಖ್ಯಾತಿ"/>
        <s v="ದುರ್ಬಲ"/>
        <s v="ಜರ್ಮನಿ"/>
        <s v="ಜಿಜ್ಞಾಸೆ"/>
        <s v="ಲ್ಯಾಕ್ಸ್"/>
        <s v="ಧ್ರುವೀಕರಿಸು"/>
        <s v="ರಿಸಿಬಲ್"/>
        <s v="ಹಸಿವು"/>
        <s v="ದಿಟ್ಟತನ"/>
        <s v="ಪ್ರಳಯಕಾರಿ"/>
        <s v="ಕರ್ಮುಡ್ಜನ್"/>
        <s v="ಸಂಕಟಪಡುತ್ತಾರೆ"/>
        <s v="ಸಂಶಯಾಸ್ಪದ"/>
        <s v="ಇಂಬ್ರೊಗ್ಲಿಯೊ"/>
        <s v="ಪ್ರಮುಖ"/>
        <s v="ಖರ್ಚು ಮಿತವ್ಯಯ"/>
        <s v="ಸೂಪರ್ಸೀಡ್"/>
        <s v="ಪ್ರಭಾವಿತವಾಗಿಲ್ಲ"/>
        <s v="ಸಾಧಿಸಲಾಗದು"/>
        <s v="ಬಾಷ್ಪಶೀಲ"/>
        <s v="ವಿಲಿ"/>
        <s v="ಅಮೂರ್ತತೆ"/>
        <s v="ಗೊಂದಲಕ್ಕೊಳಗಾದ"/>
        <s v="ಕ್ರಾವೆನ್"/>
        <s v="ಆದರ್ಶವಾದಿ"/>
        <s v="ತಡೆಯಿರಿ"/>
        <s v="ಬಹುವಾರ್ಷಿಕ"/>
        <s v="ಸುರ್ಲಿ"/>
        <s v="ಏಳಿಗೆ"/>
        <s v="ರಾಜಿ ಮಾಡಿಕೊಳ್ಳಿ"/>
        <s v="ಕನ್ಂಡ್ರಮ್"/>
        <s v="ಸವಿಯಾದ"/>
        <s v="ಡಿಕ್ಟಮ್"/>
        <s v="ಅಶಾಂತಿ"/>
        <s v="ಆರ್ಥಿಕತೆ"/>
        <s v="ಅಪಾಯ"/>
        <s v="ಆಕಸ್ಮಿಕ"/>
        <s v="ಭಿನ್ನಜಾತಿ"/>
        <s v="ದೋಷಾರೋಪಣೆ"/>
        <s v="ರೂಪಕ"/>
        <s v="ಆಶಾವಾದಿ"/>
        <s v="ಪಾಸ್ಟಿಚೆ"/>
        <s v="ಪ್ರಚಾರ ಮಾಡಿ"/>
        <s v="ರಾಪಾಸಿಯಸ್"/>
        <s v="ರಾಪ್ಸೋಡಿ"/>
        <s v="ಪ್ರಯೋಜನವಾದಿ"/>
        <s v="ಅಕೋಲೈಟ್"/>
        <s v="ಗುಣಲಕ್ಷಣ"/>
        <s v="ಬಲವಂತ"/>
        <s v="ಎಸ್ಟ್ರೇಂಜ್"/>
        <s v="ದುರ್ಬಳಕೆ ಮಾಡಿಕೊಳ್ಳಿ"/>
        <s v="ಗೂಸ್ಬಂಪ್"/>
        <s v="ಬೆದರಿಕೆ"/>
        <s v="ಪ್ರುರಿಯಂಟ್"/>
        <s v="ಪವಿತ್ರವಾದ"/>
        <s v="ಮೇಲ್ನೋಟಕ್ಕೆ"/>
        <s v="ಅಭೂತಪೂರ್ವ"/>
        <s v="ಕುಶಾಗ್ರಮತಿ"/>
        <s v="ಎಲ್ಲವನ್ನೂ ಒಳಗೊಳ್ಳುವ"/>
        <s v="ಬ್ರೋಮೈಡ್"/>
        <s v="ತೃಪ್ತಿ"/>
        <s v="ಎಕ್ಸ್ಟ್ರಾಪೋಲೇಟ್"/>
        <s v="ಐಡಿಯಾಲಜಿ"/>
        <s v="ದೋಷಾರೋಪಣೆ ಮಾಡಿ"/>
        <s v="ಇನ್ಸುಲರ್"/>
        <s v="ಚಿಂತನಶೀಲ"/>
        <s v="ಸೋಫಿಸ್ಟ್"/>
        <s v="ಆಧಾರವಾಗಿರುವ"/>
        <s v="ತಪ್ಪಾಗಲಾರದು"/>
        <s v="ಆತಂಕ"/>
        <s v="ಕಂಪ್ಲೈಂಟ್"/>
        <s v="ನಿಂದಿಸಿ"/>
        <s v="ನಿರ್ಲಿಪ್ತ"/>
        <s v="ಮುನ್ನುಡಿ"/>
        <s v="ಶ್ಲಾಘನೀಯ"/>
        <s v="ಭಾರವಾದ"/>
        <s v="ಶೇಷ"/>
        <s v="ಶೋಚನೀಯ"/>
        <s v="ಇಳುವರಿ"/>
        <s v="ನಿರ್ಣಯ"/>
        <s v="ಮೆಲ್ಡಿಂಗ್"/>
        <s v="ಅವಧಿ ಮೀರಿದೆ"/>
        <s v="ಪನಾಚೆ"/>
        <s v="ಪೆಲುಸಿಡ್"/>
        <s v="ತರ್ಕಬದ್ಧ"/>
        <s v="ಸ್ಟ್ಯಾಂಚ್"/>
        <s v="ಟ್ರೀಟೈಸ್"/>
        <s v="ಪ್ರಕ್ಷುಬ್ಧತೆ"/>
        <s v="ಸೌಂದರ್ಯಾತ್ಮಕ"/>
        <s v="ಕಾಸ್ಟಿಕ್"/>
        <s v="ನಿರ್ಣಾಯಕ"/>
        <s v="ಅತಿಶಯ"/>
        <s v="ಫೆಸ್ಟರ್"/>
        <s v="ಗೇನ್ಸೇ"/>
        <s v="ತಲೆ"/>
        <s v="ಬಿಡುಗಡೆ ಮಾಡು"/>
        <s v="ಅತಿರೇಕದ"/>
        <s v="ಪಾರದರ್ಶಕತೆ"/>
        <s v="ವಿನೋದಪಡಿಸು"/>
        <s v="ಅನುಗುಣವಾಗಿ"/>
        <s v="ಸಹಾನುಭೂತಿ"/>
        <s v="ನೆಟಲ್ಸ್"/>
        <s v="ಪೋರ್ಟೆಂಡ್"/>
        <s v="ತೆಳ್ಳಗಿನ"/>
        <s v="ಅಫ್ರೆಂಟ್"/>
        <s v="ಬೂರಿಶ್"/>
        <s v="ಕಾಲೋ"/>
        <s v="ಕ್ರೆಸೆಂಡೋ"/>
        <s v="ಬಿಡಿಬಿಡಿ"/>
        <s v="ಫೆಕಂಡ್"/>
        <s v="ಜಿಗುಪ್ಸೆಯ"/>
        <s v="ಚೈತನ್ಯ ತುಂಬು"/>
        <s v="ತೊಡಗಿಸಿಕೊಂಡಿದೆ"/>
        <s v="ಪ್ರವೀಣ"/>
        <s v="ಪ್ರಮಾಣಾನುಗುಣ"/>
        <s v="ಪ್ರತೀಕಾರ ತೀರಿಸಿಕೊಳ್ಳಿ"/>
        <s v="ಅಂಡರ್ಕಟ್"/>
        <s v="ಅಫೇಬಲ್"/>
        <s v="ಬಟ್ರೆಸ್"/>
        <s v="ನಿಲುಗಡೆ"/>
        <s v="ಚಾಂಪಿಯನ್"/>
        <s v="ಕೋಡ್"/>
        <s v="ವಿವೇಚನಾಯುಕ್ತ"/>
        <s v="ಎಲಿಟಿಸ್ಟ್"/>
        <s v="ತಪ್ಪಿಸಿಕೊಳ್ಳು"/>
        <s v="ದೋಷಮುಕ್ತಗೊಳಿಸು"/>
        <s v="ಬೇರ್ಪಡಿಸಲಾಗದ"/>
        <s v="ಒಳಸಂಚು"/>
        <s v="ಸಾರ್ಥಕ"/>
        <s v="ಮುರ್ಕಿ"/>
        <s v="ನಾಸೆಂಟ್"/>
        <s v="ಸಬ್ವರ್ಶನ್"/>
        <s v="ಉಪಾಖ್ಯಾನ"/>
        <s v="ಬಡಿವಾರ"/>
        <s v="ಸಮ್ಮತಿಸಿ"/>
        <s v="ಅಡ್ಡಿಪಡಿಸಿ"/>
        <s v="ಕ್ವಿಕ್ಸೋಟಿಕ್"/>
        <s v="ರಾಂಬಲ್"/>
        <s v="ರೂಡಿಮೆಂಟರಿ"/>
        <s v="ಸ್ವಯಂ ಸಾಕ್ಷಿ"/>
        <s v="ಟೆಮೆರೇರಿಯಸ್"/>
        <s v="ದಬ್ಬಾಳಿಕೆಯ"/>
        <s v="ಕೂಟ"/>
        <s v="ದೈವೀಕರಿಸು"/>
        <s v="ಇಂಟರ್ವೀವ್"/>
        <s v="ಮಾರುಕಟ್ಟೆ ಮಾಡಬಹುದಾದ"/>
        <s v="ಐಶ್ವರ್ಯವಂತ"/>
        <s v="ಹಳತಾಗಿದೆ"/>
        <s v="ಪ್ರವಾದಿಯ"/>
        <s v="ಗುಟ್ಟಾದ"/>
        <s v="ಅಂಬ್ರೇಜ್"/>
        <s v="ಅಚಾತುರ್ಯ"/>
        <s v="ವ್ಯತಿರಿಕ್ತ"/>
        <s v="ವಿತರಿಸು"/>
        <s v="ಸಮಾನ"/>
        <s v="ಜಿಂಕೆ"/>
        <s v="ತುಂಬಿದೆ"/>
        <s v="ದುಷ್ಕೃತ್ಯ"/>
        <s v="ಸಾಧಾರಣ"/>
        <s v="ಮನವೊಲಿಸುವ"/>
        <s v="ಪ್ಲೈಂಟ್"/>
        <s v="ಸೋಮಾರಿತನ"/>
        <s v="ಮಾರಣಾಂತಿಕ"/>
        <s v="ಒಪ್ಪಿಗೆ"/>
        <s v="ಅಸ್ಫಾಟಿಕ"/>
        <s v="ಕಳಂಕ"/>
        <s v="ಸಂಕ್ಷಿಪ್ತತೆ"/>
        <s v="ಡಿಮಿಸ್ಟಿಫೈ"/>
        <s v="ವೈಭವೀಕರಣ"/>
        <s v="ಹೆಡ್ ಸ್ಟ್ರಾಂಗ್"/>
        <s v="ಕಾದಂಬರಿ"/>
        <s v="ಸೂಕ್ಷ್ಮವಾಗಿ ಪರಿಶೀಲಿಸು"/>
        <s v="ಚಾರಿ"/>
        <s v="ನಿರ್ಬಂಧಿಸುವುದು"/>
        <s v="ಕರ್ಸರಿ"/>
        <s v="ಸಾರಸಂಗ್ರಹಿ"/>
        <s v="ಅಕ್ಷಯ"/>
        <s v="ಎತ್ತರದ"/>
        <s v="ಪುನರ್ಯೌವನಗೊಳಿಸು"/>
        <s v="ಜೆನಿತ್"/>
        <s v="ತಳಮಳಗೊಳಿಸು"/>
        <s v="ಕೊಳೆತ"/>
        <s v="ತೇಲುವಿಕೆ"/>
        <s v="ಶರಣಾಗತಿ"/>
        <s v="ಕ್ಯಾಪ್ಟಿಯಸ್"/>
        <s v="ಗಡಿಯಾರ"/>
        <s v="ಕಾಸ್ಮೋಪಾಲಿಟನ್"/>
        <s v="ಆರ್ಥಿಕ"/>
        <s v="ಸ್ಥಳೀಯ"/>
        <s v="ಸಂಭ್ರಮದ"/>
        <s v="ಜೋಡಣೆ"/>
        <s v="ಕಿಂಡ್ರೆಡ್"/>
        <s v="ಅಳಲು"/>
        <s v="ಹಸ್ತಕ್ಷೇಪ ಮಾಡದ"/>
        <s v="ಒಸಿಫೈ"/>
        <s v="ಮಿತಿಮೀರಿದ"/>
        <s v="ಮಾದರಿ"/>
        <s v="ತಲ್ಲಣ"/>
        <s v="ಸ್ಕ್ವಾಂಡರ್"/>
        <s v="ಮೆಚ್ಚುಗೆ"/>
        <s v="ಅಭಿಮಾನ"/>
        <s v="ಕ್ಯಾಥರ್ಟಿಕ್"/>
        <s v="ಡೌಡಿ"/>
        <s v="ಡ್ರಾಲ್"/>
        <s v="ದೇಶಭ್ರಷ್ಟ"/>
        <s v="ದೃಢತೆ"/>
        <s v="ಎನ್ಫೀಬಲ್"/>
        <s v="ವಿಪರೀತ"/>
        <s v="ತಿವಿಗೋಲು"/>
        <s v="ಪರಿಗಣಿಸಲಾಗದ"/>
        <s v="ಮಾರಕ"/>
        <s v="ಮೌಕಿಶ್"/>
        <s v="ಲೌಕಿಕ"/>
        <s v="ಮಬ್ಬುಗೊಳಿಸು"/>
        <s v="ಟೌಟ್"/>
        <s v="ಕಡಿಮೆಯಾಗದ"/>
        <s v="ದೂರವಿರಿ"/>
        <s v="ಪ್ರತಿಕೂಲ"/>
        <s v="ಪ್ರಯಾಸಕರ"/>
        <s v="ಸ್ವಾಯತ್ತ"/>
        <s v="ಬ್ರಿಡ್ಲ್"/>
        <s v="ಕ್ಯಾನಿ"/>
        <s v="ಕನ್ಸೆಸೆಂಡಿಂಗ್"/>
        <s v="ಡಿಸ್ಕನ್ಸರ್ಟ್"/>
        <s v="ಡ್ರಾಕೋನಿಯನ್"/>
        <s v="ಇವಾನೆಸೆಂಟ್"/>
        <s v="ಎಕ್ಸಿಜೆಂಟ್"/>
        <s v="ದೂರದೃಷ್ಟಿಯುಳ್ಳ"/>
        <s v="ಪ್ರೇರೇಪಿಸು"/>
        <s v="ಲುಮಿನರಿ"/>
        <s v="ಕೂಲಿ"/>
        <s v="ಮಿಸ್ಟಿಫಿಕೇಶನ್"/>
        <s v="ಕಡಿಮೆ"/>
        <s v="ಶ್ರೀಮಂತಿಕೆ"/>
        <s v="ದುರಾಸೆಯ"/>
        <s v="ಕ್ಲೆರಿಕಲ್"/>
        <s v="ಸಾಮಾನ್ಯ"/>
        <s v="ಅತಿಕ್ರಮಣ ಮಾಡಿ"/>
        <s v="ಕಪೋಲಕಲ್ಪಿತ"/>
        <s v="ನಿಷ್ಕಳಂಕ"/>
        <s v="ನಿರ್ವಿವಾದ"/>
        <s v="ನಿರಾಕರಿಸಲಾಗದ"/>
        <s v="ಮ್ಯಾಕಬ್ರೆ"/>
        <s v="ಔಟ್ಸ್ಟ್ರಿಪ್"/>
        <s v="ಪರಿಷ್ಕರಿಸಿ"/>
        <s v="ಪರಿಣಾಮ"/>
        <s v="ಕೃಷಿ ಮಾಡದ"/>
        <s v="ಆಡಂಬರವಿಲ್ಲದ"/>
        <s v="ಬಯಸುತ್ತಿದ್ದಾರೆ"/>
        <s v="ಅಸ್ಪಷ್ಟತೆ"/>
        <s v="ಪ್ರಾಚೀನತೆ"/>
        <s v="ಬೊಲ್ಸ್ಟರ್"/>
        <s v="ಚಿಕಾನರಿ"/>
        <s v="ಅಭಿವೃದ್ಧಿಗೊಳಿಸು"/>
        <s v="ಪ್ರಾಯೋಗಿಕ"/>
        <s v="ನಮನ"/>
        <s v="ಅವಕಾಶವಾದ"/>
        <s v="ಸಮತೋಲನ"/>
        <s v="ಜನನಿಬಿಡ"/>
        <s v="ಸವಿಯಿರಿ"/>
        <s v="ನಿರಾಭರಣ"/>
        <s v="ಪ್ರವೇಶಿಸಬಹುದು"/>
        <s v="ಅನಾಕ್ರೊನಿಸಂ"/>
        <s v="ಕಲಾಹೀನ"/>
        <s v="ಯೋಚಿಸು"/>
        <s v="ಸಾಂಪ್ರದಾಯಿಕ"/>
        <s v="ಕೊರತೆ"/>
        <s v="ಖಂಡಿಸು"/>
        <s v="ಡಾಗ್ಮ್ಯಾಟಿಕ್"/>
        <s v="ಯೂಫೋರಿಕ್"/>
        <s v="ಎಕ್ಸ್ಟೋಲ್"/>
        <s v="ಮುಖವಾಡ"/>
        <s v="ಪೆಟ್ಯುಲಂಟ್"/>
        <s v="ಪೂರ್ವಯೋಜಿತ"/>
        <s v="ಸಮನ್ವಯಗೊಳಿಸು"/>
        <s v="ಸೆಕೆಂಡ್ ಹ್ಯಾಂಡ್"/>
        <s v="ಶ್ರಿಲ್"/>
        <s v="ವಿಶೇಷವಾದ"/>
        <s v="ವ್ಯಭಿಚಾರ"/>
        <s v="ಆರ್ಡೆಂಟ್"/>
        <s v="ಡೆರಿಡ್"/>
        <s v="ಡೆಸಿಕೇಟ್"/>
        <s v="ಫೋಮೆಂಟ್"/>
        <s v="ಫಲಪ್ರದ"/>
        <s v="ಗಾರ್ರುಲಸ್"/>
        <s v="ಹೆಣೆದುಕೊಂಡಿದೆ"/>
        <s v="ಪಕ್ಷಪಾತ"/>
        <s v="ಪರಾಕ್ರಮ"/>
        <s v="ಪ್ರಚೋದಿಸಿ"/>
        <s v="ಮೇಲ್ನೋಟದ"/>
        <s v="ಕಡಿಮೆ ವರದಿ ಮಾಡಿ"/>
        <s v="ಸದೃಶ"/>
        <s v="ಪಿತೂರಿ"/>
        <s v="ಹಸು"/>
        <s v="ಅಲ್ಪಕಾಲಿಕ"/>
        <s v="ಸೌಮ್ಯೋಕ್ತಿ"/>
        <s v="ಮೆಟೀರಿಯಲ್ ಮಾಡಿ"/>
        <s v="ಮರ್ಕ್ಯುರಿಯಲ್"/>
        <s v="ಮೆಟಲ್ಸಮ್"/>
        <s v="ಮಿಮಿಕ್"/>
        <s v="ಒಬ್ಸೆಕ್ವಿಯಸ್"/>
        <s v="ಪುನರಾವರ್ತಿಸಿ"/>
        <s v="ಪಕ್ಕದಲ್ಲಿ"/>
        <s v="ಆಸ್ಪರ್ಶನ್"/>
        <s v="ಸಂಕೋಚಕ"/>
        <s v="ಬಲೂನ್"/>
        <s v="ಹಾಸ್ಯಗಾರ"/>
        <s v="ಬೊಂಬಾಸ್ಟಿಕ್"/>
        <s v="ಸುತ್ತೋಲೆ"/>
        <s v="ಖಂಡನೆಗಳು"/>
        <s v="ಸಿನಿಕತನದ"/>
        <s v="ಅವಮಾನ"/>
        <s v="ವಿರೂಪಗೊಳಿಸು"/>
        <s v="ಭೂತೋಚ್ಚಾಟನೆ"/>
        <s v="ಮಲಾಡಿ"/>
        <s v="ನಾನ್ಚಾಲಂಟ್"/>
        <s v="ವಿಮೋಚನೆ"/>
        <s v="ರಿಮೋಟ್"/>
        <s v="ಮೆಲುಕು ಹಾಕು"/>
        <s v="ಸಂಶ್ಲೇಷಿಸಿ"/>
        <s v="ಯುದ್ಧ"/>
        <s v="ಹಾರಂಗ್ಯೂ"/>
        <s v="ಅಸಮರ್ಥ"/>
        <s v="ಗ್ರಾಮೀಣ"/>
        <s v="ಪ್ಲಾಸ್ಟಿಕ್"/>
        <s v="ಕೋಟಿಡಿಯನ್"/>
        <s v="ಮಂಜೂರಾತಿ"/>
        <s v="ಹೊಡೆದಾಟ"/>
        <s v="ಶೋಧಿಸಿ"/>
        <s v="ಸೊರ್ಡಿಡ್"/>
        <s v="ಚಾತುರ್ಯವಿಲ್ಲದ"/>
        <s v="ಪ್ರವೃತ್ತಿಯ"/>
        <s v="ಸೊಗಸಾಗಿದೆ"/>
        <s v="ಟಾರ್ಪೋರ್"/>
        <s v="ಟ್ರಾನ್ಸಿಟರಿ"/>
        <s v="ವ್ಯಾಸಿಲೇಟ್"/>
        <s v="ವಿರೋಧಾತ್ಮಕ"/>
        <s v="ಅನುಗುಣವಾದ"/>
        <s v="ಬ್ರಾವಾಡೋ"/>
        <s v="ಕ್ಯಾಂಡರ್"/>
        <s v="ಕನ್ವಿಕ್ಷನ್"/>
        <s v="ನಿರ್ಬಂಧ"/>
        <s v="ಸ್ಪರ್ನ್"/>
        <s v="ರದ್ದುಮಾಡು"/>
        <s v="ಪ್ರಮಾಣೀಕರಿಸಲಾಗದ"/>
        <s v="ಬೇರಿಂಗ್"/>
        <s v="ಬರ್ಜನ್"/>
        <s v="ಅಪಶ್ರುತಿ"/>
        <s v="ರಿಯಾಯಿತಿ"/>
        <s v="ಉನ್ಮಾದದ"/>
        <s v="ತನಿಖೆ"/>
        <s v="ಉಪಶಮನ"/>
        <s v="ಪರಿಶ್ರಮ"/>
        <s v="ಅಭಿಷೇಕ ಮಾಡು"/>
        <s v="ಬೃಹದಾಕಾರದ"/>
        <s v="ಕಾಮಿಟಿ"/>
        <s v="ಫೆಕ್ಲೆಸ್"/>
        <s v="ಊಹಿಸಿಕೊಳ್ಳಿ"/>
        <s v="ಕಠಿಣ"/>
        <s v="ಟಿರೇಡ್"/>
        <s v="ಶೌರ್ಯ"/>
        <s v="ಅಬ್ಬರಿಸುವ"/>
        <s v="ಅಂಟಿಕೊಳ್ಳುವ"/>
        <s v="ಅನಾಕ್ರೊನಿಸ್ಟಿಕ್"/>
        <s v="Aver"/>
        <s v="ಕೋಜೆಂಟ್"/>
        <s v="ಷರತ್ತುಬದ್ಧ"/>
        <s v="ಅಪರಾಧಿ"/>
        <s v="ಫ್ಯೂಷನ್"/>
        <s v="ಮ್ಯಾನಾಕಲ್"/>
        <s v="ಒಪ್ರೊಬ್ರಿಯಮ್"/>
        <s v="ಕ್ವಾಶ್"/>
        <s v="ಹೊಂದಾಣಿಕೆ"/>
        <s v="ಸ್ಟೊಯಿಕ್"/>
        <s v="ಸ್ಟೋಲಿಡ್"/>
        <s v="ಟೆಂಪ್ಟಿಂಗ್"/>
        <s v="ತಿರುಚಿದ"/>
        <s v="ವಿವಾದಾತೀತ"/>
        <s v="ದೂರವಾದ"/>
        <s v="ಆಶ್ಚರ್ಯಕರ"/>
        <s v="ಬ್ರಾಂಡಿಶ್"/>
        <s v="ಸಂದಿಗ್ಧತೆ"/>
        <s v="ಚದುರಿಸು"/>
        <s v="ಈರೋಡ್"/>
        <s v="ಫ್ಯಾಬ್ರಿಕೇಟ್"/>
        <s v="ಹ್ಯಾರೋ"/>
        <s v="ಅಸಂಭವ"/>
        <s v="ಸಾಂಗೈನ್"/>
        <s v="ಶಿರ್ಕ್"/>
        <s v="ತಲೆಬುರುಡೆ"/>
        <s v="ಸೋಮ್ನೋಲೆಂಟ್"/>
        <s v="ಕಾರ್ಯತಂತ್ರದ"/>
        <s v="ವಕೀಲ"/>
        <s v="ಗಾಬರಿ"/>
        <s v="ಬೋಗಸ್"/>
        <s v="ದೃಢೀಕರಿಸಿ"/>
        <s v="ಪದಚ್ಯುತಗೊಳಿಸು"/>
        <s v="ಇಬ್ಭಾಗ"/>
        <s v="ಡಿಸ್ಜಂಕ್ಷನ್"/>
        <s v="ವ್ಯಾಖ್ಯಾನ"/>
        <s v="ದೂರದೃಷ್ಟಿ"/>
        <s v="ಅವಿಶ್ರಾಂತ"/>
        <s v="ನಾನ್‌ಪ್ಲಸ್ಡ್"/>
        <s v="ಹಾನಿಕಾರಕ"/>
        <s v="ಅಗಾಧತೆ"/>
        <s v="ಪ್ರೋಲಿಕ್ಸ್"/>
        <s v="ಪುನರಾವಲೋಕನ ಮಾಡಿ"/>
        <s v="ಪಾಕವಿಧಾನ"/>
        <s v="ತಿರಸ್ಕಾರಭರಿತ"/>
        <s v="ನೀರಸ"/>
      </sharedItems>
    </cacheField>
  </cacheFields>
</pivotCacheDefinition>
</file>

<file path=xl/pivotCache/pivotCacheRecords1.xml><?xml version="1.0" encoding="utf-8"?>
<pivotCacheRecords xmlns="http://schemas.openxmlformats.org/spreadsheetml/2006/main" xmlns:r="http://schemas.openxmlformats.org/officeDocument/2006/relationships" count="1545">
  <r>
    <x v="0"/>
    <x v="0"/>
    <x v="0"/>
    <x v="0"/>
    <x v="0"/>
    <x v="0"/>
    <x v="0"/>
    <x v="0"/>
    <x v="0"/>
    <x v="0"/>
    <x v="0"/>
    <x v="0"/>
  </r>
  <r>
    <x v="1"/>
    <x v="0"/>
    <x v="1"/>
    <x v="0"/>
    <x v="0"/>
    <x v="0"/>
    <x v="1"/>
    <x v="1"/>
    <x v="0"/>
    <x v="0"/>
    <x v="0"/>
    <x v="1"/>
  </r>
  <r>
    <x v="2"/>
    <x v="0"/>
    <x v="2"/>
    <x v="1"/>
    <x v="1"/>
    <x v="1"/>
    <x v="2"/>
    <x v="2"/>
    <x v="0"/>
    <x v="0"/>
    <x v="0"/>
    <x v="2"/>
  </r>
  <r>
    <x v="3"/>
    <x v="0"/>
    <x v="3"/>
    <x v="0"/>
    <x v="0"/>
    <x v="0"/>
    <x v="3"/>
    <x v="3"/>
    <x v="0"/>
    <x v="0"/>
    <x v="0"/>
    <x v="2"/>
  </r>
  <r>
    <x v="4"/>
    <x v="0"/>
    <x v="4"/>
    <x v="0"/>
    <x v="2"/>
    <x v="2"/>
    <x v="3"/>
    <x v="4"/>
    <x v="0"/>
    <x v="0"/>
    <x v="0"/>
    <x v="3"/>
  </r>
  <r>
    <x v="5"/>
    <x v="0"/>
    <x v="5"/>
    <x v="2"/>
    <x v="3"/>
    <x v="3"/>
    <x v="4"/>
    <x v="5"/>
    <x v="0"/>
    <x v="0"/>
    <x v="0"/>
    <x v="3"/>
  </r>
  <r>
    <x v="6"/>
    <x v="0"/>
    <x v="6"/>
    <x v="3"/>
    <x v="0"/>
    <x v="4"/>
    <x v="5"/>
    <x v="6"/>
    <x v="0"/>
    <x v="0"/>
    <x v="0"/>
    <x v="4"/>
  </r>
  <r>
    <x v="7"/>
    <x v="0"/>
    <x v="7"/>
    <x v="0"/>
    <x v="0"/>
    <x v="0"/>
    <x v="2"/>
    <x v="7"/>
    <x v="0"/>
    <x v="0"/>
    <x v="0"/>
    <x v="5"/>
  </r>
  <r>
    <x v="8"/>
    <x v="0"/>
    <x v="8"/>
    <x v="4"/>
    <x v="1"/>
    <x v="5"/>
    <x v="0"/>
    <x v="8"/>
    <x v="0"/>
    <x v="0"/>
    <x v="0"/>
    <x v="6"/>
  </r>
  <r>
    <x v="9"/>
    <x v="0"/>
    <x v="9"/>
    <x v="0"/>
    <x v="0"/>
    <x v="0"/>
    <x v="4"/>
    <x v="9"/>
    <x v="0"/>
    <x v="0"/>
    <x v="0"/>
    <x v="6"/>
  </r>
  <r>
    <x v="10"/>
    <x v="0"/>
    <x v="10"/>
    <x v="0"/>
    <x v="0"/>
    <x v="0"/>
    <x v="2"/>
    <x v="10"/>
    <x v="0"/>
    <x v="0"/>
    <x v="0"/>
    <x v="7"/>
  </r>
  <r>
    <x v="11"/>
    <x v="0"/>
    <x v="11"/>
    <x v="4"/>
    <x v="0"/>
    <x v="6"/>
    <x v="2"/>
    <x v="11"/>
    <x v="0"/>
    <x v="0"/>
    <x v="0"/>
    <x v="7"/>
  </r>
  <r>
    <x v="12"/>
    <x v="0"/>
    <x v="12"/>
    <x v="4"/>
    <x v="0"/>
    <x v="6"/>
    <x v="5"/>
    <x v="12"/>
    <x v="0"/>
    <x v="0"/>
    <x v="0"/>
    <x v="8"/>
  </r>
  <r>
    <x v="13"/>
    <x v="0"/>
    <x v="13"/>
    <x v="4"/>
    <x v="4"/>
    <x v="7"/>
    <x v="5"/>
    <x v="13"/>
    <x v="0"/>
    <x v="0"/>
    <x v="0"/>
    <x v="9"/>
  </r>
  <r>
    <x v="14"/>
    <x v="0"/>
    <x v="14"/>
    <x v="0"/>
    <x v="0"/>
    <x v="0"/>
    <x v="6"/>
    <x v="14"/>
    <x v="0"/>
    <x v="0"/>
    <x v="0"/>
    <x v="10"/>
  </r>
  <r>
    <x v="15"/>
    <x v="1"/>
    <x v="15"/>
    <x v="3"/>
    <x v="5"/>
    <x v="8"/>
    <x v="6"/>
    <x v="15"/>
    <x v="0"/>
    <x v="0"/>
    <x v="0"/>
    <x v="11"/>
  </r>
  <r>
    <x v="16"/>
    <x v="1"/>
    <x v="16"/>
    <x v="3"/>
    <x v="0"/>
    <x v="4"/>
    <x v="5"/>
    <x v="16"/>
    <x v="0"/>
    <x v="0"/>
    <x v="0"/>
    <x v="11"/>
  </r>
  <r>
    <x v="17"/>
    <x v="1"/>
    <x v="17"/>
    <x v="4"/>
    <x v="0"/>
    <x v="6"/>
    <x v="4"/>
    <x v="17"/>
    <x v="0"/>
    <x v="1"/>
    <x v="0"/>
    <x v="0"/>
  </r>
  <r>
    <x v="18"/>
    <x v="1"/>
    <x v="18"/>
    <x v="4"/>
    <x v="5"/>
    <x v="9"/>
    <x v="0"/>
    <x v="18"/>
    <x v="0"/>
    <x v="2"/>
    <x v="0"/>
    <x v="0"/>
  </r>
  <r>
    <x v="19"/>
    <x v="1"/>
    <x v="19"/>
    <x v="0"/>
    <x v="0"/>
    <x v="0"/>
    <x v="2"/>
    <x v="19"/>
    <x v="0"/>
    <x v="0"/>
    <x v="0"/>
    <x v="0"/>
  </r>
  <r>
    <x v="20"/>
    <x v="1"/>
    <x v="20"/>
    <x v="3"/>
    <x v="0"/>
    <x v="4"/>
    <x v="1"/>
    <x v="20"/>
    <x v="0"/>
    <x v="0"/>
    <x v="0"/>
    <x v="1"/>
  </r>
  <r>
    <x v="21"/>
    <x v="1"/>
    <x v="21"/>
    <x v="0"/>
    <x v="0"/>
    <x v="0"/>
    <x v="4"/>
    <x v="21"/>
    <x v="0"/>
    <x v="0"/>
    <x v="0"/>
    <x v="1"/>
  </r>
  <r>
    <x v="22"/>
    <x v="1"/>
    <x v="22"/>
    <x v="0"/>
    <x v="6"/>
    <x v="10"/>
    <x v="7"/>
    <x v="22"/>
    <x v="0"/>
    <x v="0"/>
    <x v="0"/>
    <x v="3"/>
  </r>
  <r>
    <x v="23"/>
    <x v="1"/>
    <x v="23"/>
    <x v="0"/>
    <x v="4"/>
    <x v="11"/>
    <x v="3"/>
    <x v="23"/>
    <x v="0"/>
    <x v="0"/>
    <x v="0"/>
    <x v="3"/>
  </r>
  <r>
    <x v="24"/>
    <x v="1"/>
    <x v="24"/>
    <x v="4"/>
    <x v="0"/>
    <x v="6"/>
    <x v="5"/>
    <x v="24"/>
    <x v="0"/>
    <x v="0"/>
    <x v="0"/>
    <x v="7"/>
  </r>
  <r>
    <x v="25"/>
    <x v="1"/>
    <x v="25"/>
    <x v="3"/>
    <x v="0"/>
    <x v="4"/>
    <x v="0"/>
    <x v="25"/>
    <x v="0"/>
    <x v="0"/>
    <x v="0"/>
    <x v="7"/>
  </r>
  <r>
    <x v="26"/>
    <x v="1"/>
    <x v="26"/>
    <x v="4"/>
    <x v="6"/>
    <x v="12"/>
    <x v="3"/>
    <x v="26"/>
    <x v="0"/>
    <x v="0"/>
    <x v="0"/>
    <x v="7"/>
  </r>
  <r>
    <x v="27"/>
    <x v="1"/>
    <x v="27"/>
    <x v="3"/>
    <x v="1"/>
    <x v="13"/>
    <x v="2"/>
    <x v="27"/>
    <x v="0"/>
    <x v="0"/>
    <x v="0"/>
    <x v="7"/>
  </r>
  <r>
    <x v="28"/>
    <x v="2"/>
    <x v="28"/>
    <x v="5"/>
    <x v="0"/>
    <x v="14"/>
    <x v="6"/>
    <x v="28"/>
    <x v="0"/>
    <x v="0"/>
    <x v="0"/>
    <x v="11"/>
  </r>
  <r>
    <x v="29"/>
    <x v="2"/>
    <x v="29"/>
    <x v="5"/>
    <x v="0"/>
    <x v="14"/>
    <x v="1"/>
    <x v="29"/>
    <x v="0"/>
    <x v="0"/>
    <x v="0"/>
    <x v="11"/>
  </r>
  <r>
    <x v="30"/>
    <x v="2"/>
    <x v="30"/>
    <x v="3"/>
    <x v="0"/>
    <x v="4"/>
    <x v="2"/>
    <x v="30"/>
    <x v="0"/>
    <x v="0"/>
    <x v="0"/>
    <x v="11"/>
  </r>
  <r>
    <x v="31"/>
    <x v="2"/>
    <x v="31"/>
    <x v="1"/>
    <x v="5"/>
    <x v="15"/>
    <x v="4"/>
    <x v="31"/>
    <x v="0"/>
    <x v="0"/>
    <x v="0"/>
    <x v="12"/>
  </r>
  <r>
    <x v="32"/>
    <x v="2"/>
    <x v="32"/>
    <x v="3"/>
    <x v="4"/>
    <x v="16"/>
    <x v="4"/>
    <x v="32"/>
    <x v="0"/>
    <x v="0"/>
    <x v="0"/>
    <x v="0"/>
  </r>
  <r>
    <x v="33"/>
    <x v="2"/>
    <x v="33"/>
    <x v="0"/>
    <x v="0"/>
    <x v="0"/>
    <x v="2"/>
    <x v="33"/>
    <x v="0"/>
    <x v="0"/>
    <x v="0"/>
    <x v="0"/>
  </r>
  <r>
    <x v="34"/>
    <x v="2"/>
    <x v="34"/>
    <x v="0"/>
    <x v="0"/>
    <x v="0"/>
    <x v="3"/>
    <x v="34"/>
    <x v="0"/>
    <x v="0"/>
    <x v="0"/>
    <x v="2"/>
  </r>
  <r>
    <x v="35"/>
    <x v="2"/>
    <x v="35"/>
    <x v="0"/>
    <x v="0"/>
    <x v="0"/>
    <x v="7"/>
    <x v="35"/>
    <x v="0"/>
    <x v="0"/>
    <x v="0"/>
    <x v="3"/>
  </r>
  <r>
    <x v="36"/>
    <x v="2"/>
    <x v="36"/>
    <x v="3"/>
    <x v="5"/>
    <x v="8"/>
    <x v="2"/>
    <x v="36"/>
    <x v="0"/>
    <x v="0"/>
    <x v="0"/>
    <x v="3"/>
  </r>
  <r>
    <x v="37"/>
    <x v="2"/>
    <x v="37"/>
    <x v="0"/>
    <x v="0"/>
    <x v="0"/>
    <x v="7"/>
    <x v="37"/>
    <x v="0"/>
    <x v="0"/>
    <x v="0"/>
    <x v="6"/>
  </r>
  <r>
    <x v="38"/>
    <x v="2"/>
    <x v="38"/>
    <x v="0"/>
    <x v="0"/>
    <x v="0"/>
    <x v="4"/>
    <x v="38"/>
    <x v="0"/>
    <x v="0"/>
    <x v="0"/>
    <x v="7"/>
  </r>
  <r>
    <x v="39"/>
    <x v="2"/>
    <x v="39"/>
    <x v="3"/>
    <x v="0"/>
    <x v="4"/>
    <x v="3"/>
    <x v="39"/>
    <x v="0"/>
    <x v="0"/>
    <x v="0"/>
    <x v="7"/>
  </r>
  <r>
    <x v="40"/>
    <x v="2"/>
    <x v="40"/>
    <x v="0"/>
    <x v="0"/>
    <x v="0"/>
    <x v="5"/>
    <x v="40"/>
    <x v="0"/>
    <x v="0"/>
    <x v="0"/>
    <x v="13"/>
  </r>
  <r>
    <x v="41"/>
    <x v="2"/>
    <x v="41"/>
    <x v="0"/>
    <x v="4"/>
    <x v="11"/>
    <x v="7"/>
    <x v="41"/>
    <x v="0"/>
    <x v="0"/>
    <x v="0"/>
    <x v="9"/>
  </r>
  <r>
    <x v="42"/>
    <x v="2"/>
    <x v="42"/>
    <x v="0"/>
    <x v="4"/>
    <x v="11"/>
    <x v="4"/>
    <x v="42"/>
    <x v="0"/>
    <x v="0"/>
    <x v="0"/>
    <x v="14"/>
  </r>
  <r>
    <x v="43"/>
    <x v="2"/>
    <x v="43"/>
    <x v="3"/>
    <x v="0"/>
    <x v="4"/>
    <x v="6"/>
    <x v="43"/>
    <x v="0"/>
    <x v="0"/>
    <x v="0"/>
    <x v="15"/>
  </r>
  <r>
    <x v="44"/>
    <x v="3"/>
    <x v="44"/>
    <x v="5"/>
    <x v="0"/>
    <x v="14"/>
    <x v="5"/>
    <x v="44"/>
    <x v="0"/>
    <x v="0"/>
    <x v="0"/>
    <x v="11"/>
  </r>
  <r>
    <x v="45"/>
    <x v="3"/>
    <x v="45"/>
    <x v="6"/>
    <x v="7"/>
    <x v="17"/>
    <x v="5"/>
    <x v="45"/>
    <x v="0"/>
    <x v="0"/>
    <x v="0"/>
    <x v="12"/>
  </r>
  <r>
    <x v="46"/>
    <x v="3"/>
    <x v="46"/>
    <x v="0"/>
    <x v="0"/>
    <x v="0"/>
    <x v="3"/>
    <x v="46"/>
    <x v="0"/>
    <x v="0"/>
    <x v="0"/>
    <x v="0"/>
  </r>
  <r>
    <x v="47"/>
    <x v="3"/>
    <x v="47"/>
    <x v="1"/>
    <x v="2"/>
    <x v="18"/>
    <x v="3"/>
    <x v="47"/>
    <x v="0"/>
    <x v="0"/>
    <x v="0"/>
    <x v="0"/>
  </r>
  <r>
    <x v="48"/>
    <x v="3"/>
    <x v="48"/>
    <x v="4"/>
    <x v="0"/>
    <x v="6"/>
    <x v="7"/>
    <x v="48"/>
    <x v="0"/>
    <x v="0"/>
    <x v="0"/>
    <x v="1"/>
  </r>
  <r>
    <x v="49"/>
    <x v="3"/>
    <x v="49"/>
    <x v="6"/>
    <x v="1"/>
    <x v="19"/>
    <x v="5"/>
    <x v="49"/>
    <x v="0"/>
    <x v="0"/>
    <x v="0"/>
    <x v="2"/>
  </r>
  <r>
    <x v="50"/>
    <x v="3"/>
    <x v="50"/>
    <x v="4"/>
    <x v="2"/>
    <x v="20"/>
    <x v="6"/>
    <x v="50"/>
    <x v="0"/>
    <x v="0"/>
    <x v="0"/>
    <x v="2"/>
  </r>
  <r>
    <x v="51"/>
    <x v="3"/>
    <x v="51"/>
    <x v="1"/>
    <x v="1"/>
    <x v="1"/>
    <x v="6"/>
    <x v="51"/>
    <x v="0"/>
    <x v="0"/>
    <x v="0"/>
    <x v="2"/>
  </r>
  <r>
    <x v="52"/>
    <x v="3"/>
    <x v="52"/>
    <x v="0"/>
    <x v="0"/>
    <x v="0"/>
    <x v="2"/>
    <x v="52"/>
    <x v="0"/>
    <x v="0"/>
    <x v="0"/>
    <x v="5"/>
  </r>
  <r>
    <x v="53"/>
    <x v="3"/>
    <x v="53"/>
    <x v="0"/>
    <x v="0"/>
    <x v="0"/>
    <x v="0"/>
    <x v="53"/>
    <x v="0"/>
    <x v="0"/>
    <x v="0"/>
    <x v="5"/>
  </r>
  <r>
    <x v="54"/>
    <x v="3"/>
    <x v="54"/>
    <x v="0"/>
    <x v="0"/>
    <x v="0"/>
    <x v="1"/>
    <x v="54"/>
    <x v="0"/>
    <x v="0"/>
    <x v="0"/>
    <x v="5"/>
  </r>
  <r>
    <x v="55"/>
    <x v="3"/>
    <x v="55"/>
    <x v="6"/>
    <x v="0"/>
    <x v="21"/>
    <x v="5"/>
    <x v="55"/>
    <x v="0"/>
    <x v="0"/>
    <x v="0"/>
    <x v="5"/>
  </r>
  <r>
    <x v="56"/>
    <x v="3"/>
    <x v="56"/>
    <x v="0"/>
    <x v="0"/>
    <x v="0"/>
    <x v="1"/>
    <x v="56"/>
    <x v="0"/>
    <x v="0"/>
    <x v="0"/>
    <x v="5"/>
  </r>
  <r>
    <x v="57"/>
    <x v="3"/>
    <x v="57"/>
    <x v="3"/>
    <x v="0"/>
    <x v="4"/>
    <x v="7"/>
    <x v="57"/>
    <x v="0"/>
    <x v="0"/>
    <x v="0"/>
    <x v="5"/>
  </r>
  <r>
    <x v="58"/>
    <x v="3"/>
    <x v="58"/>
    <x v="0"/>
    <x v="4"/>
    <x v="11"/>
    <x v="5"/>
    <x v="58"/>
    <x v="0"/>
    <x v="0"/>
    <x v="0"/>
    <x v="5"/>
  </r>
  <r>
    <x v="59"/>
    <x v="3"/>
    <x v="59"/>
    <x v="4"/>
    <x v="0"/>
    <x v="6"/>
    <x v="2"/>
    <x v="59"/>
    <x v="0"/>
    <x v="0"/>
    <x v="0"/>
    <x v="7"/>
  </r>
  <r>
    <x v="60"/>
    <x v="3"/>
    <x v="60"/>
    <x v="4"/>
    <x v="0"/>
    <x v="6"/>
    <x v="1"/>
    <x v="60"/>
    <x v="0"/>
    <x v="0"/>
    <x v="0"/>
    <x v="7"/>
  </r>
  <r>
    <x v="61"/>
    <x v="3"/>
    <x v="61"/>
    <x v="4"/>
    <x v="0"/>
    <x v="6"/>
    <x v="1"/>
    <x v="61"/>
    <x v="0"/>
    <x v="0"/>
    <x v="0"/>
    <x v="7"/>
  </r>
  <r>
    <x v="62"/>
    <x v="3"/>
    <x v="62"/>
    <x v="4"/>
    <x v="0"/>
    <x v="6"/>
    <x v="2"/>
    <x v="62"/>
    <x v="0"/>
    <x v="0"/>
    <x v="0"/>
    <x v="7"/>
  </r>
  <r>
    <x v="63"/>
    <x v="3"/>
    <x v="63"/>
    <x v="4"/>
    <x v="0"/>
    <x v="6"/>
    <x v="7"/>
    <x v="63"/>
    <x v="0"/>
    <x v="0"/>
    <x v="0"/>
    <x v="13"/>
  </r>
  <r>
    <x v="64"/>
    <x v="3"/>
    <x v="64"/>
    <x v="4"/>
    <x v="0"/>
    <x v="6"/>
    <x v="4"/>
    <x v="64"/>
    <x v="0"/>
    <x v="0"/>
    <x v="0"/>
    <x v="13"/>
  </r>
  <r>
    <x v="65"/>
    <x v="3"/>
    <x v="65"/>
    <x v="4"/>
    <x v="4"/>
    <x v="7"/>
    <x v="1"/>
    <x v="65"/>
    <x v="0"/>
    <x v="0"/>
    <x v="0"/>
    <x v="9"/>
  </r>
  <r>
    <x v="66"/>
    <x v="3"/>
    <x v="66"/>
    <x v="0"/>
    <x v="8"/>
    <x v="22"/>
    <x v="5"/>
    <x v="66"/>
    <x v="0"/>
    <x v="3"/>
    <x v="0"/>
    <x v="10"/>
  </r>
  <r>
    <x v="67"/>
    <x v="3"/>
    <x v="67"/>
    <x v="0"/>
    <x v="0"/>
    <x v="0"/>
    <x v="5"/>
    <x v="67"/>
    <x v="0"/>
    <x v="0"/>
    <x v="0"/>
    <x v="15"/>
  </r>
  <r>
    <x v="68"/>
    <x v="4"/>
    <x v="68"/>
    <x v="3"/>
    <x v="0"/>
    <x v="4"/>
    <x v="2"/>
    <x v="68"/>
    <x v="0"/>
    <x v="0"/>
    <x v="0"/>
    <x v="11"/>
  </r>
  <r>
    <x v="69"/>
    <x v="4"/>
    <x v="69"/>
    <x v="3"/>
    <x v="0"/>
    <x v="4"/>
    <x v="4"/>
    <x v="69"/>
    <x v="0"/>
    <x v="0"/>
    <x v="0"/>
    <x v="11"/>
  </r>
  <r>
    <x v="70"/>
    <x v="4"/>
    <x v="70"/>
    <x v="5"/>
    <x v="1"/>
    <x v="23"/>
    <x v="2"/>
    <x v="70"/>
    <x v="0"/>
    <x v="0"/>
    <x v="0"/>
    <x v="11"/>
  </r>
  <r>
    <x v="71"/>
    <x v="4"/>
    <x v="71"/>
    <x v="5"/>
    <x v="1"/>
    <x v="23"/>
    <x v="4"/>
    <x v="71"/>
    <x v="0"/>
    <x v="0"/>
    <x v="0"/>
    <x v="11"/>
  </r>
  <r>
    <x v="72"/>
    <x v="4"/>
    <x v="72"/>
    <x v="3"/>
    <x v="0"/>
    <x v="4"/>
    <x v="2"/>
    <x v="72"/>
    <x v="0"/>
    <x v="0"/>
    <x v="0"/>
    <x v="12"/>
  </r>
  <r>
    <x v="73"/>
    <x v="4"/>
    <x v="73"/>
    <x v="1"/>
    <x v="0"/>
    <x v="24"/>
    <x v="0"/>
    <x v="73"/>
    <x v="0"/>
    <x v="0"/>
    <x v="0"/>
    <x v="0"/>
  </r>
  <r>
    <x v="74"/>
    <x v="4"/>
    <x v="74"/>
    <x v="3"/>
    <x v="0"/>
    <x v="4"/>
    <x v="1"/>
    <x v="74"/>
    <x v="0"/>
    <x v="0"/>
    <x v="1"/>
    <x v="0"/>
  </r>
  <r>
    <x v="75"/>
    <x v="4"/>
    <x v="75"/>
    <x v="6"/>
    <x v="0"/>
    <x v="21"/>
    <x v="5"/>
    <x v="75"/>
    <x v="0"/>
    <x v="0"/>
    <x v="0"/>
    <x v="0"/>
  </r>
  <r>
    <x v="76"/>
    <x v="4"/>
    <x v="76"/>
    <x v="0"/>
    <x v="5"/>
    <x v="25"/>
    <x v="4"/>
    <x v="76"/>
    <x v="0"/>
    <x v="0"/>
    <x v="0"/>
    <x v="1"/>
  </r>
  <r>
    <x v="77"/>
    <x v="4"/>
    <x v="77"/>
    <x v="4"/>
    <x v="0"/>
    <x v="6"/>
    <x v="2"/>
    <x v="77"/>
    <x v="0"/>
    <x v="4"/>
    <x v="0"/>
    <x v="4"/>
  </r>
  <r>
    <x v="78"/>
    <x v="4"/>
    <x v="78"/>
    <x v="0"/>
    <x v="0"/>
    <x v="0"/>
    <x v="0"/>
    <x v="78"/>
    <x v="0"/>
    <x v="0"/>
    <x v="0"/>
    <x v="5"/>
  </r>
  <r>
    <x v="79"/>
    <x v="4"/>
    <x v="79"/>
    <x v="0"/>
    <x v="4"/>
    <x v="11"/>
    <x v="2"/>
    <x v="79"/>
    <x v="0"/>
    <x v="0"/>
    <x v="0"/>
    <x v="16"/>
  </r>
  <r>
    <x v="80"/>
    <x v="4"/>
    <x v="80"/>
    <x v="4"/>
    <x v="9"/>
    <x v="26"/>
    <x v="2"/>
    <x v="80"/>
    <x v="0"/>
    <x v="0"/>
    <x v="0"/>
    <x v="7"/>
  </r>
  <r>
    <x v="81"/>
    <x v="4"/>
    <x v="81"/>
    <x v="3"/>
    <x v="0"/>
    <x v="4"/>
    <x v="4"/>
    <x v="81"/>
    <x v="0"/>
    <x v="0"/>
    <x v="0"/>
    <x v="7"/>
  </r>
  <r>
    <x v="82"/>
    <x v="4"/>
    <x v="82"/>
    <x v="0"/>
    <x v="0"/>
    <x v="0"/>
    <x v="5"/>
    <x v="82"/>
    <x v="0"/>
    <x v="0"/>
    <x v="0"/>
    <x v="9"/>
  </r>
  <r>
    <x v="83"/>
    <x v="4"/>
    <x v="83"/>
    <x v="3"/>
    <x v="0"/>
    <x v="4"/>
    <x v="6"/>
    <x v="83"/>
    <x v="0"/>
    <x v="0"/>
    <x v="0"/>
    <x v="9"/>
  </r>
  <r>
    <x v="84"/>
    <x v="4"/>
    <x v="84"/>
    <x v="4"/>
    <x v="0"/>
    <x v="6"/>
    <x v="7"/>
    <x v="84"/>
    <x v="0"/>
    <x v="5"/>
    <x v="0"/>
    <x v="10"/>
  </r>
  <r>
    <x v="85"/>
    <x v="5"/>
    <x v="85"/>
    <x v="3"/>
    <x v="2"/>
    <x v="27"/>
    <x v="8"/>
    <x v="85"/>
    <x v="0"/>
    <x v="0"/>
    <x v="0"/>
    <x v="11"/>
  </r>
  <r>
    <x v="86"/>
    <x v="5"/>
    <x v="86"/>
    <x v="6"/>
    <x v="0"/>
    <x v="21"/>
    <x v="4"/>
    <x v="86"/>
    <x v="0"/>
    <x v="0"/>
    <x v="0"/>
    <x v="11"/>
  </r>
  <r>
    <x v="87"/>
    <x v="5"/>
    <x v="87"/>
    <x v="3"/>
    <x v="0"/>
    <x v="4"/>
    <x v="0"/>
    <x v="87"/>
    <x v="0"/>
    <x v="0"/>
    <x v="0"/>
    <x v="0"/>
  </r>
  <r>
    <x v="88"/>
    <x v="5"/>
    <x v="88"/>
    <x v="6"/>
    <x v="0"/>
    <x v="21"/>
    <x v="5"/>
    <x v="88"/>
    <x v="0"/>
    <x v="0"/>
    <x v="0"/>
    <x v="1"/>
  </r>
  <r>
    <x v="89"/>
    <x v="5"/>
    <x v="89"/>
    <x v="1"/>
    <x v="0"/>
    <x v="24"/>
    <x v="1"/>
    <x v="89"/>
    <x v="0"/>
    <x v="0"/>
    <x v="0"/>
    <x v="1"/>
  </r>
  <r>
    <x v="90"/>
    <x v="5"/>
    <x v="90"/>
    <x v="3"/>
    <x v="0"/>
    <x v="4"/>
    <x v="6"/>
    <x v="90"/>
    <x v="0"/>
    <x v="0"/>
    <x v="0"/>
    <x v="2"/>
  </r>
  <r>
    <x v="91"/>
    <x v="5"/>
    <x v="91"/>
    <x v="0"/>
    <x v="1"/>
    <x v="28"/>
    <x v="7"/>
    <x v="91"/>
    <x v="0"/>
    <x v="0"/>
    <x v="0"/>
    <x v="4"/>
  </r>
  <r>
    <x v="92"/>
    <x v="5"/>
    <x v="92"/>
    <x v="7"/>
    <x v="6"/>
    <x v="29"/>
    <x v="4"/>
    <x v="92"/>
    <x v="0"/>
    <x v="0"/>
    <x v="0"/>
    <x v="4"/>
  </r>
  <r>
    <x v="93"/>
    <x v="5"/>
    <x v="93"/>
    <x v="4"/>
    <x v="6"/>
    <x v="12"/>
    <x v="5"/>
    <x v="93"/>
    <x v="0"/>
    <x v="0"/>
    <x v="0"/>
    <x v="4"/>
  </r>
  <r>
    <x v="94"/>
    <x v="5"/>
    <x v="94"/>
    <x v="8"/>
    <x v="1"/>
    <x v="30"/>
    <x v="7"/>
    <x v="94"/>
    <x v="0"/>
    <x v="0"/>
    <x v="2"/>
    <x v="17"/>
  </r>
  <r>
    <x v="95"/>
    <x v="5"/>
    <x v="95"/>
    <x v="3"/>
    <x v="0"/>
    <x v="4"/>
    <x v="1"/>
    <x v="95"/>
    <x v="0"/>
    <x v="0"/>
    <x v="0"/>
    <x v="6"/>
  </r>
  <r>
    <x v="96"/>
    <x v="5"/>
    <x v="96"/>
    <x v="0"/>
    <x v="0"/>
    <x v="0"/>
    <x v="5"/>
    <x v="96"/>
    <x v="0"/>
    <x v="0"/>
    <x v="0"/>
    <x v="18"/>
  </r>
  <r>
    <x v="97"/>
    <x v="5"/>
    <x v="97"/>
    <x v="0"/>
    <x v="0"/>
    <x v="0"/>
    <x v="4"/>
    <x v="97"/>
    <x v="0"/>
    <x v="0"/>
    <x v="0"/>
    <x v="18"/>
  </r>
  <r>
    <x v="98"/>
    <x v="5"/>
    <x v="98"/>
    <x v="0"/>
    <x v="0"/>
    <x v="0"/>
    <x v="2"/>
    <x v="98"/>
    <x v="0"/>
    <x v="0"/>
    <x v="0"/>
    <x v="18"/>
  </r>
  <r>
    <x v="99"/>
    <x v="5"/>
    <x v="99"/>
    <x v="3"/>
    <x v="4"/>
    <x v="16"/>
    <x v="1"/>
    <x v="99"/>
    <x v="0"/>
    <x v="0"/>
    <x v="0"/>
    <x v="7"/>
  </r>
  <r>
    <x v="100"/>
    <x v="5"/>
    <x v="100"/>
    <x v="0"/>
    <x v="0"/>
    <x v="0"/>
    <x v="4"/>
    <x v="100"/>
    <x v="0"/>
    <x v="0"/>
    <x v="0"/>
    <x v="7"/>
  </r>
  <r>
    <x v="101"/>
    <x v="5"/>
    <x v="101"/>
    <x v="0"/>
    <x v="0"/>
    <x v="0"/>
    <x v="5"/>
    <x v="101"/>
    <x v="0"/>
    <x v="0"/>
    <x v="0"/>
    <x v="7"/>
  </r>
  <r>
    <x v="102"/>
    <x v="5"/>
    <x v="102"/>
    <x v="0"/>
    <x v="0"/>
    <x v="0"/>
    <x v="4"/>
    <x v="102"/>
    <x v="0"/>
    <x v="0"/>
    <x v="0"/>
    <x v="7"/>
  </r>
  <r>
    <x v="103"/>
    <x v="5"/>
    <x v="103"/>
    <x v="0"/>
    <x v="5"/>
    <x v="25"/>
    <x v="5"/>
    <x v="103"/>
    <x v="0"/>
    <x v="0"/>
    <x v="0"/>
    <x v="13"/>
  </r>
  <r>
    <x v="104"/>
    <x v="6"/>
    <x v="104"/>
    <x v="5"/>
    <x v="0"/>
    <x v="14"/>
    <x v="5"/>
    <x v="104"/>
    <x v="0"/>
    <x v="0"/>
    <x v="0"/>
    <x v="11"/>
  </r>
  <r>
    <x v="105"/>
    <x v="6"/>
    <x v="105"/>
    <x v="9"/>
    <x v="0"/>
    <x v="31"/>
    <x v="4"/>
    <x v="105"/>
    <x v="0"/>
    <x v="0"/>
    <x v="0"/>
    <x v="11"/>
  </r>
  <r>
    <x v="106"/>
    <x v="6"/>
    <x v="106"/>
    <x v="0"/>
    <x v="1"/>
    <x v="28"/>
    <x v="6"/>
    <x v="106"/>
    <x v="0"/>
    <x v="0"/>
    <x v="0"/>
    <x v="11"/>
  </r>
  <r>
    <x v="107"/>
    <x v="6"/>
    <x v="107"/>
    <x v="6"/>
    <x v="10"/>
    <x v="32"/>
    <x v="4"/>
    <x v="107"/>
    <x v="0"/>
    <x v="0"/>
    <x v="0"/>
    <x v="0"/>
  </r>
  <r>
    <x v="108"/>
    <x v="6"/>
    <x v="108"/>
    <x v="0"/>
    <x v="0"/>
    <x v="0"/>
    <x v="5"/>
    <x v="108"/>
    <x v="0"/>
    <x v="0"/>
    <x v="0"/>
    <x v="0"/>
  </r>
  <r>
    <x v="109"/>
    <x v="6"/>
    <x v="109"/>
    <x v="10"/>
    <x v="4"/>
    <x v="33"/>
    <x v="7"/>
    <x v="109"/>
    <x v="0"/>
    <x v="0"/>
    <x v="0"/>
    <x v="2"/>
  </r>
  <r>
    <x v="110"/>
    <x v="6"/>
    <x v="110"/>
    <x v="8"/>
    <x v="5"/>
    <x v="34"/>
    <x v="3"/>
    <x v="110"/>
    <x v="0"/>
    <x v="0"/>
    <x v="3"/>
    <x v="4"/>
  </r>
  <r>
    <x v="111"/>
    <x v="6"/>
    <x v="111"/>
    <x v="0"/>
    <x v="1"/>
    <x v="28"/>
    <x v="0"/>
    <x v="111"/>
    <x v="0"/>
    <x v="0"/>
    <x v="0"/>
    <x v="5"/>
  </r>
  <r>
    <x v="112"/>
    <x v="6"/>
    <x v="112"/>
    <x v="0"/>
    <x v="6"/>
    <x v="10"/>
    <x v="4"/>
    <x v="112"/>
    <x v="0"/>
    <x v="0"/>
    <x v="0"/>
    <x v="5"/>
  </r>
  <r>
    <x v="113"/>
    <x v="6"/>
    <x v="113"/>
    <x v="0"/>
    <x v="0"/>
    <x v="0"/>
    <x v="7"/>
    <x v="113"/>
    <x v="0"/>
    <x v="0"/>
    <x v="0"/>
    <x v="5"/>
  </r>
  <r>
    <x v="114"/>
    <x v="6"/>
    <x v="114"/>
    <x v="3"/>
    <x v="0"/>
    <x v="4"/>
    <x v="5"/>
    <x v="114"/>
    <x v="0"/>
    <x v="0"/>
    <x v="0"/>
    <x v="5"/>
  </r>
  <r>
    <x v="115"/>
    <x v="6"/>
    <x v="115"/>
    <x v="0"/>
    <x v="0"/>
    <x v="0"/>
    <x v="1"/>
    <x v="115"/>
    <x v="0"/>
    <x v="0"/>
    <x v="0"/>
    <x v="6"/>
  </r>
  <r>
    <x v="116"/>
    <x v="6"/>
    <x v="116"/>
    <x v="0"/>
    <x v="0"/>
    <x v="0"/>
    <x v="4"/>
    <x v="116"/>
    <x v="0"/>
    <x v="0"/>
    <x v="0"/>
    <x v="18"/>
  </r>
  <r>
    <x v="117"/>
    <x v="6"/>
    <x v="117"/>
    <x v="0"/>
    <x v="2"/>
    <x v="2"/>
    <x v="8"/>
    <x v="117"/>
    <x v="0"/>
    <x v="0"/>
    <x v="0"/>
    <x v="18"/>
  </r>
  <r>
    <x v="118"/>
    <x v="6"/>
    <x v="118"/>
    <x v="4"/>
    <x v="0"/>
    <x v="6"/>
    <x v="7"/>
    <x v="118"/>
    <x v="0"/>
    <x v="0"/>
    <x v="0"/>
    <x v="7"/>
  </r>
  <r>
    <x v="119"/>
    <x v="6"/>
    <x v="119"/>
    <x v="4"/>
    <x v="4"/>
    <x v="7"/>
    <x v="6"/>
    <x v="119"/>
    <x v="0"/>
    <x v="0"/>
    <x v="0"/>
    <x v="9"/>
  </r>
  <r>
    <x v="120"/>
    <x v="6"/>
    <x v="120"/>
    <x v="4"/>
    <x v="0"/>
    <x v="6"/>
    <x v="4"/>
    <x v="120"/>
    <x v="0"/>
    <x v="0"/>
    <x v="0"/>
    <x v="9"/>
  </r>
  <r>
    <x v="121"/>
    <x v="6"/>
    <x v="121"/>
    <x v="3"/>
    <x v="0"/>
    <x v="4"/>
    <x v="7"/>
    <x v="121"/>
    <x v="0"/>
    <x v="0"/>
    <x v="0"/>
    <x v="10"/>
  </r>
  <r>
    <x v="122"/>
    <x v="7"/>
    <x v="122"/>
    <x v="3"/>
    <x v="2"/>
    <x v="27"/>
    <x v="6"/>
    <x v="122"/>
    <x v="0"/>
    <x v="0"/>
    <x v="0"/>
    <x v="11"/>
  </r>
  <r>
    <x v="123"/>
    <x v="7"/>
    <x v="123"/>
    <x v="5"/>
    <x v="0"/>
    <x v="14"/>
    <x v="5"/>
    <x v="123"/>
    <x v="0"/>
    <x v="0"/>
    <x v="0"/>
    <x v="11"/>
  </r>
  <r>
    <x v="124"/>
    <x v="7"/>
    <x v="124"/>
    <x v="3"/>
    <x v="5"/>
    <x v="8"/>
    <x v="9"/>
    <x v="124"/>
    <x v="0"/>
    <x v="0"/>
    <x v="0"/>
    <x v="0"/>
  </r>
  <r>
    <x v="125"/>
    <x v="7"/>
    <x v="125"/>
    <x v="1"/>
    <x v="4"/>
    <x v="35"/>
    <x v="3"/>
    <x v="125"/>
    <x v="0"/>
    <x v="0"/>
    <x v="0"/>
    <x v="0"/>
  </r>
  <r>
    <x v="126"/>
    <x v="7"/>
    <x v="126"/>
    <x v="4"/>
    <x v="0"/>
    <x v="6"/>
    <x v="0"/>
    <x v="126"/>
    <x v="0"/>
    <x v="0"/>
    <x v="0"/>
    <x v="1"/>
  </r>
  <r>
    <x v="127"/>
    <x v="7"/>
    <x v="127"/>
    <x v="0"/>
    <x v="5"/>
    <x v="25"/>
    <x v="6"/>
    <x v="127"/>
    <x v="0"/>
    <x v="6"/>
    <x v="0"/>
    <x v="4"/>
  </r>
  <r>
    <x v="128"/>
    <x v="7"/>
    <x v="128"/>
    <x v="3"/>
    <x v="0"/>
    <x v="4"/>
    <x v="7"/>
    <x v="128"/>
    <x v="0"/>
    <x v="0"/>
    <x v="4"/>
    <x v="19"/>
  </r>
  <r>
    <x v="129"/>
    <x v="7"/>
    <x v="129"/>
    <x v="0"/>
    <x v="0"/>
    <x v="0"/>
    <x v="1"/>
    <x v="129"/>
    <x v="0"/>
    <x v="0"/>
    <x v="0"/>
    <x v="6"/>
  </r>
  <r>
    <x v="130"/>
    <x v="7"/>
    <x v="130"/>
    <x v="0"/>
    <x v="0"/>
    <x v="0"/>
    <x v="7"/>
    <x v="130"/>
    <x v="0"/>
    <x v="0"/>
    <x v="0"/>
    <x v="7"/>
  </r>
  <r>
    <x v="131"/>
    <x v="7"/>
    <x v="131"/>
    <x v="3"/>
    <x v="0"/>
    <x v="4"/>
    <x v="2"/>
    <x v="131"/>
    <x v="0"/>
    <x v="0"/>
    <x v="0"/>
    <x v="7"/>
  </r>
  <r>
    <x v="132"/>
    <x v="7"/>
    <x v="132"/>
    <x v="0"/>
    <x v="0"/>
    <x v="0"/>
    <x v="5"/>
    <x v="132"/>
    <x v="0"/>
    <x v="0"/>
    <x v="0"/>
    <x v="13"/>
  </r>
  <r>
    <x v="133"/>
    <x v="7"/>
    <x v="133"/>
    <x v="3"/>
    <x v="6"/>
    <x v="36"/>
    <x v="9"/>
    <x v="133"/>
    <x v="0"/>
    <x v="0"/>
    <x v="0"/>
    <x v="9"/>
  </r>
  <r>
    <x v="134"/>
    <x v="7"/>
    <x v="134"/>
    <x v="4"/>
    <x v="0"/>
    <x v="6"/>
    <x v="1"/>
    <x v="134"/>
    <x v="0"/>
    <x v="0"/>
    <x v="0"/>
    <x v="9"/>
  </r>
  <r>
    <x v="135"/>
    <x v="7"/>
    <x v="135"/>
    <x v="0"/>
    <x v="2"/>
    <x v="2"/>
    <x v="4"/>
    <x v="135"/>
    <x v="0"/>
    <x v="0"/>
    <x v="0"/>
    <x v="9"/>
  </r>
  <r>
    <x v="136"/>
    <x v="7"/>
    <x v="136"/>
    <x v="4"/>
    <x v="0"/>
    <x v="6"/>
    <x v="6"/>
    <x v="136"/>
    <x v="0"/>
    <x v="0"/>
    <x v="0"/>
    <x v="10"/>
  </r>
  <r>
    <x v="137"/>
    <x v="7"/>
    <x v="137"/>
    <x v="3"/>
    <x v="0"/>
    <x v="4"/>
    <x v="5"/>
    <x v="137"/>
    <x v="0"/>
    <x v="0"/>
    <x v="0"/>
    <x v="15"/>
  </r>
  <r>
    <x v="138"/>
    <x v="8"/>
    <x v="138"/>
    <x v="6"/>
    <x v="0"/>
    <x v="21"/>
    <x v="1"/>
    <x v="138"/>
    <x v="0"/>
    <x v="0"/>
    <x v="0"/>
    <x v="11"/>
  </r>
  <r>
    <x v="139"/>
    <x v="8"/>
    <x v="139"/>
    <x v="3"/>
    <x v="0"/>
    <x v="4"/>
    <x v="5"/>
    <x v="139"/>
    <x v="0"/>
    <x v="0"/>
    <x v="0"/>
    <x v="11"/>
  </r>
  <r>
    <x v="140"/>
    <x v="8"/>
    <x v="140"/>
    <x v="3"/>
    <x v="0"/>
    <x v="4"/>
    <x v="7"/>
    <x v="140"/>
    <x v="0"/>
    <x v="0"/>
    <x v="0"/>
    <x v="1"/>
  </r>
  <r>
    <x v="141"/>
    <x v="8"/>
    <x v="141"/>
    <x v="0"/>
    <x v="0"/>
    <x v="0"/>
    <x v="4"/>
    <x v="141"/>
    <x v="0"/>
    <x v="0"/>
    <x v="0"/>
    <x v="1"/>
  </r>
  <r>
    <x v="142"/>
    <x v="8"/>
    <x v="142"/>
    <x v="0"/>
    <x v="4"/>
    <x v="11"/>
    <x v="3"/>
    <x v="142"/>
    <x v="0"/>
    <x v="0"/>
    <x v="0"/>
    <x v="2"/>
  </r>
  <r>
    <x v="143"/>
    <x v="8"/>
    <x v="143"/>
    <x v="0"/>
    <x v="0"/>
    <x v="0"/>
    <x v="4"/>
    <x v="143"/>
    <x v="0"/>
    <x v="0"/>
    <x v="0"/>
    <x v="5"/>
  </r>
  <r>
    <x v="144"/>
    <x v="8"/>
    <x v="144"/>
    <x v="0"/>
    <x v="0"/>
    <x v="0"/>
    <x v="7"/>
    <x v="144"/>
    <x v="0"/>
    <x v="0"/>
    <x v="0"/>
    <x v="5"/>
  </r>
  <r>
    <x v="145"/>
    <x v="8"/>
    <x v="145"/>
    <x v="0"/>
    <x v="2"/>
    <x v="2"/>
    <x v="2"/>
    <x v="145"/>
    <x v="0"/>
    <x v="0"/>
    <x v="0"/>
    <x v="19"/>
  </r>
  <r>
    <x v="146"/>
    <x v="8"/>
    <x v="146"/>
    <x v="3"/>
    <x v="0"/>
    <x v="4"/>
    <x v="1"/>
    <x v="146"/>
    <x v="0"/>
    <x v="0"/>
    <x v="0"/>
    <x v="6"/>
  </r>
  <r>
    <x v="147"/>
    <x v="8"/>
    <x v="147"/>
    <x v="0"/>
    <x v="10"/>
    <x v="37"/>
    <x v="2"/>
    <x v="147"/>
    <x v="0"/>
    <x v="0"/>
    <x v="0"/>
    <x v="8"/>
  </r>
  <r>
    <x v="148"/>
    <x v="8"/>
    <x v="148"/>
    <x v="0"/>
    <x v="0"/>
    <x v="0"/>
    <x v="4"/>
    <x v="148"/>
    <x v="0"/>
    <x v="0"/>
    <x v="0"/>
    <x v="13"/>
  </r>
  <r>
    <x v="149"/>
    <x v="8"/>
    <x v="149"/>
    <x v="0"/>
    <x v="0"/>
    <x v="0"/>
    <x v="0"/>
    <x v="149"/>
    <x v="0"/>
    <x v="0"/>
    <x v="0"/>
    <x v="9"/>
  </r>
  <r>
    <x v="150"/>
    <x v="8"/>
    <x v="150"/>
    <x v="0"/>
    <x v="0"/>
    <x v="0"/>
    <x v="7"/>
    <x v="150"/>
    <x v="0"/>
    <x v="0"/>
    <x v="0"/>
    <x v="9"/>
  </r>
  <r>
    <x v="151"/>
    <x v="8"/>
    <x v="151"/>
    <x v="0"/>
    <x v="4"/>
    <x v="11"/>
    <x v="5"/>
    <x v="151"/>
    <x v="0"/>
    <x v="0"/>
    <x v="0"/>
    <x v="10"/>
  </r>
  <r>
    <x v="152"/>
    <x v="8"/>
    <x v="152"/>
    <x v="0"/>
    <x v="4"/>
    <x v="11"/>
    <x v="4"/>
    <x v="152"/>
    <x v="0"/>
    <x v="0"/>
    <x v="0"/>
    <x v="14"/>
  </r>
  <r>
    <x v="153"/>
    <x v="8"/>
    <x v="153"/>
    <x v="0"/>
    <x v="0"/>
    <x v="0"/>
    <x v="7"/>
    <x v="153"/>
    <x v="0"/>
    <x v="0"/>
    <x v="0"/>
    <x v="15"/>
  </r>
  <r>
    <x v="154"/>
    <x v="9"/>
    <x v="154"/>
    <x v="5"/>
    <x v="0"/>
    <x v="14"/>
    <x v="7"/>
    <x v="154"/>
    <x v="0"/>
    <x v="0"/>
    <x v="0"/>
    <x v="11"/>
  </r>
  <r>
    <x v="155"/>
    <x v="9"/>
    <x v="155"/>
    <x v="4"/>
    <x v="5"/>
    <x v="9"/>
    <x v="3"/>
    <x v="155"/>
    <x v="0"/>
    <x v="0"/>
    <x v="0"/>
    <x v="12"/>
  </r>
  <r>
    <x v="156"/>
    <x v="9"/>
    <x v="156"/>
    <x v="4"/>
    <x v="0"/>
    <x v="6"/>
    <x v="4"/>
    <x v="156"/>
    <x v="0"/>
    <x v="0"/>
    <x v="0"/>
    <x v="0"/>
  </r>
  <r>
    <x v="157"/>
    <x v="9"/>
    <x v="157"/>
    <x v="4"/>
    <x v="0"/>
    <x v="6"/>
    <x v="3"/>
    <x v="157"/>
    <x v="0"/>
    <x v="0"/>
    <x v="0"/>
    <x v="1"/>
  </r>
  <r>
    <x v="158"/>
    <x v="9"/>
    <x v="158"/>
    <x v="1"/>
    <x v="0"/>
    <x v="24"/>
    <x v="4"/>
    <x v="158"/>
    <x v="0"/>
    <x v="0"/>
    <x v="0"/>
    <x v="2"/>
  </r>
  <r>
    <x v="159"/>
    <x v="9"/>
    <x v="159"/>
    <x v="4"/>
    <x v="0"/>
    <x v="6"/>
    <x v="6"/>
    <x v="159"/>
    <x v="0"/>
    <x v="0"/>
    <x v="0"/>
    <x v="2"/>
  </r>
  <r>
    <x v="160"/>
    <x v="9"/>
    <x v="160"/>
    <x v="3"/>
    <x v="0"/>
    <x v="4"/>
    <x v="0"/>
    <x v="160"/>
    <x v="0"/>
    <x v="0"/>
    <x v="0"/>
    <x v="2"/>
  </r>
  <r>
    <x v="161"/>
    <x v="9"/>
    <x v="161"/>
    <x v="6"/>
    <x v="0"/>
    <x v="21"/>
    <x v="1"/>
    <x v="161"/>
    <x v="0"/>
    <x v="0"/>
    <x v="0"/>
    <x v="5"/>
  </r>
  <r>
    <x v="162"/>
    <x v="9"/>
    <x v="162"/>
    <x v="0"/>
    <x v="0"/>
    <x v="0"/>
    <x v="9"/>
    <x v="162"/>
    <x v="0"/>
    <x v="0"/>
    <x v="0"/>
    <x v="5"/>
  </r>
  <r>
    <x v="163"/>
    <x v="9"/>
    <x v="163"/>
    <x v="0"/>
    <x v="0"/>
    <x v="0"/>
    <x v="1"/>
    <x v="163"/>
    <x v="0"/>
    <x v="0"/>
    <x v="0"/>
    <x v="5"/>
  </r>
  <r>
    <x v="164"/>
    <x v="9"/>
    <x v="164"/>
    <x v="4"/>
    <x v="0"/>
    <x v="6"/>
    <x v="7"/>
    <x v="164"/>
    <x v="0"/>
    <x v="0"/>
    <x v="0"/>
    <x v="5"/>
  </r>
  <r>
    <x v="165"/>
    <x v="9"/>
    <x v="165"/>
    <x v="0"/>
    <x v="0"/>
    <x v="0"/>
    <x v="5"/>
    <x v="165"/>
    <x v="0"/>
    <x v="0"/>
    <x v="0"/>
    <x v="5"/>
  </r>
  <r>
    <x v="166"/>
    <x v="9"/>
    <x v="166"/>
    <x v="4"/>
    <x v="0"/>
    <x v="6"/>
    <x v="1"/>
    <x v="166"/>
    <x v="0"/>
    <x v="0"/>
    <x v="0"/>
    <x v="7"/>
  </r>
  <r>
    <x v="167"/>
    <x v="9"/>
    <x v="167"/>
    <x v="4"/>
    <x v="6"/>
    <x v="12"/>
    <x v="6"/>
    <x v="167"/>
    <x v="0"/>
    <x v="0"/>
    <x v="0"/>
    <x v="8"/>
  </r>
  <r>
    <x v="168"/>
    <x v="9"/>
    <x v="168"/>
    <x v="3"/>
    <x v="0"/>
    <x v="4"/>
    <x v="1"/>
    <x v="168"/>
    <x v="0"/>
    <x v="0"/>
    <x v="0"/>
    <x v="13"/>
  </r>
  <r>
    <x v="169"/>
    <x v="9"/>
    <x v="169"/>
    <x v="0"/>
    <x v="0"/>
    <x v="0"/>
    <x v="6"/>
    <x v="169"/>
    <x v="0"/>
    <x v="0"/>
    <x v="0"/>
    <x v="13"/>
  </r>
  <r>
    <x v="170"/>
    <x v="9"/>
    <x v="170"/>
    <x v="4"/>
    <x v="0"/>
    <x v="6"/>
    <x v="7"/>
    <x v="170"/>
    <x v="0"/>
    <x v="0"/>
    <x v="0"/>
    <x v="13"/>
  </r>
  <r>
    <x v="171"/>
    <x v="9"/>
    <x v="171"/>
    <x v="0"/>
    <x v="0"/>
    <x v="0"/>
    <x v="1"/>
    <x v="171"/>
    <x v="0"/>
    <x v="0"/>
    <x v="0"/>
    <x v="9"/>
  </r>
  <r>
    <x v="172"/>
    <x v="9"/>
    <x v="172"/>
    <x v="4"/>
    <x v="4"/>
    <x v="7"/>
    <x v="10"/>
    <x v="172"/>
    <x v="0"/>
    <x v="0"/>
    <x v="0"/>
    <x v="14"/>
  </r>
  <r>
    <x v="173"/>
    <x v="10"/>
    <x v="173"/>
    <x v="4"/>
    <x v="0"/>
    <x v="6"/>
    <x v="0"/>
    <x v="173"/>
    <x v="0"/>
    <x v="0"/>
    <x v="0"/>
    <x v="0"/>
  </r>
  <r>
    <x v="174"/>
    <x v="10"/>
    <x v="174"/>
    <x v="0"/>
    <x v="4"/>
    <x v="11"/>
    <x v="6"/>
    <x v="174"/>
    <x v="0"/>
    <x v="0"/>
    <x v="0"/>
    <x v="3"/>
  </r>
  <r>
    <x v="175"/>
    <x v="10"/>
    <x v="175"/>
    <x v="0"/>
    <x v="0"/>
    <x v="0"/>
    <x v="5"/>
    <x v="175"/>
    <x v="0"/>
    <x v="0"/>
    <x v="0"/>
    <x v="5"/>
  </r>
  <r>
    <x v="176"/>
    <x v="10"/>
    <x v="176"/>
    <x v="4"/>
    <x v="0"/>
    <x v="6"/>
    <x v="11"/>
    <x v="176"/>
    <x v="0"/>
    <x v="0"/>
    <x v="0"/>
    <x v="5"/>
  </r>
  <r>
    <x v="177"/>
    <x v="10"/>
    <x v="177"/>
    <x v="4"/>
    <x v="1"/>
    <x v="5"/>
    <x v="6"/>
    <x v="177"/>
    <x v="0"/>
    <x v="0"/>
    <x v="0"/>
    <x v="6"/>
  </r>
  <r>
    <x v="178"/>
    <x v="10"/>
    <x v="178"/>
    <x v="3"/>
    <x v="0"/>
    <x v="4"/>
    <x v="0"/>
    <x v="178"/>
    <x v="0"/>
    <x v="0"/>
    <x v="0"/>
    <x v="7"/>
  </r>
  <r>
    <x v="179"/>
    <x v="10"/>
    <x v="179"/>
    <x v="3"/>
    <x v="0"/>
    <x v="4"/>
    <x v="7"/>
    <x v="179"/>
    <x v="0"/>
    <x v="0"/>
    <x v="0"/>
    <x v="13"/>
  </r>
  <r>
    <x v="180"/>
    <x v="10"/>
    <x v="180"/>
    <x v="0"/>
    <x v="0"/>
    <x v="0"/>
    <x v="7"/>
    <x v="180"/>
    <x v="0"/>
    <x v="0"/>
    <x v="0"/>
    <x v="9"/>
  </r>
  <r>
    <x v="181"/>
    <x v="10"/>
    <x v="181"/>
    <x v="3"/>
    <x v="0"/>
    <x v="4"/>
    <x v="5"/>
    <x v="181"/>
    <x v="0"/>
    <x v="0"/>
    <x v="0"/>
    <x v="10"/>
  </r>
  <r>
    <x v="182"/>
    <x v="10"/>
    <x v="182"/>
    <x v="0"/>
    <x v="1"/>
    <x v="28"/>
    <x v="1"/>
    <x v="182"/>
    <x v="0"/>
    <x v="0"/>
    <x v="0"/>
    <x v="10"/>
  </r>
  <r>
    <x v="183"/>
    <x v="10"/>
    <x v="183"/>
    <x v="3"/>
    <x v="0"/>
    <x v="4"/>
    <x v="5"/>
    <x v="183"/>
    <x v="0"/>
    <x v="0"/>
    <x v="0"/>
    <x v="15"/>
  </r>
  <r>
    <x v="184"/>
    <x v="11"/>
    <x v="184"/>
    <x v="6"/>
    <x v="1"/>
    <x v="19"/>
    <x v="7"/>
    <x v="184"/>
    <x v="0"/>
    <x v="0"/>
    <x v="0"/>
    <x v="11"/>
  </r>
  <r>
    <x v="185"/>
    <x v="11"/>
    <x v="185"/>
    <x v="0"/>
    <x v="0"/>
    <x v="0"/>
    <x v="7"/>
    <x v="185"/>
    <x v="0"/>
    <x v="0"/>
    <x v="0"/>
    <x v="0"/>
  </r>
  <r>
    <x v="186"/>
    <x v="11"/>
    <x v="186"/>
    <x v="0"/>
    <x v="0"/>
    <x v="0"/>
    <x v="4"/>
    <x v="186"/>
    <x v="0"/>
    <x v="0"/>
    <x v="0"/>
    <x v="1"/>
  </r>
  <r>
    <x v="187"/>
    <x v="11"/>
    <x v="187"/>
    <x v="0"/>
    <x v="0"/>
    <x v="0"/>
    <x v="2"/>
    <x v="187"/>
    <x v="0"/>
    <x v="0"/>
    <x v="0"/>
    <x v="2"/>
  </r>
  <r>
    <x v="188"/>
    <x v="11"/>
    <x v="188"/>
    <x v="0"/>
    <x v="5"/>
    <x v="25"/>
    <x v="7"/>
    <x v="188"/>
    <x v="0"/>
    <x v="0"/>
    <x v="0"/>
    <x v="5"/>
  </r>
  <r>
    <x v="189"/>
    <x v="11"/>
    <x v="189"/>
    <x v="0"/>
    <x v="0"/>
    <x v="0"/>
    <x v="5"/>
    <x v="189"/>
    <x v="0"/>
    <x v="0"/>
    <x v="0"/>
    <x v="16"/>
  </r>
  <r>
    <x v="190"/>
    <x v="11"/>
    <x v="190"/>
    <x v="4"/>
    <x v="2"/>
    <x v="20"/>
    <x v="6"/>
    <x v="190"/>
    <x v="0"/>
    <x v="0"/>
    <x v="0"/>
    <x v="18"/>
  </r>
  <r>
    <x v="191"/>
    <x v="11"/>
    <x v="191"/>
    <x v="4"/>
    <x v="0"/>
    <x v="6"/>
    <x v="1"/>
    <x v="191"/>
    <x v="0"/>
    <x v="0"/>
    <x v="0"/>
    <x v="9"/>
  </r>
  <r>
    <x v="192"/>
    <x v="11"/>
    <x v="192"/>
    <x v="4"/>
    <x v="4"/>
    <x v="7"/>
    <x v="1"/>
    <x v="192"/>
    <x v="0"/>
    <x v="0"/>
    <x v="0"/>
    <x v="14"/>
  </r>
  <r>
    <x v="193"/>
    <x v="11"/>
    <x v="193"/>
    <x v="0"/>
    <x v="4"/>
    <x v="11"/>
    <x v="2"/>
    <x v="193"/>
    <x v="0"/>
    <x v="0"/>
    <x v="0"/>
    <x v="14"/>
  </r>
  <r>
    <x v="194"/>
    <x v="11"/>
    <x v="194"/>
    <x v="3"/>
    <x v="0"/>
    <x v="4"/>
    <x v="5"/>
    <x v="194"/>
    <x v="0"/>
    <x v="0"/>
    <x v="0"/>
    <x v="15"/>
  </r>
  <r>
    <x v="195"/>
    <x v="11"/>
    <x v="195"/>
    <x v="4"/>
    <x v="4"/>
    <x v="7"/>
    <x v="7"/>
    <x v="195"/>
    <x v="0"/>
    <x v="0"/>
    <x v="0"/>
    <x v="20"/>
  </r>
  <r>
    <x v="196"/>
    <x v="12"/>
    <x v="196"/>
    <x v="5"/>
    <x v="1"/>
    <x v="23"/>
    <x v="7"/>
    <x v="196"/>
    <x v="0"/>
    <x v="0"/>
    <x v="0"/>
    <x v="11"/>
  </r>
  <r>
    <x v="197"/>
    <x v="12"/>
    <x v="197"/>
    <x v="1"/>
    <x v="4"/>
    <x v="35"/>
    <x v="3"/>
    <x v="197"/>
    <x v="0"/>
    <x v="0"/>
    <x v="0"/>
    <x v="12"/>
  </r>
  <r>
    <x v="198"/>
    <x v="12"/>
    <x v="198"/>
    <x v="5"/>
    <x v="0"/>
    <x v="14"/>
    <x v="2"/>
    <x v="198"/>
    <x v="0"/>
    <x v="0"/>
    <x v="0"/>
    <x v="0"/>
  </r>
  <r>
    <x v="199"/>
    <x v="12"/>
    <x v="199"/>
    <x v="1"/>
    <x v="2"/>
    <x v="18"/>
    <x v="2"/>
    <x v="199"/>
    <x v="0"/>
    <x v="0"/>
    <x v="0"/>
    <x v="1"/>
  </r>
  <r>
    <x v="200"/>
    <x v="12"/>
    <x v="200"/>
    <x v="0"/>
    <x v="0"/>
    <x v="0"/>
    <x v="4"/>
    <x v="200"/>
    <x v="0"/>
    <x v="0"/>
    <x v="0"/>
    <x v="2"/>
  </r>
  <r>
    <x v="201"/>
    <x v="12"/>
    <x v="201"/>
    <x v="0"/>
    <x v="2"/>
    <x v="2"/>
    <x v="5"/>
    <x v="201"/>
    <x v="0"/>
    <x v="0"/>
    <x v="0"/>
    <x v="2"/>
  </r>
  <r>
    <x v="202"/>
    <x v="12"/>
    <x v="202"/>
    <x v="0"/>
    <x v="0"/>
    <x v="0"/>
    <x v="4"/>
    <x v="202"/>
    <x v="0"/>
    <x v="0"/>
    <x v="0"/>
    <x v="2"/>
  </r>
  <r>
    <x v="203"/>
    <x v="12"/>
    <x v="203"/>
    <x v="4"/>
    <x v="0"/>
    <x v="6"/>
    <x v="7"/>
    <x v="203"/>
    <x v="0"/>
    <x v="0"/>
    <x v="0"/>
    <x v="3"/>
  </r>
  <r>
    <x v="204"/>
    <x v="12"/>
    <x v="204"/>
    <x v="0"/>
    <x v="0"/>
    <x v="0"/>
    <x v="7"/>
    <x v="204"/>
    <x v="0"/>
    <x v="0"/>
    <x v="0"/>
    <x v="16"/>
  </r>
  <r>
    <x v="205"/>
    <x v="12"/>
    <x v="205"/>
    <x v="0"/>
    <x v="0"/>
    <x v="0"/>
    <x v="4"/>
    <x v="205"/>
    <x v="0"/>
    <x v="0"/>
    <x v="0"/>
    <x v="7"/>
  </r>
  <r>
    <x v="206"/>
    <x v="12"/>
    <x v="206"/>
    <x v="3"/>
    <x v="0"/>
    <x v="4"/>
    <x v="6"/>
    <x v="206"/>
    <x v="0"/>
    <x v="0"/>
    <x v="0"/>
    <x v="7"/>
  </r>
  <r>
    <x v="207"/>
    <x v="12"/>
    <x v="207"/>
    <x v="3"/>
    <x v="8"/>
    <x v="38"/>
    <x v="6"/>
    <x v="207"/>
    <x v="0"/>
    <x v="0"/>
    <x v="0"/>
    <x v="10"/>
  </r>
  <r>
    <x v="208"/>
    <x v="12"/>
    <x v="208"/>
    <x v="0"/>
    <x v="0"/>
    <x v="0"/>
    <x v="2"/>
    <x v="208"/>
    <x v="0"/>
    <x v="0"/>
    <x v="0"/>
    <x v="14"/>
  </r>
  <r>
    <x v="209"/>
    <x v="12"/>
    <x v="209"/>
    <x v="4"/>
    <x v="1"/>
    <x v="5"/>
    <x v="2"/>
    <x v="209"/>
    <x v="0"/>
    <x v="0"/>
    <x v="0"/>
    <x v="21"/>
  </r>
  <r>
    <x v="210"/>
    <x v="13"/>
    <x v="210"/>
    <x v="3"/>
    <x v="5"/>
    <x v="8"/>
    <x v="2"/>
    <x v="210"/>
    <x v="0"/>
    <x v="0"/>
    <x v="0"/>
    <x v="11"/>
  </r>
  <r>
    <x v="211"/>
    <x v="13"/>
    <x v="211"/>
    <x v="6"/>
    <x v="1"/>
    <x v="19"/>
    <x v="2"/>
    <x v="211"/>
    <x v="0"/>
    <x v="0"/>
    <x v="0"/>
    <x v="11"/>
  </r>
  <r>
    <x v="212"/>
    <x v="13"/>
    <x v="212"/>
    <x v="0"/>
    <x v="5"/>
    <x v="25"/>
    <x v="4"/>
    <x v="212"/>
    <x v="0"/>
    <x v="0"/>
    <x v="0"/>
    <x v="11"/>
  </r>
  <r>
    <x v="213"/>
    <x v="13"/>
    <x v="213"/>
    <x v="3"/>
    <x v="4"/>
    <x v="16"/>
    <x v="5"/>
    <x v="213"/>
    <x v="0"/>
    <x v="0"/>
    <x v="0"/>
    <x v="12"/>
  </r>
  <r>
    <x v="214"/>
    <x v="13"/>
    <x v="214"/>
    <x v="6"/>
    <x v="4"/>
    <x v="39"/>
    <x v="6"/>
    <x v="214"/>
    <x v="0"/>
    <x v="0"/>
    <x v="0"/>
    <x v="12"/>
  </r>
  <r>
    <x v="215"/>
    <x v="13"/>
    <x v="215"/>
    <x v="4"/>
    <x v="0"/>
    <x v="6"/>
    <x v="2"/>
    <x v="215"/>
    <x v="0"/>
    <x v="0"/>
    <x v="0"/>
    <x v="0"/>
  </r>
  <r>
    <x v="216"/>
    <x v="13"/>
    <x v="216"/>
    <x v="4"/>
    <x v="0"/>
    <x v="6"/>
    <x v="2"/>
    <x v="216"/>
    <x v="0"/>
    <x v="0"/>
    <x v="0"/>
    <x v="1"/>
  </r>
  <r>
    <x v="217"/>
    <x v="13"/>
    <x v="217"/>
    <x v="4"/>
    <x v="0"/>
    <x v="6"/>
    <x v="1"/>
    <x v="217"/>
    <x v="0"/>
    <x v="0"/>
    <x v="0"/>
    <x v="1"/>
  </r>
  <r>
    <x v="218"/>
    <x v="13"/>
    <x v="218"/>
    <x v="0"/>
    <x v="0"/>
    <x v="0"/>
    <x v="2"/>
    <x v="218"/>
    <x v="0"/>
    <x v="0"/>
    <x v="0"/>
    <x v="1"/>
  </r>
  <r>
    <x v="219"/>
    <x v="13"/>
    <x v="219"/>
    <x v="0"/>
    <x v="0"/>
    <x v="0"/>
    <x v="5"/>
    <x v="219"/>
    <x v="0"/>
    <x v="0"/>
    <x v="0"/>
    <x v="2"/>
  </r>
  <r>
    <x v="220"/>
    <x v="13"/>
    <x v="220"/>
    <x v="6"/>
    <x v="4"/>
    <x v="39"/>
    <x v="6"/>
    <x v="220"/>
    <x v="0"/>
    <x v="0"/>
    <x v="0"/>
    <x v="3"/>
  </r>
  <r>
    <x v="221"/>
    <x v="13"/>
    <x v="221"/>
    <x v="4"/>
    <x v="6"/>
    <x v="12"/>
    <x v="7"/>
    <x v="221"/>
    <x v="0"/>
    <x v="0"/>
    <x v="0"/>
    <x v="3"/>
  </r>
  <r>
    <x v="222"/>
    <x v="13"/>
    <x v="222"/>
    <x v="0"/>
    <x v="0"/>
    <x v="0"/>
    <x v="0"/>
    <x v="222"/>
    <x v="0"/>
    <x v="0"/>
    <x v="0"/>
    <x v="6"/>
  </r>
  <r>
    <x v="223"/>
    <x v="13"/>
    <x v="223"/>
    <x v="4"/>
    <x v="0"/>
    <x v="6"/>
    <x v="7"/>
    <x v="223"/>
    <x v="0"/>
    <x v="0"/>
    <x v="0"/>
    <x v="16"/>
  </r>
  <r>
    <x v="224"/>
    <x v="13"/>
    <x v="224"/>
    <x v="4"/>
    <x v="0"/>
    <x v="6"/>
    <x v="7"/>
    <x v="224"/>
    <x v="0"/>
    <x v="0"/>
    <x v="0"/>
    <x v="18"/>
  </r>
  <r>
    <x v="225"/>
    <x v="13"/>
    <x v="225"/>
    <x v="0"/>
    <x v="0"/>
    <x v="0"/>
    <x v="6"/>
    <x v="225"/>
    <x v="0"/>
    <x v="0"/>
    <x v="0"/>
    <x v="7"/>
  </r>
  <r>
    <x v="226"/>
    <x v="13"/>
    <x v="226"/>
    <x v="0"/>
    <x v="0"/>
    <x v="0"/>
    <x v="5"/>
    <x v="226"/>
    <x v="0"/>
    <x v="0"/>
    <x v="0"/>
    <x v="13"/>
  </r>
  <r>
    <x v="227"/>
    <x v="13"/>
    <x v="227"/>
    <x v="3"/>
    <x v="0"/>
    <x v="4"/>
    <x v="2"/>
    <x v="227"/>
    <x v="0"/>
    <x v="0"/>
    <x v="0"/>
    <x v="13"/>
  </r>
  <r>
    <x v="228"/>
    <x v="13"/>
    <x v="228"/>
    <x v="0"/>
    <x v="4"/>
    <x v="11"/>
    <x v="5"/>
    <x v="228"/>
    <x v="0"/>
    <x v="0"/>
    <x v="0"/>
    <x v="9"/>
  </r>
  <r>
    <x v="229"/>
    <x v="13"/>
    <x v="229"/>
    <x v="0"/>
    <x v="4"/>
    <x v="11"/>
    <x v="12"/>
    <x v="229"/>
    <x v="0"/>
    <x v="0"/>
    <x v="0"/>
    <x v="14"/>
  </r>
  <r>
    <x v="230"/>
    <x v="13"/>
    <x v="230"/>
    <x v="3"/>
    <x v="4"/>
    <x v="16"/>
    <x v="3"/>
    <x v="230"/>
    <x v="0"/>
    <x v="0"/>
    <x v="0"/>
    <x v="20"/>
  </r>
  <r>
    <x v="231"/>
    <x v="14"/>
    <x v="231"/>
    <x v="3"/>
    <x v="0"/>
    <x v="4"/>
    <x v="1"/>
    <x v="231"/>
    <x v="0"/>
    <x v="0"/>
    <x v="0"/>
    <x v="11"/>
  </r>
  <r>
    <x v="232"/>
    <x v="14"/>
    <x v="232"/>
    <x v="4"/>
    <x v="0"/>
    <x v="6"/>
    <x v="5"/>
    <x v="232"/>
    <x v="0"/>
    <x v="0"/>
    <x v="0"/>
    <x v="0"/>
  </r>
  <r>
    <x v="233"/>
    <x v="14"/>
    <x v="233"/>
    <x v="1"/>
    <x v="0"/>
    <x v="24"/>
    <x v="1"/>
    <x v="233"/>
    <x v="0"/>
    <x v="0"/>
    <x v="0"/>
    <x v="0"/>
  </r>
  <r>
    <x v="234"/>
    <x v="14"/>
    <x v="234"/>
    <x v="0"/>
    <x v="6"/>
    <x v="10"/>
    <x v="2"/>
    <x v="234"/>
    <x v="0"/>
    <x v="0"/>
    <x v="0"/>
    <x v="17"/>
  </r>
  <r>
    <x v="235"/>
    <x v="14"/>
    <x v="235"/>
    <x v="0"/>
    <x v="0"/>
    <x v="0"/>
    <x v="1"/>
    <x v="235"/>
    <x v="0"/>
    <x v="0"/>
    <x v="0"/>
    <x v="5"/>
  </r>
  <r>
    <x v="236"/>
    <x v="14"/>
    <x v="236"/>
    <x v="0"/>
    <x v="4"/>
    <x v="11"/>
    <x v="1"/>
    <x v="236"/>
    <x v="0"/>
    <x v="0"/>
    <x v="0"/>
    <x v="22"/>
  </r>
  <r>
    <x v="237"/>
    <x v="14"/>
    <x v="237"/>
    <x v="0"/>
    <x v="4"/>
    <x v="11"/>
    <x v="4"/>
    <x v="237"/>
    <x v="0"/>
    <x v="0"/>
    <x v="0"/>
    <x v="18"/>
  </r>
  <r>
    <x v="238"/>
    <x v="14"/>
    <x v="238"/>
    <x v="3"/>
    <x v="0"/>
    <x v="4"/>
    <x v="7"/>
    <x v="238"/>
    <x v="0"/>
    <x v="0"/>
    <x v="0"/>
    <x v="7"/>
  </r>
  <r>
    <x v="239"/>
    <x v="14"/>
    <x v="239"/>
    <x v="0"/>
    <x v="0"/>
    <x v="0"/>
    <x v="4"/>
    <x v="239"/>
    <x v="0"/>
    <x v="0"/>
    <x v="0"/>
    <x v="13"/>
  </r>
  <r>
    <x v="240"/>
    <x v="14"/>
    <x v="240"/>
    <x v="3"/>
    <x v="0"/>
    <x v="4"/>
    <x v="7"/>
    <x v="240"/>
    <x v="0"/>
    <x v="0"/>
    <x v="0"/>
    <x v="9"/>
  </r>
  <r>
    <x v="241"/>
    <x v="14"/>
    <x v="241"/>
    <x v="4"/>
    <x v="4"/>
    <x v="7"/>
    <x v="0"/>
    <x v="241"/>
    <x v="0"/>
    <x v="0"/>
    <x v="0"/>
    <x v="9"/>
  </r>
  <r>
    <x v="242"/>
    <x v="14"/>
    <x v="242"/>
    <x v="0"/>
    <x v="0"/>
    <x v="0"/>
    <x v="5"/>
    <x v="242"/>
    <x v="0"/>
    <x v="0"/>
    <x v="0"/>
    <x v="9"/>
  </r>
  <r>
    <x v="243"/>
    <x v="14"/>
    <x v="243"/>
    <x v="0"/>
    <x v="0"/>
    <x v="0"/>
    <x v="4"/>
    <x v="243"/>
    <x v="0"/>
    <x v="0"/>
    <x v="0"/>
    <x v="10"/>
  </r>
  <r>
    <x v="244"/>
    <x v="14"/>
    <x v="244"/>
    <x v="0"/>
    <x v="4"/>
    <x v="11"/>
    <x v="11"/>
    <x v="244"/>
    <x v="0"/>
    <x v="0"/>
    <x v="0"/>
    <x v="20"/>
  </r>
  <r>
    <x v="245"/>
    <x v="15"/>
    <x v="245"/>
    <x v="6"/>
    <x v="3"/>
    <x v="40"/>
    <x v="3"/>
    <x v="245"/>
    <x v="0"/>
    <x v="0"/>
    <x v="0"/>
    <x v="12"/>
  </r>
  <r>
    <x v="246"/>
    <x v="15"/>
    <x v="246"/>
    <x v="3"/>
    <x v="0"/>
    <x v="4"/>
    <x v="4"/>
    <x v="246"/>
    <x v="0"/>
    <x v="0"/>
    <x v="0"/>
    <x v="0"/>
  </r>
  <r>
    <x v="247"/>
    <x v="15"/>
    <x v="247"/>
    <x v="0"/>
    <x v="2"/>
    <x v="2"/>
    <x v="8"/>
    <x v="247"/>
    <x v="0"/>
    <x v="0"/>
    <x v="0"/>
    <x v="0"/>
  </r>
  <r>
    <x v="248"/>
    <x v="15"/>
    <x v="248"/>
    <x v="1"/>
    <x v="0"/>
    <x v="24"/>
    <x v="2"/>
    <x v="248"/>
    <x v="0"/>
    <x v="0"/>
    <x v="0"/>
    <x v="1"/>
  </r>
  <r>
    <x v="249"/>
    <x v="15"/>
    <x v="249"/>
    <x v="4"/>
    <x v="2"/>
    <x v="20"/>
    <x v="4"/>
    <x v="249"/>
    <x v="0"/>
    <x v="0"/>
    <x v="0"/>
    <x v="1"/>
  </r>
  <r>
    <x v="250"/>
    <x v="15"/>
    <x v="250"/>
    <x v="4"/>
    <x v="0"/>
    <x v="6"/>
    <x v="7"/>
    <x v="250"/>
    <x v="0"/>
    <x v="0"/>
    <x v="0"/>
    <x v="1"/>
  </r>
  <r>
    <x v="251"/>
    <x v="15"/>
    <x v="251"/>
    <x v="0"/>
    <x v="6"/>
    <x v="10"/>
    <x v="3"/>
    <x v="251"/>
    <x v="0"/>
    <x v="7"/>
    <x v="0"/>
    <x v="3"/>
  </r>
  <r>
    <x v="252"/>
    <x v="15"/>
    <x v="252"/>
    <x v="0"/>
    <x v="6"/>
    <x v="10"/>
    <x v="7"/>
    <x v="252"/>
    <x v="0"/>
    <x v="0"/>
    <x v="0"/>
    <x v="17"/>
  </r>
  <r>
    <x v="253"/>
    <x v="15"/>
    <x v="253"/>
    <x v="0"/>
    <x v="4"/>
    <x v="11"/>
    <x v="7"/>
    <x v="253"/>
    <x v="0"/>
    <x v="0"/>
    <x v="0"/>
    <x v="17"/>
  </r>
  <r>
    <x v="254"/>
    <x v="15"/>
    <x v="254"/>
    <x v="0"/>
    <x v="1"/>
    <x v="28"/>
    <x v="4"/>
    <x v="254"/>
    <x v="0"/>
    <x v="0"/>
    <x v="0"/>
    <x v="22"/>
  </r>
  <r>
    <x v="255"/>
    <x v="15"/>
    <x v="255"/>
    <x v="0"/>
    <x v="0"/>
    <x v="0"/>
    <x v="7"/>
    <x v="255"/>
    <x v="0"/>
    <x v="0"/>
    <x v="0"/>
    <x v="7"/>
  </r>
  <r>
    <x v="256"/>
    <x v="15"/>
    <x v="256"/>
    <x v="0"/>
    <x v="0"/>
    <x v="0"/>
    <x v="1"/>
    <x v="256"/>
    <x v="0"/>
    <x v="0"/>
    <x v="0"/>
    <x v="13"/>
  </r>
  <r>
    <x v="257"/>
    <x v="15"/>
    <x v="257"/>
    <x v="4"/>
    <x v="4"/>
    <x v="7"/>
    <x v="3"/>
    <x v="257"/>
    <x v="0"/>
    <x v="0"/>
    <x v="0"/>
    <x v="9"/>
  </r>
  <r>
    <x v="258"/>
    <x v="15"/>
    <x v="258"/>
    <x v="0"/>
    <x v="0"/>
    <x v="0"/>
    <x v="13"/>
    <x v="258"/>
    <x v="0"/>
    <x v="0"/>
    <x v="0"/>
    <x v="15"/>
  </r>
  <r>
    <x v="259"/>
    <x v="15"/>
    <x v="259"/>
    <x v="0"/>
    <x v="4"/>
    <x v="11"/>
    <x v="8"/>
    <x v="259"/>
    <x v="0"/>
    <x v="0"/>
    <x v="0"/>
    <x v="20"/>
  </r>
  <r>
    <x v="260"/>
    <x v="15"/>
    <x v="260"/>
    <x v="4"/>
    <x v="6"/>
    <x v="12"/>
    <x v="7"/>
    <x v="260"/>
    <x v="0"/>
    <x v="0"/>
    <x v="0"/>
    <x v="20"/>
  </r>
  <r>
    <x v="261"/>
    <x v="16"/>
    <x v="261"/>
    <x v="3"/>
    <x v="0"/>
    <x v="4"/>
    <x v="5"/>
    <x v="261"/>
    <x v="0"/>
    <x v="0"/>
    <x v="0"/>
    <x v="11"/>
  </r>
  <r>
    <x v="262"/>
    <x v="16"/>
    <x v="262"/>
    <x v="0"/>
    <x v="0"/>
    <x v="0"/>
    <x v="6"/>
    <x v="262"/>
    <x v="0"/>
    <x v="0"/>
    <x v="0"/>
    <x v="11"/>
  </r>
  <r>
    <x v="263"/>
    <x v="16"/>
    <x v="263"/>
    <x v="6"/>
    <x v="0"/>
    <x v="21"/>
    <x v="5"/>
    <x v="263"/>
    <x v="0"/>
    <x v="0"/>
    <x v="0"/>
    <x v="11"/>
  </r>
  <r>
    <x v="264"/>
    <x v="16"/>
    <x v="264"/>
    <x v="1"/>
    <x v="11"/>
    <x v="41"/>
    <x v="4"/>
    <x v="264"/>
    <x v="0"/>
    <x v="0"/>
    <x v="0"/>
    <x v="12"/>
  </r>
  <r>
    <x v="265"/>
    <x v="16"/>
    <x v="265"/>
    <x v="11"/>
    <x v="10"/>
    <x v="42"/>
    <x v="2"/>
    <x v="265"/>
    <x v="0"/>
    <x v="0"/>
    <x v="0"/>
    <x v="0"/>
  </r>
  <r>
    <x v="266"/>
    <x v="16"/>
    <x v="266"/>
    <x v="6"/>
    <x v="5"/>
    <x v="43"/>
    <x v="4"/>
    <x v="266"/>
    <x v="0"/>
    <x v="0"/>
    <x v="0"/>
    <x v="0"/>
  </r>
  <r>
    <x v="267"/>
    <x v="16"/>
    <x v="267"/>
    <x v="6"/>
    <x v="3"/>
    <x v="40"/>
    <x v="3"/>
    <x v="267"/>
    <x v="0"/>
    <x v="0"/>
    <x v="0"/>
    <x v="4"/>
  </r>
  <r>
    <x v="268"/>
    <x v="16"/>
    <x v="268"/>
    <x v="7"/>
    <x v="6"/>
    <x v="29"/>
    <x v="4"/>
    <x v="268"/>
    <x v="0"/>
    <x v="0"/>
    <x v="0"/>
    <x v="17"/>
  </r>
  <r>
    <x v="269"/>
    <x v="16"/>
    <x v="269"/>
    <x v="3"/>
    <x v="0"/>
    <x v="4"/>
    <x v="2"/>
    <x v="269"/>
    <x v="0"/>
    <x v="0"/>
    <x v="0"/>
    <x v="6"/>
  </r>
  <r>
    <x v="270"/>
    <x v="16"/>
    <x v="270"/>
    <x v="0"/>
    <x v="0"/>
    <x v="0"/>
    <x v="1"/>
    <x v="270"/>
    <x v="0"/>
    <x v="0"/>
    <x v="0"/>
    <x v="7"/>
  </r>
  <r>
    <x v="271"/>
    <x v="16"/>
    <x v="271"/>
    <x v="0"/>
    <x v="8"/>
    <x v="22"/>
    <x v="8"/>
    <x v="271"/>
    <x v="0"/>
    <x v="0"/>
    <x v="0"/>
    <x v="9"/>
  </r>
  <r>
    <x v="272"/>
    <x v="16"/>
    <x v="272"/>
    <x v="4"/>
    <x v="0"/>
    <x v="6"/>
    <x v="3"/>
    <x v="272"/>
    <x v="0"/>
    <x v="0"/>
    <x v="0"/>
    <x v="15"/>
  </r>
  <r>
    <x v="273"/>
    <x v="17"/>
    <x v="273"/>
    <x v="5"/>
    <x v="0"/>
    <x v="14"/>
    <x v="2"/>
    <x v="273"/>
    <x v="0"/>
    <x v="0"/>
    <x v="0"/>
    <x v="0"/>
  </r>
  <r>
    <x v="274"/>
    <x v="17"/>
    <x v="274"/>
    <x v="6"/>
    <x v="2"/>
    <x v="44"/>
    <x v="5"/>
    <x v="274"/>
    <x v="0"/>
    <x v="0"/>
    <x v="0"/>
    <x v="1"/>
  </r>
  <r>
    <x v="275"/>
    <x v="17"/>
    <x v="275"/>
    <x v="4"/>
    <x v="0"/>
    <x v="6"/>
    <x v="7"/>
    <x v="275"/>
    <x v="0"/>
    <x v="0"/>
    <x v="0"/>
    <x v="1"/>
  </r>
  <r>
    <x v="276"/>
    <x v="17"/>
    <x v="276"/>
    <x v="0"/>
    <x v="2"/>
    <x v="2"/>
    <x v="8"/>
    <x v="276"/>
    <x v="0"/>
    <x v="0"/>
    <x v="0"/>
    <x v="3"/>
  </r>
  <r>
    <x v="277"/>
    <x v="17"/>
    <x v="277"/>
    <x v="0"/>
    <x v="0"/>
    <x v="0"/>
    <x v="1"/>
    <x v="277"/>
    <x v="0"/>
    <x v="0"/>
    <x v="0"/>
    <x v="18"/>
  </r>
  <r>
    <x v="278"/>
    <x v="17"/>
    <x v="278"/>
    <x v="4"/>
    <x v="0"/>
    <x v="6"/>
    <x v="6"/>
    <x v="278"/>
    <x v="0"/>
    <x v="0"/>
    <x v="0"/>
    <x v="18"/>
  </r>
  <r>
    <x v="279"/>
    <x v="17"/>
    <x v="279"/>
    <x v="0"/>
    <x v="4"/>
    <x v="11"/>
    <x v="2"/>
    <x v="279"/>
    <x v="0"/>
    <x v="0"/>
    <x v="0"/>
    <x v="18"/>
  </r>
  <r>
    <x v="280"/>
    <x v="17"/>
    <x v="280"/>
    <x v="4"/>
    <x v="0"/>
    <x v="6"/>
    <x v="7"/>
    <x v="280"/>
    <x v="0"/>
    <x v="0"/>
    <x v="0"/>
    <x v="7"/>
  </r>
  <r>
    <x v="281"/>
    <x v="17"/>
    <x v="281"/>
    <x v="0"/>
    <x v="0"/>
    <x v="0"/>
    <x v="6"/>
    <x v="281"/>
    <x v="0"/>
    <x v="0"/>
    <x v="0"/>
    <x v="13"/>
  </r>
  <r>
    <x v="282"/>
    <x v="17"/>
    <x v="282"/>
    <x v="3"/>
    <x v="0"/>
    <x v="4"/>
    <x v="4"/>
    <x v="282"/>
    <x v="0"/>
    <x v="0"/>
    <x v="0"/>
    <x v="13"/>
  </r>
  <r>
    <x v="283"/>
    <x v="17"/>
    <x v="283"/>
    <x v="4"/>
    <x v="6"/>
    <x v="12"/>
    <x v="7"/>
    <x v="283"/>
    <x v="0"/>
    <x v="0"/>
    <x v="0"/>
    <x v="9"/>
  </r>
  <r>
    <x v="284"/>
    <x v="17"/>
    <x v="284"/>
    <x v="4"/>
    <x v="0"/>
    <x v="6"/>
    <x v="7"/>
    <x v="284"/>
    <x v="0"/>
    <x v="0"/>
    <x v="0"/>
    <x v="9"/>
  </r>
  <r>
    <x v="285"/>
    <x v="17"/>
    <x v="285"/>
    <x v="4"/>
    <x v="0"/>
    <x v="6"/>
    <x v="3"/>
    <x v="285"/>
    <x v="0"/>
    <x v="0"/>
    <x v="0"/>
    <x v="10"/>
  </r>
  <r>
    <x v="286"/>
    <x v="17"/>
    <x v="286"/>
    <x v="4"/>
    <x v="0"/>
    <x v="6"/>
    <x v="4"/>
    <x v="286"/>
    <x v="0"/>
    <x v="0"/>
    <x v="0"/>
    <x v="15"/>
  </r>
  <r>
    <x v="287"/>
    <x v="18"/>
    <x v="287"/>
    <x v="1"/>
    <x v="0"/>
    <x v="24"/>
    <x v="7"/>
    <x v="287"/>
    <x v="0"/>
    <x v="0"/>
    <x v="0"/>
    <x v="12"/>
  </r>
  <r>
    <x v="288"/>
    <x v="18"/>
    <x v="288"/>
    <x v="0"/>
    <x v="0"/>
    <x v="0"/>
    <x v="6"/>
    <x v="288"/>
    <x v="0"/>
    <x v="0"/>
    <x v="0"/>
    <x v="1"/>
  </r>
  <r>
    <x v="289"/>
    <x v="18"/>
    <x v="289"/>
    <x v="0"/>
    <x v="0"/>
    <x v="0"/>
    <x v="5"/>
    <x v="289"/>
    <x v="0"/>
    <x v="0"/>
    <x v="0"/>
    <x v="1"/>
  </r>
  <r>
    <x v="290"/>
    <x v="18"/>
    <x v="290"/>
    <x v="4"/>
    <x v="0"/>
    <x v="6"/>
    <x v="2"/>
    <x v="290"/>
    <x v="0"/>
    <x v="0"/>
    <x v="0"/>
    <x v="2"/>
  </r>
  <r>
    <x v="291"/>
    <x v="18"/>
    <x v="291"/>
    <x v="4"/>
    <x v="0"/>
    <x v="6"/>
    <x v="7"/>
    <x v="291"/>
    <x v="0"/>
    <x v="0"/>
    <x v="0"/>
    <x v="2"/>
  </r>
  <r>
    <x v="292"/>
    <x v="18"/>
    <x v="292"/>
    <x v="0"/>
    <x v="0"/>
    <x v="0"/>
    <x v="1"/>
    <x v="292"/>
    <x v="0"/>
    <x v="0"/>
    <x v="0"/>
    <x v="2"/>
  </r>
  <r>
    <x v="293"/>
    <x v="18"/>
    <x v="293"/>
    <x v="6"/>
    <x v="0"/>
    <x v="21"/>
    <x v="6"/>
    <x v="293"/>
    <x v="0"/>
    <x v="0"/>
    <x v="0"/>
    <x v="3"/>
  </r>
  <r>
    <x v="294"/>
    <x v="18"/>
    <x v="294"/>
    <x v="8"/>
    <x v="8"/>
    <x v="45"/>
    <x v="8"/>
    <x v="294"/>
    <x v="0"/>
    <x v="0"/>
    <x v="0"/>
    <x v="4"/>
  </r>
  <r>
    <x v="295"/>
    <x v="18"/>
    <x v="295"/>
    <x v="6"/>
    <x v="0"/>
    <x v="21"/>
    <x v="2"/>
    <x v="295"/>
    <x v="0"/>
    <x v="0"/>
    <x v="0"/>
    <x v="17"/>
  </r>
  <r>
    <x v="296"/>
    <x v="18"/>
    <x v="296"/>
    <x v="0"/>
    <x v="0"/>
    <x v="0"/>
    <x v="7"/>
    <x v="296"/>
    <x v="0"/>
    <x v="0"/>
    <x v="0"/>
    <x v="5"/>
  </r>
  <r>
    <x v="297"/>
    <x v="18"/>
    <x v="297"/>
    <x v="0"/>
    <x v="0"/>
    <x v="0"/>
    <x v="7"/>
    <x v="297"/>
    <x v="0"/>
    <x v="0"/>
    <x v="0"/>
    <x v="5"/>
  </r>
  <r>
    <x v="298"/>
    <x v="18"/>
    <x v="298"/>
    <x v="0"/>
    <x v="0"/>
    <x v="0"/>
    <x v="5"/>
    <x v="298"/>
    <x v="0"/>
    <x v="0"/>
    <x v="0"/>
    <x v="5"/>
  </r>
  <r>
    <x v="299"/>
    <x v="18"/>
    <x v="299"/>
    <x v="0"/>
    <x v="5"/>
    <x v="25"/>
    <x v="5"/>
    <x v="299"/>
    <x v="0"/>
    <x v="0"/>
    <x v="0"/>
    <x v="6"/>
  </r>
  <r>
    <x v="300"/>
    <x v="18"/>
    <x v="300"/>
    <x v="4"/>
    <x v="0"/>
    <x v="6"/>
    <x v="7"/>
    <x v="300"/>
    <x v="0"/>
    <x v="0"/>
    <x v="0"/>
    <x v="18"/>
  </r>
  <r>
    <x v="301"/>
    <x v="18"/>
    <x v="301"/>
    <x v="4"/>
    <x v="0"/>
    <x v="6"/>
    <x v="4"/>
    <x v="301"/>
    <x v="0"/>
    <x v="0"/>
    <x v="0"/>
    <x v="7"/>
  </r>
  <r>
    <x v="302"/>
    <x v="18"/>
    <x v="302"/>
    <x v="4"/>
    <x v="1"/>
    <x v="5"/>
    <x v="6"/>
    <x v="302"/>
    <x v="0"/>
    <x v="0"/>
    <x v="0"/>
    <x v="9"/>
  </r>
  <r>
    <x v="303"/>
    <x v="18"/>
    <x v="303"/>
    <x v="3"/>
    <x v="4"/>
    <x v="16"/>
    <x v="6"/>
    <x v="303"/>
    <x v="0"/>
    <x v="0"/>
    <x v="0"/>
    <x v="9"/>
  </r>
  <r>
    <x v="304"/>
    <x v="18"/>
    <x v="304"/>
    <x v="3"/>
    <x v="0"/>
    <x v="4"/>
    <x v="1"/>
    <x v="304"/>
    <x v="0"/>
    <x v="0"/>
    <x v="0"/>
    <x v="9"/>
  </r>
  <r>
    <x v="305"/>
    <x v="18"/>
    <x v="305"/>
    <x v="0"/>
    <x v="4"/>
    <x v="11"/>
    <x v="8"/>
    <x v="305"/>
    <x v="0"/>
    <x v="0"/>
    <x v="0"/>
    <x v="10"/>
  </r>
  <r>
    <x v="306"/>
    <x v="19"/>
    <x v="306"/>
    <x v="1"/>
    <x v="0"/>
    <x v="24"/>
    <x v="1"/>
    <x v="306"/>
    <x v="0"/>
    <x v="0"/>
    <x v="0"/>
    <x v="0"/>
  </r>
  <r>
    <x v="307"/>
    <x v="19"/>
    <x v="307"/>
    <x v="0"/>
    <x v="0"/>
    <x v="0"/>
    <x v="6"/>
    <x v="307"/>
    <x v="0"/>
    <x v="0"/>
    <x v="0"/>
    <x v="0"/>
  </r>
  <r>
    <x v="308"/>
    <x v="19"/>
    <x v="308"/>
    <x v="5"/>
    <x v="0"/>
    <x v="14"/>
    <x v="1"/>
    <x v="308"/>
    <x v="0"/>
    <x v="0"/>
    <x v="0"/>
    <x v="0"/>
  </r>
  <r>
    <x v="309"/>
    <x v="19"/>
    <x v="309"/>
    <x v="6"/>
    <x v="2"/>
    <x v="44"/>
    <x v="3"/>
    <x v="309"/>
    <x v="0"/>
    <x v="0"/>
    <x v="0"/>
    <x v="1"/>
  </r>
  <r>
    <x v="310"/>
    <x v="19"/>
    <x v="310"/>
    <x v="4"/>
    <x v="0"/>
    <x v="6"/>
    <x v="7"/>
    <x v="310"/>
    <x v="0"/>
    <x v="0"/>
    <x v="0"/>
    <x v="1"/>
  </r>
  <r>
    <x v="311"/>
    <x v="19"/>
    <x v="311"/>
    <x v="4"/>
    <x v="2"/>
    <x v="20"/>
    <x v="8"/>
    <x v="311"/>
    <x v="0"/>
    <x v="0"/>
    <x v="0"/>
    <x v="1"/>
  </r>
  <r>
    <x v="312"/>
    <x v="19"/>
    <x v="312"/>
    <x v="0"/>
    <x v="0"/>
    <x v="0"/>
    <x v="3"/>
    <x v="312"/>
    <x v="0"/>
    <x v="0"/>
    <x v="0"/>
    <x v="1"/>
  </r>
  <r>
    <x v="313"/>
    <x v="19"/>
    <x v="313"/>
    <x v="5"/>
    <x v="1"/>
    <x v="23"/>
    <x v="5"/>
    <x v="313"/>
    <x v="0"/>
    <x v="0"/>
    <x v="0"/>
    <x v="1"/>
  </r>
  <r>
    <x v="314"/>
    <x v="19"/>
    <x v="314"/>
    <x v="12"/>
    <x v="0"/>
    <x v="46"/>
    <x v="5"/>
    <x v="314"/>
    <x v="0"/>
    <x v="0"/>
    <x v="0"/>
    <x v="1"/>
  </r>
  <r>
    <x v="315"/>
    <x v="19"/>
    <x v="315"/>
    <x v="0"/>
    <x v="3"/>
    <x v="47"/>
    <x v="7"/>
    <x v="315"/>
    <x v="0"/>
    <x v="0"/>
    <x v="0"/>
    <x v="1"/>
  </r>
  <r>
    <x v="316"/>
    <x v="19"/>
    <x v="316"/>
    <x v="3"/>
    <x v="0"/>
    <x v="4"/>
    <x v="7"/>
    <x v="316"/>
    <x v="0"/>
    <x v="0"/>
    <x v="0"/>
    <x v="2"/>
  </r>
  <r>
    <x v="317"/>
    <x v="19"/>
    <x v="317"/>
    <x v="4"/>
    <x v="0"/>
    <x v="6"/>
    <x v="2"/>
    <x v="317"/>
    <x v="0"/>
    <x v="0"/>
    <x v="0"/>
    <x v="5"/>
  </r>
  <r>
    <x v="318"/>
    <x v="19"/>
    <x v="318"/>
    <x v="0"/>
    <x v="0"/>
    <x v="0"/>
    <x v="5"/>
    <x v="318"/>
    <x v="0"/>
    <x v="0"/>
    <x v="0"/>
    <x v="22"/>
  </r>
  <r>
    <x v="319"/>
    <x v="19"/>
    <x v="319"/>
    <x v="0"/>
    <x v="0"/>
    <x v="0"/>
    <x v="9"/>
    <x v="319"/>
    <x v="0"/>
    <x v="0"/>
    <x v="0"/>
    <x v="6"/>
  </r>
  <r>
    <x v="320"/>
    <x v="19"/>
    <x v="320"/>
    <x v="4"/>
    <x v="0"/>
    <x v="6"/>
    <x v="7"/>
    <x v="320"/>
    <x v="0"/>
    <x v="0"/>
    <x v="0"/>
    <x v="7"/>
  </r>
  <r>
    <x v="321"/>
    <x v="19"/>
    <x v="321"/>
    <x v="3"/>
    <x v="0"/>
    <x v="4"/>
    <x v="9"/>
    <x v="321"/>
    <x v="0"/>
    <x v="0"/>
    <x v="0"/>
    <x v="7"/>
  </r>
  <r>
    <x v="322"/>
    <x v="19"/>
    <x v="322"/>
    <x v="4"/>
    <x v="0"/>
    <x v="6"/>
    <x v="2"/>
    <x v="322"/>
    <x v="0"/>
    <x v="0"/>
    <x v="0"/>
    <x v="7"/>
  </r>
  <r>
    <x v="323"/>
    <x v="19"/>
    <x v="323"/>
    <x v="0"/>
    <x v="0"/>
    <x v="0"/>
    <x v="7"/>
    <x v="323"/>
    <x v="0"/>
    <x v="0"/>
    <x v="0"/>
    <x v="7"/>
  </r>
  <r>
    <x v="324"/>
    <x v="19"/>
    <x v="324"/>
    <x v="4"/>
    <x v="0"/>
    <x v="6"/>
    <x v="0"/>
    <x v="324"/>
    <x v="0"/>
    <x v="0"/>
    <x v="0"/>
    <x v="7"/>
  </r>
  <r>
    <x v="325"/>
    <x v="19"/>
    <x v="325"/>
    <x v="4"/>
    <x v="0"/>
    <x v="6"/>
    <x v="5"/>
    <x v="325"/>
    <x v="0"/>
    <x v="0"/>
    <x v="0"/>
    <x v="13"/>
  </r>
  <r>
    <x v="326"/>
    <x v="19"/>
    <x v="326"/>
    <x v="0"/>
    <x v="0"/>
    <x v="0"/>
    <x v="3"/>
    <x v="326"/>
    <x v="0"/>
    <x v="0"/>
    <x v="0"/>
    <x v="10"/>
  </r>
  <r>
    <x v="327"/>
    <x v="19"/>
    <x v="327"/>
    <x v="0"/>
    <x v="4"/>
    <x v="11"/>
    <x v="2"/>
    <x v="327"/>
    <x v="0"/>
    <x v="0"/>
    <x v="0"/>
    <x v="14"/>
  </r>
  <r>
    <x v="328"/>
    <x v="20"/>
    <x v="328"/>
    <x v="6"/>
    <x v="0"/>
    <x v="21"/>
    <x v="7"/>
    <x v="328"/>
    <x v="0"/>
    <x v="0"/>
    <x v="0"/>
    <x v="11"/>
  </r>
  <r>
    <x v="329"/>
    <x v="20"/>
    <x v="329"/>
    <x v="0"/>
    <x v="0"/>
    <x v="0"/>
    <x v="3"/>
    <x v="329"/>
    <x v="0"/>
    <x v="0"/>
    <x v="0"/>
    <x v="11"/>
  </r>
  <r>
    <x v="330"/>
    <x v="20"/>
    <x v="330"/>
    <x v="1"/>
    <x v="0"/>
    <x v="24"/>
    <x v="5"/>
    <x v="330"/>
    <x v="0"/>
    <x v="0"/>
    <x v="0"/>
    <x v="0"/>
  </r>
  <r>
    <x v="331"/>
    <x v="20"/>
    <x v="331"/>
    <x v="1"/>
    <x v="2"/>
    <x v="18"/>
    <x v="4"/>
    <x v="331"/>
    <x v="0"/>
    <x v="0"/>
    <x v="0"/>
    <x v="2"/>
  </r>
  <r>
    <x v="332"/>
    <x v="20"/>
    <x v="332"/>
    <x v="0"/>
    <x v="0"/>
    <x v="0"/>
    <x v="6"/>
    <x v="332"/>
    <x v="0"/>
    <x v="0"/>
    <x v="0"/>
    <x v="17"/>
  </r>
  <r>
    <x v="333"/>
    <x v="20"/>
    <x v="333"/>
    <x v="0"/>
    <x v="0"/>
    <x v="0"/>
    <x v="7"/>
    <x v="333"/>
    <x v="0"/>
    <x v="0"/>
    <x v="0"/>
    <x v="5"/>
  </r>
  <r>
    <x v="334"/>
    <x v="20"/>
    <x v="334"/>
    <x v="6"/>
    <x v="0"/>
    <x v="21"/>
    <x v="7"/>
    <x v="334"/>
    <x v="0"/>
    <x v="0"/>
    <x v="0"/>
    <x v="5"/>
  </r>
  <r>
    <x v="335"/>
    <x v="20"/>
    <x v="335"/>
    <x v="0"/>
    <x v="0"/>
    <x v="0"/>
    <x v="4"/>
    <x v="335"/>
    <x v="0"/>
    <x v="0"/>
    <x v="0"/>
    <x v="5"/>
  </r>
  <r>
    <x v="336"/>
    <x v="20"/>
    <x v="336"/>
    <x v="3"/>
    <x v="2"/>
    <x v="27"/>
    <x v="6"/>
    <x v="336"/>
    <x v="0"/>
    <x v="0"/>
    <x v="0"/>
    <x v="22"/>
  </r>
  <r>
    <x v="337"/>
    <x v="20"/>
    <x v="337"/>
    <x v="0"/>
    <x v="6"/>
    <x v="10"/>
    <x v="4"/>
    <x v="337"/>
    <x v="0"/>
    <x v="0"/>
    <x v="5"/>
    <x v="6"/>
  </r>
  <r>
    <x v="338"/>
    <x v="20"/>
    <x v="338"/>
    <x v="0"/>
    <x v="1"/>
    <x v="28"/>
    <x v="6"/>
    <x v="338"/>
    <x v="0"/>
    <x v="0"/>
    <x v="0"/>
    <x v="6"/>
  </r>
  <r>
    <x v="339"/>
    <x v="20"/>
    <x v="339"/>
    <x v="4"/>
    <x v="0"/>
    <x v="6"/>
    <x v="4"/>
    <x v="339"/>
    <x v="0"/>
    <x v="0"/>
    <x v="0"/>
    <x v="18"/>
  </r>
  <r>
    <x v="340"/>
    <x v="20"/>
    <x v="340"/>
    <x v="4"/>
    <x v="6"/>
    <x v="12"/>
    <x v="5"/>
    <x v="340"/>
    <x v="0"/>
    <x v="0"/>
    <x v="0"/>
    <x v="7"/>
  </r>
  <r>
    <x v="341"/>
    <x v="20"/>
    <x v="341"/>
    <x v="0"/>
    <x v="1"/>
    <x v="28"/>
    <x v="7"/>
    <x v="341"/>
    <x v="0"/>
    <x v="0"/>
    <x v="0"/>
    <x v="7"/>
  </r>
  <r>
    <x v="342"/>
    <x v="20"/>
    <x v="342"/>
    <x v="0"/>
    <x v="5"/>
    <x v="25"/>
    <x v="2"/>
    <x v="342"/>
    <x v="0"/>
    <x v="0"/>
    <x v="0"/>
    <x v="13"/>
  </r>
  <r>
    <x v="343"/>
    <x v="20"/>
    <x v="343"/>
    <x v="3"/>
    <x v="4"/>
    <x v="16"/>
    <x v="7"/>
    <x v="343"/>
    <x v="0"/>
    <x v="0"/>
    <x v="0"/>
    <x v="9"/>
  </r>
  <r>
    <x v="344"/>
    <x v="20"/>
    <x v="344"/>
    <x v="0"/>
    <x v="4"/>
    <x v="11"/>
    <x v="9"/>
    <x v="344"/>
    <x v="0"/>
    <x v="0"/>
    <x v="0"/>
    <x v="10"/>
  </r>
  <r>
    <x v="345"/>
    <x v="20"/>
    <x v="345"/>
    <x v="4"/>
    <x v="4"/>
    <x v="7"/>
    <x v="6"/>
    <x v="345"/>
    <x v="0"/>
    <x v="0"/>
    <x v="0"/>
    <x v="20"/>
  </r>
  <r>
    <x v="346"/>
    <x v="21"/>
    <x v="346"/>
    <x v="3"/>
    <x v="0"/>
    <x v="4"/>
    <x v="2"/>
    <x v="346"/>
    <x v="0"/>
    <x v="0"/>
    <x v="0"/>
    <x v="11"/>
  </r>
  <r>
    <x v="347"/>
    <x v="21"/>
    <x v="347"/>
    <x v="0"/>
    <x v="0"/>
    <x v="0"/>
    <x v="9"/>
    <x v="347"/>
    <x v="0"/>
    <x v="0"/>
    <x v="0"/>
    <x v="0"/>
  </r>
  <r>
    <x v="348"/>
    <x v="21"/>
    <x v="348"/>
    <x v="6"/>
    <x v="3"/>
    <x v="40"/>
    <x v="11"/>
    <x v="348"/>
    <x v="0"/>
    <x v="0"/>
    <x v="0"/>
    <x v="0"/>
  </r>
  <r>
    <x v="349"/>
    <x v="21"/>
    <x v="349"/>
    <x v="10"/>
    <x v="0"/>
    <x v="48"/>
    <x v="5"/>
    <x v="349"/>
    <x v="0"/>
    <x v="0"/>
    <x v="0"/>
    <x v="1"/>
  </r>
  <r>
    <x v="350"/>
    <x v="21"/>
    <x v="350"/>
    <x v="3"/>
    <x v="0"/>
    <x v="4"/>
    <x v="6"/>
    <x v="350"/>
    <x v="0"/>
    <x v="0"/>
    <x v="0"/>
    <x v="1"/>
  </r>
  <r>
    <x v="351"/>
    <x v="21"/>
    <x v="351"/>
    <x v="0"/>
    <x v="0"/>
    <x v="0"/>
    <x v="0"/>
    <x v="351"/>
    <x v="0"/>
    <x v="0"/>
    <x v="0"/>
    <x v="1"/>
  </r>
  <r>
    <x v="352"/>
    <x v="21"/>
    <x v="352"/>
    <x v="0"/>
    <x v="3"/>
    <x v="47"/>
    <x v="6"/>
    <x v="352"/>
    <x v="0"/>
    <x v="0"/>
    <x v="0"/>
    <x v="1"/>
  </r>
  <r>
    <x v="353"/>
    <x v="21"/>
    <x v="353"/>
    <x v="0"/>
    <x v="0"/>
    <x v="0"/>
    <x v="6"/>
    <x v="353"/>
    <x v="0"/>
    <x v="0"/>
    <x v="0"/>
    <x v="2"/>
  </r>
  <r>
    <x v="354"/>
    <x v="21"/>
    <x v="354"/>
    <x v="6"/>
    <x v="0"/>
    <x v="21"/>
    <x v="4"/>
    <x v="354"/>
    <x v="0"/>
    <x v="0"/>
    <x v="0"/>
    <x v="3"/>
  </r>
  <r>
    <x v="355"/>
    <x v="21"/>
    <x v="355"/>
    <x v="0"/>
    <x v="0"/>
    <x v="0"/>
    <x v="7"/>
    <x v="355"/>
    <x v="0"/>
    <x v="0"/>
    <x v="0"/>
    <x v="5"/>
  </r>
  <r>
    <x v="356"/>
    <x v="21"/>
    <x v="356"/>
    <x v="0"/>
    <x v="0"/>
    <x v="0"/>
    <x v="5"/>
    <x v="356"/>
    <x v="0"/>
    <x v="0"/>
    <x v="0"/>
    <x v="5"/>
  </r>
  <r>
    <x v="357"/>
    <x v="21"/>
    <x v="357"/>
    <x v="0"/>
    <x v="2"/>
    <x v="2"/>
    <x v="5"/>
    <x v="357"/>
    <x v="0"/>
    <x v="0"/>
    <x v="6"/>
    <x v="19"/>
  </r>
  <r>
    <x v="358"/>
    <x v="21"/>
    <x v="358"/>
    <x v="3"/>
    <x v="0"/>
    <x v="4"/>
    <x v="3"/>
    <x v="358"/>
    <x v="0"/>
    <x v="0"/>
    <x v="0"/>
    <x v="22"/>
  </r>
  <r>
    <x v="359"/>
    <x v="21"/>
    <x v="359"/>
    <x v="4"/>
    <x v="0"/>
    <x v="6"/>
    <x v="7"/>
    <x v="359"/>
    <x v="0"/>
    <x v="0"/>
    <x v="0"/>
    <x v="22"/>
  </r>
  <r>
    <x v="360"/>
    <x v="21"/>
    <x v="360"/>
    <x v="0"/>
    <x v="4"/>
    <x v="11"/>
    <x v="6"/>
    <x v="360"/>
    <x v="0"/>
    <x v="0"/>
    <x v="0"/>
    <x v="18"/>
  </r>
  <r>
    <x v="361"/>
    <x v="21"/>
    <x v="361"/>
    <x v="3"/>
    <x v="0"/>
    <x v="4"/>
    <x v="2"/>
    <x v="361"/>
    <x v="0"/>
    <x v="0"/>
    <x v="0"/>
    <x v="7"/>
  </r>
  <r>
    <x v="362"/>
    <x v="21"/>
    <x v="362"/>
    <x v="4"/>
    <x v="0"/>
    <x v="6"/>
    <x v="4"/>
    <x v="362"/>
    <x v="0"/>
    <x v="0"/>
    <x v="0"/>
    <x v="7"/>
  </r>
  <r>
    <x v="363"/>
    <x v="21"/>
    <x v="363"/>
    <x v="0"/>
    <x v="0"/>
    <x v="0"/>
    <x v="1"/>
    <x v="363"/>
    <x v="0"/>
    <x v="0"/>
    <x v="0"/>
    <x v="13"/>
  </r>
  <r>
    <x v="364"/>
    <x v="21"/>
    <x v="364"/>
    <x v="3"/>
    <x v="0"/>
    <x v="4"/>
    <x v="5"/>
    <x v="364"/>
    <x v="0"/>
    <x v="0"/>
    <x v="0"/>
    <x v="13"/>
  </r>
  <r>
    <x v="365"/>
    <x v="21"/>
    <x v="365"/>
    <x v="4"/>
    <x v="4"/>
    <x v="7"/>
    <x v="4"/>
    <x v="365"/>
    <x v="0"/>
    <x v="0"/>
    <x v="0"/>
    <x v="10"/>
  </r>
  <r>
    <x v="366"/>
    <x v="21"/>
    <x v="366"/>
    <x v="4"/>
    <x v="0"/>
    <x v="6"/>
    <x v="9"/>
    <x v="366"/>
    <x v="0"/>
    <x v="0"/>
    <x v="0"/>
    <x v="10"/>
  </r>
  <r>
    <x v="367"/>
    <x v="21"/>
    <x v="367"/>
    <x v="0"/>
    <x v="0"/>
    <x v="0"/>
    <x v="5"/>
    <x v="367"/>
    <x v="0"/>
    <x v="0"/>
    <x v="0"/>
    <x v="14"/>
  </r>
  <r>
    <x v="368"/>
    <x v="21"/>
    <x v="368"/>
    <x v="0"/>
    <x v="4"/>
    <x v="11"/>
    <x v="2"/>
    <x v="368"/>
    <x v="0"/>
    <x v="0"/>
    <x v="0"/>
    <x v="14"/>
  </r>
  <r>
    <x v="369"/>
    <x v="22"/>
    <x v="369"/>
    <x v="5"/>
    <x v="1"/>
    <x v="23"/>
    <x v="5"/>
    <x v="369"/>
    <x v="0"/>
    <x v="0"/>
    <x v="0"/>
    <x v="11"/>
  </r>
  <r>
    <x v="370"/>
    <x v="22"/>
    <x v="370"/>
    <x v="5"/>
    <x v="1"/>
    <x v="23"/>
    <x v="7"/>
    <x v="370"/>
    <x v="0"/>
    <x v="0"/>
    <x v="0"/>
    <x v="11"/>
  </r>
  <r>
    <x v="371"/>
    <x v="22"/>
    <x v="371"/>
    <x v="6"/>
    <x v="4"/>
    <x v="39"/>
    <x v="6"/>
    <x v="371"/>
    <x v="0"/>
    <x v="0"/>
    <x v="0"/>
    <x v="12"/>
  </r>
  <r>
    <x v="372"/>
    <x v="22"/>
    <x v="372"/>
    <x v="10"/>
    <x v="0"/>
    <x v="48"/>
    <x v="4"/>
    <x v="372"/>
    <x v="0"/>
    <x v="0"/>
    <x v="0"/>
    <x v="2"/>
  </r>
  <r>
    <x v="373"/>
    <x v="22"/>
    <x v="373"/>
    <x v="4"/>
    <x v="0"/>
    <x v="6"/>
    <x v="1"/>
    <x v="373"/>
    <x v="0"/>
    <x v="0"/>
    <x v="0"/>
    <x v="5"/>
  </r>
  <r>
    <x v="374"/>
    <x v="22"/>
    <x v="374"/>
    <x v="0"/>
    <x v="0"/>
    <x v="0"/>
    <x v="7"/>
    <x v="374"/>
    <x v="0"/>
    <x v="0"/>
    <x v="0"/>
    <x v="5"/>
  </r>
  <r>
    <x v="375"/>
    <x v="22"/>
    <x v="375"/>
    <x v="0"/>
    <x v="12"/>
    <x v="49"/>
    <x v="3"/>
    <x v="375"/>
    <x v="0"/>
    <x v="8"/>
    <x v="0"/>
    <x v="16"/>
  </r>
  <r>
    <x v="376"/>
    <x v="22"/>
    <x v="376"/>
    <x v="4"/>
    <x v="0"/>
    <x v="6"/>
    <x v="7"/>
    <x v="376"/>
    <x v="0"/>
    <x v="0"/>
    <x v="0"/>
    <x v="18"/>
  </r>
  <r>
    <x v="377"/>
    <x v="22"/>
    <x v="377"/>
    <x v="3"/>
    <x v="1"/>
    <x v="13"/>
    <x v="5"/>
    <x v="377"/>
    <x v="0"/>
    <x v="0"/>
    <x v="0"/>
    <x v="7"/>
  </r>
  <r>
    <x v="378"/>
    <x v="22"/>
    <x v="378"/>
    <x v="4"/>
    <x v="4"/>
    <x v="7"/>
    <x v="3"/>
    <x v="378"/>
    <x v="0"/>
    <x v="0"/>
    <x v="0"/>
    <x v="9"/>
  </r>
  <r>
    <x v="379"/>
    <x v="22"/>
    <x v="379"/>
    <x v="0"/>
    <x v="0"/>
    <x v="0"/>
    <x v="4"/>
    <x v="379"/>
    <x v="0"/>
    <x v="0"/>
    <x v="0"/>
    <x v="9"/>
  </r>
  <r>
    <x v="380"/>
    <x v="22"/>
    <x v="380"/>
    <x v="0"/>
    <x v="0"/>
    <x v="0"/>
    <x v="7"/>
    <x v="380"/>
    <x v="0"/>
    <x v="0"/>
    <x v="0"/>
    <x v="10"/>
  </r>
  <r>
    <x v="381"/>
    <x v="22"/>
    <x v="381"/>
    <x v="0"/>
    <x v="4"/>
    <x v="11"/>
    <x v="5"/>
    <x v="381"/>
    <x v="0"/>
    <x v="0"/>
    <x v="0"/>
    <x v="10"/>
  </r>
  <r>
    <x v="382"/>
    <x v="22"/>
    <x v="382"/>
    <x v="4"/>
    <x v="4"/>
    <x v="7"/>
    <x v="9"/>
    <x v="382"/>
    <x v="0"/>
    <x v="0"/>
    <x v="0"/>
    <x v="14"/>
  </r>
  <r>
    <x v="383"/>
    <x v="22"/>
    <x v="383"/>
    <x v="0"/>
    <x v="4"/>
    <x v="11"/>
    <x v="5"/>
    <x v="383"/>
    <x v="0"/>
    <x v="0"/>
    <x v="0"/>
    <x v="14"/>
  </r>
  <r>
    <x v="384"/>
    <x v="22"/>
    <x v="384"/>
    <x v="4"/>
    <x v="0"/>
    <x v="6"/>
    <x v="0"/>
    <x v="384"/>
    <x v="0"/>
    <x v="0"/>
    <x v="0"/>
    <x v="14"/>
  </r>
  <r>
    <x v="385"/>
    <x v="22"/>
    <x v="385"/>
    <x v="0"/>
    <x v="4"/>
    <x v="11"/>
    <x v="4"/>
    <x v="385"/>
    <x v="0"/>
    <x v="0"/>
    <x v="0"/>
    <x v="20"/>
  </r>
  <r>
    <x v="386"/>
    <x v="23"/>
    <x v="386"/>
    <x v="4"/>
    <x v="0"/>
    <x v="6"/>
    <x v="5"/>
    <x v="386"/>
    <x v="0"/>
    <x v="0"/>
    <x v="0"/>
    <x v="3"/>
  </r>
  <r>
    <x v="387"/>
    <x v="23"/>
    <x v="387"/>
    <x v="0"/>
    <x v="0"/>
    <x v="0"/>
    <x v="4"/>
    <x v="387"/>
    <x v="0"/>
    <x v="0"/>
    <x v="0"/>
    <x v="3"/>
  </r>
  <r>
    <x v="388"/>
    <x v="23"/>
    <x v="388"/>
    <x v="0"/>
    <x v="1"/>
    <x v="28"/>
    <x v="9"/>
    <x v="388"/>
    <x v="0"/>
    <x v="0"/>
    <x v="0"/>
    <x v="5"/>
  </r>
  <r>
    <x v="389"/>
    <x v="23"/>
    <x v="389"/>
    <x v="4"/>
    <x v="0"/>
    <x v="6"/>
    <x v="7"/>
    <x v="389"/>
    <x v="0"/>
    <x v="9"/>
    <x v="0"/>
    <x v="5"/>
  </r>
  <r>
    <x v="390"/>
    <x v="23"/>
    <x v="390"/>
    <x v="4"/>
    <x v="0"/>
    <x v="6"/>
    <x v="1"/>
    <x v="390"/>
    <x v="0"/>
    <x v="0"/>
    <x v="0"/>
    <x v="7"/>
  </r>
  <r>
    <x v="391"/>
    <x v="23"/>
    <x v="391"/>
    <x v="4"/>
    <x v="0"/>
    <x v="6"/>
    <x v="7"/>
    <x v="391"/>
    <x v="0"/>
    <x v="0"/>
    <x v="0"/>
    <x v="9"/>
  </r>
  <r>
    <x v="392"/>
    <x v="23"/>
    <x v="392"/>
    <x v="3"/>
    <x v="0"/>
    <x v="4"/>
    <x v="5"/>
    <x v="392"/>
    <x v="0"/>
    <x v="0"/>
    <x v="0"/>
    <x v="15"/>
  </r>
  <r>
    <x v="393"/>
    <x v="24"/>
    <x v="393"/>
    <x v="3"/>
    <x v="5"/>
    <x v="8"/>
    <x v="1"/>
    <x v="393"/>
    <x v="0"/>
    <x v="0"/>
    <x v="0"/>
    <x v="0"/>
  </r>
  <r>
    <x v="394"/>
    <x v="24"/>
    <x v="394"/>
    <x v="10"/>
    <x v="0"/>
    <x v="48"/>
    <x v="8"/>
    <x v="394"/>
    <x v="0"/>
    <x v="0"/>
    <x v="0"/>
    <x v="0"/>
  </r>
  <r>
    <x v="395"/>
    <x v="24"/>
    <x v="395"/>
    <x v="0"/>
    <x v="3"/>
    <x v="47"/>
    <x v="6"/>
    <x v="395"/>
    <x v="0"/>
    <x v="0"/>
    <x v="0"/>
    <x v="1"/>
  </r>
  <r>
    <x v="396"/>
    <x v="24"/>
    <x v="396"/>
    <x v="1"/>
    <x v="0"/>
    <x v="24"/>
    <x v="1"/>
    <x v="396"/>
    <x v="0"/>
    <x v="0"/>
    <x v="0"/>
    <x v="1"/>
  </r>
  <r>
    <x v="397"/>
    <x v="24"/>
    <x v="397"/>
    <x v="0"/>
    <x v="0"/>
    <x v="0"/>
    <x v="6"/>
    <x v="397"/>
    <x v="0"/>
    <x v="0"/>
    <x v="0"/>
    <x v="3"/>
  </r>
  <r>
    <x v="398"/>
    <x v="24"/>
    <x v="398"/>
    <x v="0"/>
    <x v="4"/>
    <x v="11"/>
    <x v="7"/>
    <x v="398"/>
    <x v="0"/>
    <x v="0"/>
    <x v="0"/>
    <x v="17"/>
  </r>
  <r>
    <x v="399"/>
    <x v="24"/>
    <x v="399"/>
    <x v="0"/>
    <x v="0"/>
    <x v="0"/>
    <x v="2"/>
    <x v="399"/>
    <x v="0"/>
    <x v="0"/>
    <x v="0"/>
    <x v="5"/>
  </r>
  <r>
    <x v="400"/>
    <x v="24"/>
    <x v="400"/>
    <x v="0"/>
    <x v="0"/>
    <x v="0"/>
    <x v="1"/>
    <x v="400"/>
    <x v="0"/>
    <x v="0"/>
    <x v="0"/>
    <x v="5"/>
  </r>
  <r>
    <x v="401"/>
    <x v="24"/>
    <x v="401"/>
    <x v="4"/>
    <x v="0"/>
    <x v="6"/>
    <x v="2"/>
    <x v="401"/>
    <x v="0"/>
    <x v="0"/>
    <x v="0"/>
    <x v="22"/>
  </r>
  <r>
    <x v="402"/>
    <x v="24"/>
    <x v="402"/>
    <x v="0"/>
    <x v="5"/>
    <x v="25"/>
    <x v="3"/>
    <x v="402"/>
    <x v="0"/>
    <x v="0"/>
    <x v="0"/>
    <x v="16"/>
  </r>
  <r>
    <x v="403"/>
    <x v="24"/>
    <x v="403"/>
    <x v="0"/>
    <x v="0"/>
    <x v="0"/>
    <x v="2"/>
    <x v="403"/>
    <x v="0"/>
    <x v="0"/>
    <x v="0"/>
    <x v="18"/>
  </r>
  <r>
    <x v="404"/>
    <x v="24"/>
    <x v="404"/>
    <x v="0"/>
    <x v="0"/>
    <x v="0"/>
    <x v="3"/>
    <x v="404"/>
    <x v="0"/>
    <x v="0"/>
    <x v="0"/>
    <x v="7"/>
  </r>
  <r>
    <x v="405"/>
    <x v="24"/>
    <x v="405"/>
    <x v="0"/>
    <x v="0"/>
    <x v="0"/>
    <x v="0"/>
    <x v="405"/>
    <x v="0"/>
    <x v="0"/>
    <x v="0"/>
    <x v="13"/>
  </r>
  <r>
    <x v="406"/>
    <x v="24"/>
    <x v="406"/>
    <x v="0"/>
    <x v="0"/>
    <x v="0"/>
    <x v="2"/>
    <x v="406"/>
    <x v="0"/>
    <x v="0"/>
    <x v="0"/>
    <x v="9"/>
  </r>
  <r>
    <x v="407"/>
    <x v="24"/>
    <x v="407"/>
    <x v="4"/>
    <x v="6"/>
    <x v="12"/>
    <x v="6"/>
    <x v="407"/>
    <x v="0"/>
    <x v="0"/>
    <x v="0"/>
    <x v="9"/>
  </r>
  <r>
    <x v="408"/>
    <x v="24"/>
    <x v="408"/>
    <x v="3"/>
    <x v="0"/>
    <x v="4"/>
    <x v="8"/>
    <x v="408"/>
    <x v="0"/>
    <x v="0"/>
    <x v="0"/>
    <x v="10"/>
  </r>
  <r>
    <x v="409"/>
    <x v="24"/>
    <x v="409"/>
    <x v="3"/>
    <x v="5"/>
    <x v="8"/>
    <x v="3"/>
    <x v="409"/>
    <x v="0"/>
    <x v="0"/>
    <x v="0"/>
    <x v="15"/>
  </r>
  <r>
    <x v="410"/>
    <x v="24"/>
    <x v="410"/>
    <x v="3"/>
    <x v="0"/>
    <x v="4"/>
    <x v="2"/>
    <x v="410"/>
    <x v="0"/>
    <x v="0"/>
    <x v="0"/>
    <x v="15"/>
  </r>
  <r>
    <x v="411"/>
    <x v="25"/>
    <x v="411"/>
    <x v="5"/>
    <x v="0"/>
    <x v="14"/>
    <x v="7"/>
    <x v="411"/>
    <x v="0"/>
    <x v="0"/>
    <x v="0"/>
    <x v="11"/>
  </r>
  <r>
    <x v="412"/>
    <x v="25"/>
    <x v="412"/>
    <x v="1"/>
    <x v="5"/>
    <x v="15"/>
    <x v="4"/>
    <x v="412"/>
    <x v="0"/>
    <x v="0"/>
    <x v="0"/>
    <x v="12"/>
  </r>
  <r>
    <x v="413"/>
    <x v="25"/>
    <x v="413"/>
    <x v="3"/>
    <x v="0"/>
    <x v="4"/>
    <x v="6"/>
    <x v="413"/>
    <x v="0"/>
    <x v="0"/>
    <x v="0"/>
    <x v="12"/>
  </r>
  <r>
    <x v="414"/>
    <x v="25"/>
    <x v="414"/>
    <x v="4"/>
    <x v="2"/>
    <x v="20"/>
    <x v="6"/>
    <x v="414"/>
    <x v="0"/>
    <x v="0"/>
    <x v="0"/>
    <x v="1"/>
  </r>
  <r>
    <x v="415"/>
    <x v="25"/>
    <x v="415"/>
    <x v="4"/>
    <x v="0"/>
    <x v="6"/>
    <x v="7"/>
    <x v="415"/>
    <x v="0"/>
    <x v="0"/>
    <x v="0"/>
    <x v="1"/>
  </r>
  <r>
    <x v="416"/>
    <x v="25"/>
    <x v="416"/>
    <x v="6"/>
    <x v="0"/>
    <x v="21"/>
    <x v="2"/>
    <x v="416"/>
    <x v="0"/>
    <x v="0"/>
    <x v="0"/>
    <x v="1"/>
  </r>
  <r>
    <x v="417"/>
    <x v="25"/>
    <x v="417"/>
    <x v="4"/>
    <x v="2"/>
    <x v="20"/>
    <x v="2"/>
    <x v="417"/>
    <x v="0"/>
    <x v="0"/>
    <x v="0"/>
    <x v="2"/>
  </r>
  <r>
    <x v="418"/>
    <x v="25"/>
    <x v="418"/>
    <x v="0"/>
    <x v="0"/>
    <x v="0"/>
    <x v="7"/>
    <x v="418"/>
    <x v="0"/>
    <x v="0"/>
    <x v="0"/>
    <x v="2"/>
  </r>
  <r>
    <x v="419"/>
    <x v="25"/>
    <x v="419"/>
    <x v="1"/>
    <x v="4"/>
    <x v="35"/>
    <x v="2"/>
    <x v="419"/>
    <x v="0"/>
    <x v="0"/>
    <x v="0"/>
    <x v="3"/>
  </r>
  <r>
    <x v="420"/>
    <x v="25"/>
    <x v="420"/>
    <x v="1"/>
    <x v="0"/>
    <x v="24"/>
    <x v="4"/>
    <x v="420"/>
    <x v="0"/>
    <x v="0"/>
    <x v="0"/>
    <x v="3"/>
  </r>
  <r>
    <x v="421"/>
    <x v="25"/>
    <x v="421"/>
    <x v="0"/>
    <x v="0"/>
    <x v="0"/>
    <x v="4"/>
    <x v="421"/>
    <x v="0"/>
    <x v="0"/>
    <x v="0"/>
    <x v="5"/>
  </r>
  <r>
    <x v="422"/>
    <x v="25"/>
    <x v="422"/>
    <x v="4"/>
    <x v="0"/>
    <x v="6"/>
    <x v="0"/>
    <x v="422"/>
    <x v="0"/>
    <x v="0"/>
    <x v="0"/>
    <x v="18"/>
  </r>
  <r>
    <x v="423"/>
    <x v="25"/>
    <x v="423"/>
    <x v="0"/>
    <x v="4"/>
    <x v="11"/>
    <x v="0"/>
    <x v="423"/>
    <x v="0"/>
    <x v="0"/>
    <x v="0"/>
    <x v="18"/>
  </r>
  <r>
    <x v="424"/>
    <x v="25"/>
    <x v="424"/>
    <x v="4"/>
    <x v="0"/>
    <x v="6"/>
    <x v="7"/>
    <x v="424"/>
    <x v="0"/>
    <x v="0"/>
    <x v="0"/>
    <x v="13"/>
  </r>
  <r>
    <x v="425"/>
    <x v="25"/>
    <x v="425"/>
    <x v="3"/>
    <x v="0"/>
    <x v="4"/>
    <x v="1"/>
    <x v="425"/>
    <x v="0"/>
    <x v="0"/>
    <x v="0"/>
    <x v="9"/>
  </r>
  <r>
    <x v="426"/>
    <x v="25"/>
    <x v="426"/>
    <x v="4"/>
    <x v="2"/>
    <x v="20"/>
    <x v="13"/>
    <x v="426"/>
    <x v="0"/>
    <x v="0"/>
    <x v="0"/>
    <x v="14"/>
  </r>
  <r>
    <x v="427"/>
    <x v="26"/>
    <x v="427"/>
    <x v="3"/>
    <x v="5"/>
    <x v="8"/>
    <x v="2"/>
    <x v="427"/>
    <x v="0"/>
    <x v="0"/>
    <x v="0"/>
    <x v="11"/>
  </r>
  <r>
    <x v="428"/>
    <x v="26"/>
    <x v="428"/>
    <x v="0"/>
    <x v="0"/>
    <x v="0"/>
    <x v="4"/>
    <x v="428"/>
    <x v="0"/>
    <x v="0"/>
    <x v="0"/>
    <x v="0"/>
  </r>
  <r>
    <x v="429"/>
    <x v="26"/>
    <x v="429"/>
    <x v="0"/>
    <x v="5"/>
    <x v="25"/>
    <x v="4"/>
    <x v="429"/>
    <x v="0"/>
    <x v="0"/>
    <x v="0"/>
    <x v="1"/>
  </r>
  <r>
    <x v="430"/>
    <x v="26"/>
    <x v="430"/>
    <x v="6"/>
    <x v="0"/>
    <x v="21"/>
    <x v="9"/>
    <x v="430"/>
    <x v="0"/>
    <x v="0"/>
    <x v="0"/>
    <x v="1"/>
  </r>
  <r>
    <x v="431"/>
    <x v="26"/>
    <x v="431"/>
    <x v="0"/>
    <x v="2"/>
    <x v="2"/>
    <x v="3"/>
    <x v="431"/>
    <x v="0"/>
    <x v="0"/>
    <x v="0"/>
    <x v="2"/>
  </r>
  <r>
    <x v="432"/>
    <x v="26"/>
    <x v="432"/>
    <x v="6"/>
    <x v="0"/>
    <x v="21"/>
    <x v="6"/>
    <x v="432"/>
    <x v="0"/>
    <x v="0"/>
    <x v="0"/>
    <x v="3"/>
  </r>
  <r>
    <x v="433"/>
    <x v="26"/>
    <x v="433"/>
    <x v="6"/>
    <x v="2"/>
    <x v="44"/>
    <x v="5"/>
    <x v="433"/>
    <x v="0"/>
    <x v="0"/>
    <x v="0"/>
    <x v="3"/>
  </r>
  <r>
    <x v="434"/>
    <x v="26"/>
    <x v="434"/>
    <x v="0"/>
    <x v="0"/>
    <x v="0"/>
    <x v="2"/>
    <x v="434"/>
    <x v="0"/>
    <x v="0"/>
    <x v="0"/>
    <x v="5"/>
  </r>
  <r>
    <x v="435"/>
    <x v="26"/>
    <x v="435"/>
    <x v="0"/>
    <x v="0"/>
    <x v="0"/>
    <x v="5"/>
    <x v="435"/>
    <x v="0"/>
    <x v="0"/>
    <x v="0"/>
    <x v="22"/>
  </r>
  <r>
    <x v="436"/>
    <x v="26"/>
    <x v="436"/>
    <x v="0"/>
    <x v="4"/>
    <x v="11"/>
    <x v="6"/>
    <x v="436"/>
    <x v="0"/>
    <x v="0"/>
    <x v="0"/>
    <x v="22"/>
  </r>
  <r>
    <x v="437"/>
    <x v="26"/>
    <x v="437"/>
    <x v="4"/>
    <x v="4"/>
    <x v="7"/>
    <x v="4"/>
    <x v="437"/>
    <x v="0"/>
    <x v="0"/>
    <x v="0"/>
    <x v="6"/>
  </r>
  <r>
    <x v="438"/>
    <x v="26"/>
    <x v="438"/>
    <x v="3"/>
    <x v="0"/>
    <x v="4"/>
    <x v="0"/>
    <x v="438"/>
    <x v="0"/>
    <x v="0"/>
    <x v="0"/>
    <x v="7"/>
  </r>
  <r>
    <x v="439"/>
    <x v="26"/>
    <x v="439"/>
    <x v="3"/>
    <x v="0"/>
    <x v="4"/>
    <x v="4"/>
    <x v="439"/>
    <x v="0"/>
    <x v="0"/>
    <x v="0"/>
    <x v="7"/>
  </r>
  <r>
    <x v="440"/>
    <x v="26"/>
    <x v="440"/>
    <x v="3"/>
    <x v="0"/>
    <x v="4"/>
    <x v="2"/>
    <x v="440"/>
    <x v="0"/>
    <x v="0"/>
    <x v="0"/>
    <x v="9"/>
  </r>
  <r>
    <x v="441"/>
    <x v="26"/>
    <x v="441"/>
    <x v="3"/>
    <x v="2"/>
    <x v="27"/>
    <x v="6"/>
    <x v="441"/>
    <x v="0"/>
    <x v="0"/>
    <x v="0"/>
    <x v="9"/>
  </r>
  <r>
    <x v="442"/>
    <x v="27"/>
    <x v="442"/>
    <x v="3"/>
    <x v="0"/>
    <x v="4"/>
    <x v="7"/>
    <x v="442"/>
    <x v="0"/>
    <x v="0"/>
    <x v="0"/>
    <x v="11"/>
  </r>
  <r>
    <x v="443"/>
    <x v="27"/>
    <x v="443"/>
    <x v="6"/>
    <x v="0"/>
    <x v="21"/>
    <x v="6"/>
    <x v="443"/>
    <x v="0"/>
    <x v="0"/>
    <x v="0"/>
    <x v="11"/>
  </r>
  <r>
    <x v="444"/>
    <x v="27"/>
    <x v="444"/>
    <x v="3"/>
    <x v="0"/>
    <x v="4"/>
    <x v="6"/>
    <x v="444"/>
    <x v="0"/>
    <x v="0"/>
    <x v="0"/>
    <x v="0"/>
  </r>
  <r>
    <x v="445"/>
    <x v="27"/>
    <x v="445"/>
    <x v="3"/>
    <x v="10"/>
    <x v="50"/>
    <x v="5"/>
    <x v="445"/>
    <x v="0"/>
    <x v="0"/>
    <x v="0"/>
    <x v="0"/>
  </r>
  <r>
    <x v="446"/>
    <x v="27"/>
    <x v="446"/>
    <x v="10"/>
    <x v="0"/>
    <x v="48"/>
    <x v="2"/>
    <x v="446"/>
    <x v="0"/>
    <x v="0"/>
    <x v="0"/>
    <x v="1"/>
  </r>
  <r>
    <x v="447"/>
    <x v="27"/>
    <x v="447"/>
    <x v="0"/>
    <x v="0"/>
    <x v="0"/>
    <x v="4"/>
    <x v="447"/>
    <x v="0"/>
    <x v="0"/>
    <x v="0"/>
    <x v="1"/>
  </r>
  <r>
    <x v="448"/>
    <x v="27"/>
    <x v="448"/>
    <x v="8"/>
    <x v="0"/>
    <x v="51"/>
    <x v="5"/>
    <x v="448"/>
    <x v="0"/>
    <x v="0"/>
    <x v="0"/>
    <x v="2"/>
  </r>
  <r>
    <x v="449"/>
    <x v="27"/>
    <x v="449"/>
    <x v="0"/>
    <x v="0"/>
    <x v="0"/>
    <x v="2"/>
    <x v="449"/>
    <x v="0"/>
    <x v="0"/>
    <x v="0"/>
    <x v="2"/>
  </r>
  <r>
    <x v="450"/>
    <x v="27"/>
    <x v="450"/>
    <x v="0"/>
    <x v="3"/>
    <x v="47"/>
    <x v="6"/>
    <x v="450"/>
    <x v="0"/>
    <x v="0"/>
    <x v="0"/>
    <x v="4"/>
  </r>
  <r>
    <x v="451"/>
    <x v="27"/>
    <x v="451"/>
    <x v="0"/>
    <x v="4"/>
    <x v="11"/>
    <x v="6"/>
    <x v="451"/>
    <x v="0"/>
    <x v="0"/>
    <x v="0"/>
    <x v="17"/>
  </r>
  <r>
    <x v="452"/>
    <x v="27"/>
    <x v="452"/>
    <x v="0"/>
    <x v="0"/>
    <x v="0"/>
    <x v="6"/>
    <x v="452"/>
    <x v="0"/>
    <x v="0"/>
    <x v="0"/>
    <x v="5"/>
  </r>
  <r>
    <x v="453"/>
    <x v="27"/>
    <x v="453"/>
    <x v="0"/>
    <x v="0"/>
    <x v="0"/>
    <x v="10"/>
    <x v="453"/>
    <x v="0"/>
    <x v="0"/>
    <x v="0"/>
    <x v="5"/>
  </r>
  <r>
    <x v="454"/>
    <x v="27"/>
    <x v="454"/>
    <x v="0"/>
    <x v="0"/>
    <x v="0"/>
    <x v="0"/>
    <x v="454"/>
    <x v="0"/>
    <x v="0"/>
    <x v="0"/>
    <x v="5"/>
  </r>
  <r>
    <x v="455"/>
    <x v="27"/>
    <x v="455"/>
    <x v="0"/>
    <x v="0"/>
    <x v="0"/>
    <x v="2"/>
    <x v="455"/>
    <x v="0"/>
    <x v="0"/>
    <x v="0"/>
    <x v="7"/>
  </r>
  <r>
    <x v="456"/>
    <x v="27"/>
    <x v="456"/>
    <x v="0"/>
    <x v="0"/>
    <x v="0"/>
    <x v="7"/>
    <x v="456"/>
    <x v="0"/>
    <x v="0"/>
    <x v="0"/>
    <x v="7"/>
  </r>
  <r>
    <x v="457"/>
    <x v="27"/>
    <x v="457"/>
    <x v="3"/>
    <x v="0"/>
    <x v="4"/>
    <x v="1"/>
    <x v="457"/>
    <x v="0"/>
    <x v="0"/>
    <x v="0"/>
    <x v="7"/>
  </r>
  <r>
    <x v="458"/>
    <x v="27"/>
    <x v="458"/>
    <x v="4"/>
    <x v="1"/>
    <x v="5"/>
    <x v="4"/>
    <x v="458"/>
    <x v="0"/>
    <x v="0"/>
    <x v="0"/>
    <x v="9"/>
  </r>
  <r>
    <x v="459"/>
    <x v="27"/>
    <x v="459"/>
    <x v="3"/>
    <x v="0"/>
    <x v="4"/>
    <x v="2"/>
    <x v="459"/>
    <x v="0"/>
    <x v="0"/>
    <x v="0"/>
    <x v="9"/>
  </r>
  <r>
    <x v="460"/>
    <x v="27"/>
    <x v="460"/>
    <x v="0"/>
    <x v="2"/>
    <x v="2"/>
    <x v="9"/>
    <x v="460"/>
    <x v="0"/>
    <x v="0"/>
    <x v="0"/>
    <x v="14"/>
  </r>
  <r>
    <x v="461"/>
    <x v="27"/>
    <x v="461"/>
    <x v="0"/>
    <x v="2"/>
    <x v="2"/>
    <x v="10"/>
    <x v="461"/>
    <x v="0"/>
    <x v="0"/>
    <x v="0"/>
    <x v="14"/>
  </r>
  <r>
    <x v="462"/>
    <x v="27"/>
    <x v="462"/>
    <x v="0"/>
    <x v="4"/>
    <x v="11"/>
    <x v="5"/>
    <x v="462"/>
    <x v="0"/>
    <x v="0"/>
    <x v="0"/>
    <x v="15"/>
  </r>
  <r>
    <x v="463"/>
    <x v="28"/>
    <x v="463"/>
    <x v="6"/>
    <x v="3"/>
    <x v="40"/>
    <x v="4"/>
    <x v="463"/>
    <x v="0"/>
    <x v="0"/>
    <x v="0"/>
    <x v="12"/>
  </r>
  <r>
    <x v="464"/>
    <x v="28"/>
    <x v="464"/>
    <x v="3"/>
    <x v="4"/>
    <x v="16"/>
    <x v="6"/>
    <x v="464"/>
    <x v="0"/>
    <x v="0"/>
    <x v="0"/>
    <x v="12"/>
  </r>
  <r>
    <x v="465"/>
    <x v="28"/>
    <x v="465"/>
    <x v="5"/>
    <x v="13"/>
    <x v="52"/>
    <x v="6"/>
    <x v="465"/>
    <x v="0"/>
    <x v="0"/>
    <x v="0"/>
    <x v="1"/>
  </r>
  <r>
    <x v="466"/>
    <x v="28"/>
    <x v="466"/>
    <x v="7"/>
    <x v="0"/>
    <x v="53"/>
    <x v="3"/>
    <x v="466"/>
    <x v="0"/>
    <x v="0"/>
    <x v="0"/>
    <x v="1"/>
  </r>
  <r>
    <x v="467"/>
    <x v="28"/>
    <x v="467"/>
    <x v="0"/>
    <x v="0"/>
    <x v="0"/>
    <x v="7"/>
    <x v="467"/>
    <x v="0"/>
    <x v="0"/>
    <x v="0"/>
    <x v="2"/>
  </r>
  <r>
    <x v="468"/>
    <x v="28"/>
    <x v="468"/>
    <x v="0"/>
    <x v="0"/>
    <x v="0"/>
    <x v="7"/>
    <x v="468"/>
    <x v="0"/>
    <x v="0"/>
    <x v="0"/>
    <x v="3"/>
  </r>
  <r>
    <x v="469"/>
    <x v="28"/>
    <x v="469"/>
    <x v="0"/>
    <x v="0"/>
    <x v="0"/>
    <x v="5"/>
    <x v="469"/>
    <x v="0"/>
    <x v="0"/>
    <x v="0"/>
    <x v="5"/>
  </r>
  <r>
    <x v="470"/>
    <x v="28"/>
    <x v="470"/>
    <x v="4"/>
    <x v="0"/>
    <x v="6"/>
    <x v="6"/>
    <x v="470"/>
    <x v="0"/>
    <x v="0"/>
    <x v="0"/>
    <x v="6"/>
  </r>
  <r>
    <x v="471"/>
    <x v="28"/>
    <x v="471"/>
    <x v="0"/>
    <x v="0"/>
    <x v="0"/>
    <x v="4"/>
    <x v="471"/>
    <x v="0"/>
    <x v="0"/>
    <x v="0"/>
    <x v="16"/>
  </r>
  <r>
    <x v="472"/>
    <x v="28"/>
    <x v="472"/>
    <x v="4"/>
    <x v="0"/>
    <x v="6"/>
    <x v="7"/>
    <x v="472"/>
    <x v="0"/>
    <x v="0"/>
    <x v="0"/>
    <x v="7"/>
  </r>
  <r>
    <x v="473"/>
    <x v="28"/>
    <x v="473"/>
    <x v="3"/>
    <x v="0"/>
    <x v="4"/>
    <x v="6"/>
    <x v="473"/>
    <x v="0"/>
    <x v="10"/>
    <x v="0"/>
    <x v="7"/>
  </r>
  <r>
    <x v="474"/>
    <x v="28"/>
    <x v="474"/>
    <x v="0"/>
    <x v="0"/>
    <x v="0"/>
    <x v="5"/>
    <x v="474"/>
    <x v="0"/>
    <x v="0"/>
    <x v="0"/>
    <x v="9"/>
  </r>
  <r>
    <x v="475"/>
    <x v="28"/>
    <x v="475"/>
    <x v="4"/>
    <x v="0"/>
    <x v="6"/>
    <x v="4"/>
    <x v="475"/>
    <x v="0"/>
    <x v="0"/>
    <x v="0"/>
    <x v="9"/>
  </r>
  <r>
    <x v="476"/>
    <x v="28"/>
    <x v="476"/>
    <x v="4"/>
    <x v="0"/>
    <x v="6"/>
    <x v="1"/>
    <x v="476"/>
    <x v="0"/>
    <x v="0"/>
    <x v="0"/>
    <x v="9"/>
  </r>
  <r>
    <x v="477"/>
    <x v="29"/>
    <x v="477"/>
    <x v="5"/>
    <x v="4"/>
    <x v="54"/>
    <x v="3"/>
    <x v="477"/>
    <x v="0"/>
    <x v="0"/>
    <x v="0"/>
    <x v="11"/>
  </r>
  <r>
    <x v="478"/>
    <x v="29"/>
    <x v="478"/>
    <x v="6"/>
    <x v="10"/>
    <x v="32"/>
    <x v="2"/>
    <x v="478"/>
    <x v="0"/>
    <x v="0"/>
    <x v="0"/>
    <x v="0"/>
  </r>
  <r>
    <x v="479"/>
    <x v="29"/>
    <x v="479"/>
    <x v="0"/>
    <x v="0"/>
    <x v="0"/>
    <x v="1"/>
    <x v="479"/>
    <x v="0"/>
    <x v="0"/>
    <x v="0"/>
    <x v="1"/>
  </r>
  <r>
    <x v="480"/>
    <x v="29"/>
    <x v="480"/>
    <x v="1"/>
    <x v="5"/>
    <x v="15"/>
    <x v="4"/>
    <x v="480"/>
    <x v="0"/>
    <x v="0"/>
    <x v="0"/>
    <x v="2"/>
  </r>
  <r>
    <x v="481"/>
    <x v="29"/>
    <x v="481"/>
    <x v="0"/>
    <x v="0"/>
    <x v="0"/>
    <x v="7"/>
    <x v="481"/>
    <x v="0"/>
    <x v="0"/>
    <x v="0"/>
    <x v="5"/>
  </r>
  <r>
    <x v="482"/>
    <x v="29"/>
    <x v="482"/>
    <x v="3"/>
    <x v="0"/>
    <x v="4"/>
    <x v="7"/>
    <x v="482"/>
    <x v="0"/>
    <x v="0"/>
    <x v="0"/>
    <x v="5"/>
  </r>
  <r>
    <x v="483"/>
    <x v="29"/>
    <x v="483"/>
    <x v="3"/>
    <x v="0"/>
    <x v="4"/>
    <x v="6"/>
    <x v="483"/>
    <x v="0"/>
    <x v="0"/>
    <x v="0"/>
    <x v="22"/>
  </r>
  <r>
    <x v="484"/>
    <x v="29"/>
    <x v="484"/>
    <x v="3"/>
    <x v="0"/>
    <x v="4"/>
    <x v="7"/>
    <x v="484"/>
    <x v="0"/>
    <x v="0"/>
    <x v="0"/>
    <x v="7"/>
  </r>
  <r>
    <x v="485"/>
    <x v="29"/>
    <x v="485"/>
    <x v="0"/>
    <x v="0"/>
    <x v="0"/>
    <x v="7"/>
    <x v="485"/>
    <x v="0"/>
    <x v="0"/>
    <x v="0"/>
    <x v="7"/>
  </r>
  <r>
    <x v="486"/>
    <x v="29"/>
    <x v="486"/>
    <x v="4"/>
    <x v="5"/>
    <x v="9"/>
    <x v="5"/>
    <x v="486"/>
    <x v="0"/>
    <x v="0"/>
    <x v="0"/>
    <x v="9"/>
  </r>
  <r>
    <x v="487"/>
    <x v="29"/>
    <x v="487"/>
    <x v="4"/>
    <x v="4"/>
    <x v="7"/>
    <x v="6"/>
    <x v="487"/>
    <x v="0"/>
    <x v="0"/>
    <x v="0"/>
    <x v="9"/>
  </r>
  <r>
    <x v="488"/>
    <x v="29"/>
    <x v="488"/>
    <x v="3"/>
    <x v="0"/>
    <x v="4"/>
    <x v="7"/>
    <x v="488"/>
    <x v="0"/>
    <x v="0"/>
    <x v="0"/>
    <x v="9"/>
  </r>
  <r>
    <x v="489"/>
    <x v="29"/>
    <x v="489"/>
    <x v="4"/>
    <x v="0"/>
    <x v="6"/>
    <x v="5"/>
    <x v="489"/>
    <x v="0"/>
    <x v="0"/>
    <x v="0"/>
    <x v="10"/>
  </r>
  <r>
    <x v="490"/>
    <x v="29"/>
    <x v="490"/>
    <x v="4"/>
    <x v="0"/>
    <x v="6"/>
    <x v="3"/>
    <x v="490"/>
    <x v="0"/>
    <x v="0"/>
    <x v="0"/>
    <x v="15"/>
  </r>
  <r>
    <x v="491"/>
    <x v="30"/>
    <x v="491"/>
    <x v="3"/>
    <x v="0"/>
    <x v="4"/>
    <x v="11"/>
    <x v="491"/>
    <x v="0"/>
    <x v="0"/>
    <x v="0"/>
    <x v="11"/>
  </r>
  <r>
    <x v="492"/>
    <x v="30"/>
    <x v="492"/>
    <x v="10"/>
    <x v="0"/>
    <x v="48"/>
    <x v="8"/>
    <x v="492"/>
    <x v="0"/>
    <x v="0"/>
    <x v="0"/>
    <x v="0"/>
  </r>
  <r>
    <x v="493"/>
    <x v="30"/>
    <x v="493"/>
    <x v="10"/>
    <x v="0"/>
    <x v="48"/>
    <x v="5"/>
    <x v="493"/>
    <x v="0"/>
    <x v="0"/>
    <x v="0"/>
    <x v="0"/>
  </r>
  <r>
    <x v="494"/>
    <x v="30"/>
    <x v="494"/>
    <x v="4"/>
    <x v="1"/>
    <x v="5"/>
    <x v="7"/>
    <x v="494"/>
    <x v="0"/>
    <x v="0"/>
    <x v="0"/>
    <x v="2"/>
  </r>
  <r>
    <x v="495"/>
    <x v="30"/>
    <x v="495"/>
    <x v="6"/>
    <x v="0"/>
    <x v="21"/>
    <x v="6"/>
    <x v="495"/>
    <x v="0"/>
    <x v="0"/>
    <x v="0"/>
    <x v="2"/>
  </r>
  <r>
    <x v="496"/>
    <x v="30"/>
    <x v="496"/>
    <x v="0"/>
    <x v="0"/>
    <x v="0"/>
    <x v="5"/>
    <x v="496"/>
    <x v="0"/>
    <x v="0"/>
    <x v="0"/>
    <x v="5"/>
  </r>
  <r>
    <x v="497"/>
    <x v="30"/>
    <x v="497"/>
    <x v="0"/>
    <x v="0"/>
    <x v="0"/>
    <x v="13"/>
    <x v="497"/>
    <x v="0"/>
    <x v="0"/>
    <x v="0"/>
    <x v="5"/>
  </r>
  <r>
    <x v="498"/>
    <x v="30"/>
    <x v="498"/>
    <x v="0"/>
    <x v="0"/>
    <x v="0"/>
    <x v="0"/>
    <x v="498"/>
    <x v="0"/>
    <x v="0"/>
    <x v="0"/>
    <x v="5"/>
  </r>
  <r>
    <x v="499"/>
    <x v="30"/>
    <x v="499"/>
    <x v="4"/>
    <x v="0"/>
    <x v="6"/>
    <x v="7"/>
    <x v="499"/>
    <x v="0"/>
    <x v="0"/>
    <x v="0"/>
    <x v="6"/>
  </r>
  <r>
    <x v="500"/>
    <x v="30"/>
    <x v="500"/>
    <x v="4"/>
    <x v="0"/>
    <x v="6"/>
    <x v="4"/>
    <x v="500"/>
    <x v="0"/>
    <x v="0"/>
    <x v="0"/>
    <x v="6"/>
  </r>
  <r>
    <x v="501"/>
    <x v="30"/>
    <x v="501"/>
    <x v="0"/>
    <x v="0"/>
    <x v="0"/>
    <x v="1"/>
    <x v="501"/>
    <x v="0"/>
    <x v="0"/>
    <x v="0"/>
    <x v="16"/>
  </r>
  <r>
    <x v="502"/>
    <x v="30"/>
    <x v="502"/>
    <x v="3"/>
    <x v="0"/>
    <x v="4"/>
    <x v="7"/>
    <x v="502"/>
    <x v="0"/>
    <x v="0"/>
    <x v="0"/>
    <x v="7"/>
  </r>
  <r>
    <x v="503"/>
    <x v="30"/>
    <x v="503"/>
    <x v="4"/>
    <x v="0"/>
    <x v="6"/>
    <x v="7"/>
    <x v="503"/>
    <x v="0"/>
    <x v="0"/>
    <x v="0"/>
    <x v="7"/>
  </r>
  <r>
    <x v="504"/>
    <x v="30"/>
    <x v="504"/>
    <x v="3"/>
    <x v="6"/>
    <x v="36"/>
    <x v="6"/>
    <x v="504"/>
    <x v="0"/>
    <x v="0"/>
    <x v="0"/>
    <x v="7"/>
  </r>
  <r>
    <x v="505"/>
    <x v="30"/>
    <x v="505"/>
    <x v="0"/>
    <x v="0"/>
    <x v="0"/>
    <x v="0"/>
    <x v="505"/>
    <x v="0"/>
    <x v="0"/>
    <x v="0"/>
    <x v="13"/>
  </r>
  <r>
    <x v="506"/>
    <x v="30"/>
    <x v="506"/>
    <x v="3"/>
    <x v="2"/>
    <x v="27"/>
    <x v="5"/>
    <x v="506"/>
    <x v="0"/>
    <x v="0"/>
    <x v="0"/>
    <x v="9"/>
  </r>
  <r>
    <x v="507"/>
    <x v="30"/>
    <x v="507"/>
    <x v="4"/>
    <x v="6"/>
    <x v="12"/>
    <x v="5"/>
    <x v="507"/>
    <x v="0"/>
    <x v="0"/>
    <x v="0"/>
    <x v="9"/>
  </r>
  <r>
    <x v="508"/>
    <x v="30"/>
    <x v="508"/>
    <x v="3"/>
    <x v="4"/>
    <x v="16"/>
    <x v="3"/>
    <x v="508"/>
    <x v="0"/>
    <x v="0"/>
    <x v="0"/>
    <x v="9"/>
  </r>
  <r>
    <x v="509"/>
    <x v="31"/>
    <x v="509"/>
    <x v="4"/>
    <x v="4"/>
    <x v="7"/>
    <x v="5"/>
    <x v="509"/>
    <x v="0"/>
    <x v="0"/>
    <x v="0"/>
    <x v="12"/>
  </r>
  <r>
    <x v="510"/>
    <x v="31"/>
    <x v="510"/>
    <x v="6"/>
    <x v="2"/>
    <x v="44"/>
    <x v="5"/>
    <x v="510"/>
    <x v="0"/>
    <x v="0"/>
    <x v="0"/>
    <x v="1"/>
  </r>
  <r>
    <x v="511"/>
    <x v="31"/>
    <x v="511"/>
    <x v="0"/>
    <x v="2"/>
    <x v="2"/>
    <x v="7"/>
    <x v="511"/>
    <x v="0"/>
    <x v="0"/>
    <x v="0"/>
    <x v="1"/>
  </r>
  <r>
    <x v="512"/>
    <x v="31"/>
    <x v="512"/>
    <x v="0"/>
    <x v="4"/>
    <x v="11"/>
    <x v="1"/>
    <x v="512"/>
    <x v="0"/>
    <x v="0"/>
    <x v="0"/>
    <x v="3"/>
  </r>
  <r>
    <x v="513"/>
    <x v="31"/>
    <x v="513"/>
    <x v="0"/>
    <x v="4"/>
    <x v="11"/>
    <x v="3"/>
    <x v="513"/>
    <x v="0"/>
    <x v="0"/>
    <x v="0"/>
    <x v="4"/>
  </r>
  <r>
    <x v="514"/>
    <x v="31"/>
    <x v="514"/>
    <x v="3"/>
    <x v="1"/>
    <x v="13"/>
    <x v="2"/>
    <x v="514"/>
    <x v="0"/>
    <x v="0"/>
    <x v="0"/>
    <x v="17"/>
  </r>
  <r>
    <x v="515"/>
    <x v="31"/>
    <x v="515"/>
    <x v="0"/>
    <x v="0"/>
    <x v="0"/>
    <x v="7"/>
    <x v="515"/>
    <x v="0"/>
    <x v="0"/>
    <x v="0"/>
    <x v="5"/>
  </r>
  <r>
    <x v="516"/>
    <x v="31"/>
    <x v="516"/>
    <x v="0"/>
    <x v="0"/>
    <x v="0"/>
    <x v="6"/>
    <x v="516"/>
    <x v="0"/>
    <x v="0"/>
    <x v="0"/>
    <x v="22"/>
  </r>
  <r>
    <x v="517"/>
    <x v="31"/>
    <x v="517"/>
    <x v="3"/>
    <x v="4"/>
    <x v="16"/>
    <x v="6"/>
    <x v="517"/>
    <x v="0"/>
    <x v="0"/>
    <x v="0"/>
    <x v="6"/>
  </r>
  <r>
    <x v="518"/>
    <x v="31"/>
    <x v="518"/>
    <x v="4"/>
    <x v="0"/>
    <x v="6"/>
    <x v="5"/>
    <x v="518"/>
    <x v="0"/>
    <x v="0"/>
    <x v="0"/>
    <x v="10"/>
  </r>
  <r>
    <x v="519"/>
    <x v="31"/>
    <x v="519"/>
    <x v="0"/>
    <x v="4"/>
    <x v="11"/>
    <x v="7"/>
    <x v="519"/>
    <x v="0"/>
    <x v="0"/>
    <x v="0"/>
    <x v="14"/>
  </r>
  <r>
    <x v="520"/>
    <x v="32"/>
    <x v="520"/>
    <x v="6"/>
    <x v="4"/>
    <x v="39"/>
    <x v="5"/>
    <x v="520"/>
    <x v="0"/>
    <x v="0"/>
    <x v="0"/>
    <x v="12"/>
  </r>
  <r>
    <x v="521"/>
    <x v="32"/>
    <x v="521"/>
    <x v="0"/>
    <x v="1"/>
    <x v="28"/>
    <x v="1"/>
    <x v="521"/>
    <x v="0"/>
    <x v="0"/>
    <x v="0"/>
    <x v="0"/>
  </r>
  <r>
    <x v="522"/>
    <x v="32"/>
    <x v="522"/>
    <x v="0"/>
    <x v="0"/>
    <x v="0"/>
    <x v="7"/>
    <x v="522"/>
    <x v="0"/>
    <x v="0"/>
    <x v="0"/>
    <x v="2"/>
  </r>
  <r>
    <x v="523"/>
    <x v="32"/>
    <x v="523"/>
    <x v="0"/>
    <x v="0"/>
    <x v="0"/>
    <x v="2"/>
    <x v="523"/>
    <x v="0"/>
    <x v="0"/>
    <x v="0"/>
    <x v="2"/>
  </r>
  <r>
    <x v="524"/>
    <x v="32"/>
    <x v="524"/>
    <x v="0"/>
    <x v="0"/>
    <x v="0"/>
    <x v="2"/>
    <x v="524"/>
    <x v="0"/>
    <x v="0"/>
    <x v="0"/>
    <x v="16"/>
  </r>
  <r>
    <x v="525"/>
    <x v="32"/>
    <x v="525"/>
    <x v="0"/>
    <x v="4"/>
    <x v="11"/>
    <x v="7"/>
    <x v="525"/>
    <x v="0"/>
    <x v="0"/>
    <x v="0"/>
    <x v="18"/>
  </r>
  <r>
    <x v="526"/>
    <x v="32"/>
    <x v="526"/>
    <x v="4"/>
    <x v="0"/>
    <x v="6"/>
    <x v="2"/>
    <x v="526"/>
    <x v="0"/>
    <x v="0"/>
    <x v="0"/>
    <x v="7"/>
  </r>
  <r>
    <x v="527"/>
    <x v="32"/>
    <x v="527"/>
    <x v="4"/>
    <x v="0"/>
    <x v="6"/>
    <x v="7"/>
    <x v="527"/>
    <x v="0"/>
    <x v="0"/>
    <x v="0"/>
    <x v="7"/>
  </r>
  <r>
    <x v="528"/>
    <x v="32"/>
    <x v="528"/>
    <x v="0"/>
    <x v="0"/>
    <x v="0"/>
    <x v="1"/>
    <x v="528"/>
    <x v="0"/>
    <x v="0"/>
    <x v="0"/>
    <x v="7"/>
  </r>
  <r>
    <x v="529"/>
    <x v="32"/>
    <x v="529"/>
    <x v="3"/>
    <x v="0"/>
    <x v="4"/>
    <x v="5"/>
    <x v="529"/>
    <x v="0"/>
    <x v="0"/>
    <x v="0"/>
    <x v="7"/>
  </r>
  <r>
    <x v="530"/>
    <x v="32"/>
    <x v="530"/>
    <x v="3"/>
    <x v="0"/>
    <x v="4"/>
    <x v="7"/>
    <x v="530"/>
    <x v="0"/>
    <x v="0"/>
    <x v="0"/>
    <x v="15"/>
  </r>
  <r>
    <x v="531"/>
    <x v="33"/>
    <x v="531"/>
    <x v="6"/>
    <x v="0"/>
    <x v="21"/>
    <x v="4"/>
    <x v="531"/>
    <x v="0"/>
    <x v="0"/>
    <x v="0"/>
    <x v="11"/>
  </r>
  <r>
    <x v="532"/>
    <x v="33"/>
    <x v="532"/>
    <x v="3"/>
    <x v="0"/>
    <x v="4"/>
    <x v="2"/>
    <x v="532"/>
    <x v="0"/>
    <x v="0"/>
    <x v="0"/>
    <x v="12"/>
  </r>
  <r>
    <x v="533"/>
    <x v="33"/>
    <x v="533"/>
    <x v="10"/>
    <x v="0"/>
    <x v="48"/>
    <x v="5"/>
    <x v="533"/>
    <x v="0"/>
    <x v="0"/>
    <x v="0"/>
    <x v="0"/>
  </r>
  <r>
    <x v="534"/>
    <x v="33"/>
    <x v="534"/>
    <x v="0"/>
    <x v="2"/>
    <x v="2"/>
    <x v="5"/>
    <x v="534"/>
    <x v="0"/>
    <x v="0"/>
    <x v="0"/>
    <x v="2"/>
  </r>
  <r>
    <x v="535"/>
    <x v="33"/>
    <x v="535"/>
    <x v="0"/>
    <x v="0"/>
    <x v="0"/>
    <x v="6"/>
    <x v="535"/>
    <x v="0"/>
    <x v="0"/>
    <x v="0"/>
    <x v="2"/>
  </r>
  <r>
    <x v="536"/>
    <x v="33"/>
    <x v="536"/>
    <x v="1"/>
    <x v="0"/>
    <x v="24"/>
    <x v="6"/>
    <x v="536"/>
    <x v="0"/>
    <x v="0"/>
    <x v="0"/>
    <x v="4"/>
  </r>
  <r>
    <x v="537"/>
    <x v="33"/>
    <x v="537"/>
    <x v="4"/>
    <x v="3"/>
    <x v="55"/>
    <x v="4"/>
    <x v="537"/>
    <x v="0"/>
    <x v="0"/>
    <x v="0"/>
    <x v="17"/>
  </r>
  <r>
    <x v="538"/>
    <x v="33"/>
    <x v="538"/>
    <x v="4"/>
    <x v="0"/>
    <x v="6"/>
    <x v="6"/>
    <x v="538"/>
    <x v="0"/>
    <x v="0"/>
    <x v="0"/>
    <x v="9"/>
  </r>
  <r>
    <x v="539"/>
    <x v="33"/>
    <x v="539"/>
    <x v="0"/>
    <x v="0"/>
    <x v="0"/>
    <x v="7"/>
    <x v="539"/>
    <x v="0"/>
    <x v="0"/>
    <x v="0"/>
    <x v="15"/>
  </r>
  <r>
    <x v="540"/>
    <x v="34"/>
    <x v="540"/>
    <x v="5"/>
    <x v="0"/>
    <x v="14"/>
    <x v="6"/>
    <x v="540"/>
    <x v="0"/>
    <x v="0"/>
    <x v="0"/>
    <x v="11"/>
  </r>
  <r>
    <x v="541"/>
    <x v="34"/>
    <x v="541"/>
    <x v="6"/>
    <x v="4"/>
    <x v="39"/>
    <x v="6"/>
    <x v="541"/>
    <x v="0"/>
    <x v="0"/>
    <x v="0"/>
    <x v="12"/>
  </r>
  <r>
    <x v="542"/>
    <x v="34"/>
    <x v="542"/>
    <x v="0"/>
    <x v="0"/>
    <x v="0"/>
    <x v="10"/>
    <x v="542"/>
    <x v="0"/>
    <x v="0"/>
    <x v="0"/>
    <x v="0"/>
  </r>
  <r>
    <x v="543"/>
    <x v="34"/>
    <x v="543"/>
    <x v="0"/>
    <x v="1"/>
    <x v="28"/>
    <x v="5"/>
    <x v="543"/>
    <x v="0"/>
    <x v="0"/>
    <x v="0"/>
    <x v="1"/>
  </r>
  <r>
    <x v="544"/>
    <x v="34"/>
    <x v="544"/>
    <x v="3"/>
    <x v="0"/>
    <x v="4"/>
    <x v="5"/>
    <x v="544"/>
    <x v="0"/>
    <x v="0"/>
    <x v="0"/>
    <x v="2"/>
  </r>
  <r>
    <x v="545"/>
    <x v="34"/>
    <x v="545"/>
    <x v="4"/>
    <x v="0"/>
    <x v="6"/>
    <x v="2"/>
    <x v="545"/>
    <x v="0"/>
    <x v="0"/>
    <x v="0"/>
    <x v="2"/>
  </r>
  <r>
    <x v="546"/>
    <x v="34"/>
    <x v="546"/>
    <x v="4"/>
    <x v="1"/>
    <x v="5"/>
    <x v="7"/>
    <x v="546"/>
    <x v="0"/>
    <x v="0"/>
    <x v="0"/>
    <x v="17"/>
  </r>
  <r>
    <x v="547"/>
    <x v="34"/>
    <x v="547"/>
    <x v="0"/>
    <x v="0"/>
    <x v="0"/>
    <x v="2"/>
    <x v="545"/>
    <x v="0"/>
    <x v="0"/>
    <x v="0"/>
    <x v="5"/>
  </r>
  <r>
    <x v="548"/>
    <x v="34"/>
    <x v="548"/>
    <x v="3"/>
    <x v="4"/>
    <x v="16"/>
    <x v="2"/>
    <x v="545"/>
    <x v="0"/>
    <x v="0"/>
    <x v="0"/>
    <x v="5"/>
  </r>
  <r>
    <x v="549"/>
    <x v="34"/>
    <x v="549"/>
    <x v="0"/>
    <x v="0"/>
    <x v="0"/>
    <x v="0"/>
    <x v="545"/>
    <x v="0"/>
    <x v="0"/>
    <x v="0"/>
    <x v="5"/>
  </r>
  <r>
    <x v="550"/>
    <x v="34"/>
    <x v="550"/>
    <x v="0"/>
    <x v="6"/>
    <x v="10"/>
    <x v="7"/>
    <x v="547"/>
    <x v="0"/>
    <x v="0"/>
    <x v="0"/>
    <x v="22"/>
  </r>
  <r>
    <x v="551"/>
    <x v="34"/>
    <x v="551"/>
    <x v="3"/>
    <x v="0"/>
    <x v="4"/>
    <x v="7"/>
    <x v="548"/>
    <x v="0"/>
    <x v="0"/>
    <x v="0"/>
    <x v="6"/>
  </r>
  <r>
    <x v="552"/>
    <x v="34"/>
    <x v="552"/>
    <x v="3"/>
    <x v="0"/>
    <x v="4"/>
    <x v="4"/>
    <x v="549"/>
    <x v="0"/>
    <x v="0"/>
    <x v="0"/>
    <x v="7"/>
  </r>
  <r>
    <x v="553"/>
    <x v="34"/>
    <x v="553"/>
    <x v="3"/>
    <x v="0"/>
    <x v="4"/>
    <x v="6"/>
    <x v="550"/>
    <x v="0"/>
    <x v="0"/>
    <x v="0"/>
    <x v="13"/>
  </r>
  <r>
    <x v="554"/>
    <x v="34"/>
    <x v="554"/>
    <x v="4"/>
    <x v="0"/>
    <x v="6"/>
    <x v="4"/>
    <x v="545"/>
    <x v="0"/>
    <x v="0"/>
    <x v="0"/>
    <x v="13"/>
  </r>
  <r>
    <x v="555"/>
    <x v="34"/>
    <x v="555"/>
    <x v="0"/>
    <x v="6"/>
    <x v="10"/>
    <x v="11"/>
    <x v="551"/>
    <x v="0"/>
    <x v="0"/>
    <x v="0"/>
    <x v="13"/>
  </r>
  <r>
    <x v="556"/>
    <x v="34"/>
    <x v="556"/>
    <x v="3"/>
    <x v="0"/>
    <x v="4"/>
    <x v="3"/>
    <x v="552"/>
    <x v="0"/>
    <x v="0"/>
    <x v="0"/>
    <x v="15"/>
  </r>
  <r>
    <x v="557"/>
    <x v="34"/>
    <x v="557"/>
    <x v="4"/>
    <x v="0"/>
    <x v="6"/>
    <x v="4"/>
    <x v="553"/>
    <x v="0"/>
    <x v="0"/>
    <x v="0"/>
    <x v="15"/>
  </r>
  <r>
    <x v="558"/>
    <x v="34"/>
    <x v="558"/>
    <x v="3"/>
    <x v="1"/>
    <x v="13"/>
    <x v="4"/>
    <x v="554"/>
    <x v="0"/>
    <x v="0"/>
    <x v="0"/>
    <x v="23"/>
  </r>
  <r>
    <x v="559"/>
    <x v="35"/>
    <x v="559"/>
    <x v="7"/>
    <x v="0"/>
    <x v="53"/>
    <x v="7"/>
    <x v="555"/>
    <x v="0"/>
    <x v="0"/>
    <x v="0"/>
    <x v="0"/>
  </r>
  <r>
    <x v="560"/>
    <x v="35"/>
    <x v="560"/>
    <x v="0"/>
    <x v="0"/>
    <x v="0"/>
    <x v="4"/>
    <x v="556"/>
    <x v="0"/>
    <x v="0"/>
    <x v="0"/>
    <x v="2"/>
  </r>
  <r>
    <x v="561"/>
    <x v="35"/>
    <x v="561"/>
    <x v="0"/>
    <x v="0"/>
    <x v="0"/>
    <x v="6"/>
    <x v="557"/>
    <x v="0"/>
    <x v="0"/>
    <x v="0"/>
    <x v="3"/>
  </r>
  <r>
    <x v="562"/>
    <x v="35"/>
    <x v="562"/>
    <x v="1"/>
    <x v="6"/>
    <x v="56"/>
    <x v="3"/>
    <x v="558"/>
    <x v="0"/>
    <x v="0"/>
    <x v="0"/>
    <x v="4"/>
  </r>
  <r>
    <x v="563"/>
    <x v="35"/>
    <x v="563"/>
    <x v="4"/>
    <x v="2"/>
    <x v="20"/>
    <x v="7"/>
    <x v="559"/>
    <x v="0"/>
    <x v="0"/>
    <x v="0"/>
    <x v="4"/>
  </r>
  <r>
    <x v="564"/>
    <x v="35"/>
    <x v="564"/>
    <x v="4"/>
    <x v="0"/>
    <x v="6"/>
    <x v="0"/>
    <x v="560"/>
    <x v="0"/>
    <x v="0"/>
    <x v="0"/>
    <x v="6"/>
  </r>
  <r>
    <x v="565"/>
    <x v="35"/>
    <x v="565"/>
    <x v="0"/>
    <x v="1"/>
    <x v="28"/>
    <x v="7"/>
    <x v="561"/>
    <x v="0"/>
    <x v="0"/>
    <x v="0"/>
    <x v="6"/>
  </r>
  <r>
    <x v="566"/>
    <x v="35"/>
    <x v="566"/>
    <x v="3"/>
    <x v="0"/>
    <x v="4"/>
    <x v="1"/>
    <x v="562"/>
    <x v="0"/>
    <x v="0"/>
    <x v="0"/>
    <x v="7"/>
  </r>
  <r>
    <x v="567"/>
    <x v="35"/>
    <x v="567"/>
    <x v="0"/>
    <x v="6"/>
    <x v="10"/>
    <x v="5"/>
    <x v="563"/>
    <x v="0"/>
    <x v="0"/>
    <x v="0"/>
    <x v="13"/>
  </r>
  <r>
    <x v="568"/>
    <x v="35"/>
    <x v="568"/>
    <x v="0"/>
    <x v="0"/>
    <x v="0"/>
    <x v="2"/>
    <x v="545"/>
    <x v="0"/>
    <x v="0"/>
    <x v="0"/>
    <x v="13"/>
  </r>
  <r>
    <x v="569"/>
    <x v="35"/>
    <x v="569"/>
    <x v="0"/>
    <x v="4"/>
    <x v="11"/>
    <x v="8"/>
    <x v="564"/>
    <x v="0"/>
    <x v="0"/>
    <x v="0"/>
    <x v="13"/>
  </r>
  <r>
    <x v="570"/>
    <x v="35"/>
    <x v="570"/>
    <x v="4"/>
    <x v="0"/>
    <x v="6"/>
    <x v="5"/>
    <x v="545"/>
    <x v="0"/>
    <x v="0"/>
    <x v="0"/>
    <x v="9"/>
  </r>
  <r>
    <x v="571"/>
    <x v="36"/>
    <x v="571"/>
    <x v="1"/>
    <x v="3"/>
    <x v="57"/>
    <x v="6"/>
    <x v="565"/>
    <x v="0"/>
    <x v="0"/>
    <x v="0"/>
    <x v="0"/>
  </r>
  <r>
    <x v="572"/>
    <x v="36"/>
    <x v="572"/>
    <x v="6"/>
    <x v="0"/>
    <x v="21"/>
    <x v="4"/>
    <x v="566"/>
    <x v="0"/>
    <x v="0"/>
    <x v="0"/>
    <x v="1"/>
  </r>
  <r>
    <x v="573"/>
    <x v="36"/>
    <x v="573"/>
    <x v="4"/>
    <x v="1"/>
    <x v="5"/>
    <x v="5"/>
    <x v="545"/>
    <x v="0"/>
    <x v="0"/>
    <x v="0"/>
    <x v="1"/>
  </r>
  <r>
    <x v="574"/>
    <x v="36"/>
    <x v="574"/>
    <x v="1"/>
    <x v="0"/>
    <x v="24"/>
    <x v="7"/>
    <x v="567"/>
    <x v="0"/>
    <x v="0"/>
    <x v="0"/>
    <x v="1"/>
  </r>
  <r>
    <x v="575"/>
    <x v="36"/>
    <x v="575"/>
    <x v="3"/>
    <x v="0"/>
    <x v="4"/>
    <x v="5"/>
    <x v="568"/>
    <x v="0"/>
    <x v="0"/>
    <x v="0"/>
    <x v="2"/>
  </r>
  <r>
    <x v="576"/>
    <x v="36"/>
    <x v="576"/>
    <x v="0"/>
    <x v="4"/>
    <x v="11"/>
    <x v="7"/>
    <x v="569"/>
    <x v="0"/>
    <x v="0"/>
    <x v="0"/>
    <x v="2"/>
  </r>
  <r>
    <x v="577"/>
    <x v="36"/>
    <x v="577"/>
    <x v="3"/>
    <x v="0"/>
    <x v="4"/>
    <x v="7"/>
    <x v="570"/>
    <x v="0"/>
    <x v="0"/>
    <x v="0"/>
    <x v="2"/>
  </r>
  <r>
    <x v="578"/>
    <x v="36"/>
    <x v="578"/>
    <x v="0"/>
    <x v="0"/>
    <x v="0"/>
    <x v="2"/>
    <x v="571"/>
    <x v="0"/>
    <x v="0"/>
    <x v="0"/>
    <x v="17"/>
  </r>
  <r>
    <x v="579"/>
    <x v="36"/>
    <x v="579"/>
    <x v="4"/>
    <x v="0"/>
    <x v="6"/>
    <x v="6"/>
    <x v="572"/>
    <x v="0"/>
    <x v="0"/>
    <x v="0"/>
    <x v="6"/>
  </r>
  <r>
    <x v="580"/>
    <x v="36"/>
    <x v="580"/>
    <x v="4"/>
    <x v="5"/>
    <x v="9"/>
    <x v="6"/>
    <x v="573"/>
    <x v="0"/>
    <x v="0"/>
    <x v="0"/>
    <x v="6"/>
  </r>
  <r>
    <x v="581"/>
    <x v="36"/>
    <x v="581"/>
    <x v="4"/>
    <x v="0"/>
    <x v="6"/>
    <x v="0"/>
    <x v="574"/>
    <x v="0"/>
    <x v="0"/>
    <x v="0"/>
    <x v="7"/>
  </r>
  <r>
    <x v="582"/>
    <x v="36"/>
    <x v="582"/>
    <x v="4"/>
    <x v="10"/>
    <x v="58"/>
    <x v="5"/>
    <x v="575"/>
    <x v="0"/>
    <x v="0"/>
    <x v="0"/>
    <x v="7"/>
  </r>
  <r>
    <x v="583"/>
    <x v="36"/>
    <x v="583"/>
    <x v="0"/>
    <x v="4"/>
    <x v="11"/>
    <x v="6"/>
    <x v="576"/>
    <x v="0"/>
    <x v="0"/>
    <x v="0"/>
    <x v="9"/>
  </r>
  <r>
    <x v="584"/>
    <x v="36"/>
    <x v="584"/>
    <x v="3"/>
    <x v="0"/>
    <x v="4"/>
    <x v="4"/>
    <x v="577"/>
    <x v="0"/>
    <x v="0"/>
    <x v="0"/>
    <x v="10"/>
  </r>
  <r>
    <x v="585"/>
    <x v="36"/>
    <x v="585"/>
    <x v="3"/>
    <x v="2"/>
    <x v="27"/>
    <x v="4"/>
    <x v="578"/>
    <x v="0"/>
    <x v="0"/>
    <x v="0"/>
    <x v="10"/>
  </r>
  <r>
    <x v="586"/>
    <x v="36"/>
    <x v="586"/>
    <x v="0"/>
    <x v="4"/>
    <x v="11"/>
    <x v="0"/>
    <x v="579"/>
    <x v="0"/>
    <x v="0"/>
    <x v="0"/>
    <x v="14"/>
  </r>
  <r>
    <x v="587"/>
    <x v="37"/>
    <x v="587"/>
    <x v="5"/>
    <x v="0"/>
    <x v="14"/>
    <x v="2"/>
    <x v="580"/>
    <x v="0"/>
    <x v="0"/>
    <x v="0"/>
    <x v="11"/>
  </r>
  <r>
    <x v="588"/>
    <x v="37"/>
    <x v="588"/>
    <x v="6"/>
    <x v="3"/>
    <x v="40"/>
    <x v="6"/>
    <x v="581"/>
    <x v="0"/>
    <x v="0"/>
    <x v="0"/>
    <x v="0"/>
  </r>
  <r>
    <x v="589"/>
    <x v="37"/>
    <x v="589"/>
    <x v="0"/>
    <x v="0"/>
    <x v="0"/>
    <x v="2"/>
    <x v="582"/>
    <x v="0"/>
    <x v="0"/>
    <x v="0"/>
    <x v="0"/>
  </r>
  <r>
    <x v="590"/>
    <x v="37"/>
    <x v="590"/>
    <x v="0"/>
    <x v="0"/>
    <x v="0"/>
    <x v="2"/>
    <x v="583"/>
    <x v="0"/>
    <x v="0"/>
    <x v="0"/>
    <x v="1"/>
  </r>
  <r>
    <x v="591"/>
    <x v="37"/>
    <x v="591"/>
    <x v="4"/>
    <x v="10"/>
    <x v="58"/>
    <x v="2"/>
    <x v="545"/>
    <x v="0"/>
    <x v="0"/>
    <x v="0"/>
    <x v="1"/>
  </r>
  <r>
    <x v="592"/>
    <x v="37"/>
    <x v="592"/>
    <x v="0"/>
    <x v="0"/>
    <x v="0"/>
    <x v="2"/>
    <x v="584"/>
    <x v="0"/>
    <x v="0"/>
    <x v="0"/>
    <x v="3"/>
  </r>
  <r>
    <x v="593"/>
    <x v="37"/>
    <x v="593"/>
    <x v="2"/>
    <x v="0"/>
    <x v="59"/>
    <x v="4"/>
    <x v="585"/>
    <x v="0"/>
    <x v="0"/>
    <x v="0"/>
    <x v="4"/>
  </r>
  <r>
    <x v="594"/>
    <x v="37"/>
    <x v="594"/>
    <x v="0"/>
    <x v="0"/>
    <x v="0"/>
    <x v="7"/>
    <x v="586"/>
    <x v="0"/>
    <x v="0"/>
    <x v="0"/>
    <x v="17"/>
  </r>
  <r>
    <x v="595"/>
    <x v="37"/>
    <x v="595"/>
    <x v="0"/>
    <x v="0"/>
    <x v="0"/>
    <x v="5"/>
    <x v="587"/>
    <x v="0"/>
    <x v="0"/>
    <x v="0"/>
    <x v="6"/>
  </r>
  <r>
    <x v="596"/>
    <x v="37"/>
    <x v="596"/>
    <x v="0"/>
    <x v="2"/>
    <x v="2"/>
    <x v="5"/>
    <x v="588"/>
    <x v="0"/>
    <x v="0"/>
    <x v="0"/>
    <x v="6"/>
  </r>
  <r>
    <x v="597"/>
    <x v="37"/>
    <x v="597"/>
    <x v="0"/>
    <x v="0"/>
    <x v="0"/>
    <x v="4"/>
    <x v="589"/>
    <x v="0"/>
    <x v="0"/>
    <x v="0"/>
    <x v="16"/>
  </r>
  <r>
    <x v="598"/>
    <x v="37"/>
    <x v="598"/>
    <x v="4"/>
    <x v="0"/>
    <x v="6"/>
    <x v="0"/>
    <x v="590"/>
    <x v="0"/>
    <x v="0"/>
    <x v="0"/>
    <x v="18"/>
  </r>
  <r>
    <x v="599"/>
    <x v="37"/>
    <x v="599"/>
    <x v="3"/>
    <x v="0"/>
    <x v="4"/>
    <x v="5"/>
    <x v="591"/>
    <x v="0"/>
    <x v="0"/>
    <x v="0"/>
    <x v="7"/>
  </r>
  <r>
    <x v="600"/>
    <x v="37"/>
    <x v="600"/>
    <x v="0"/>
    <x v="2"/>
    <x v="2"/>
    <x v="0"/>
    <x v="592"/>
    <x v="0"/>
    <x v="0"/>
    <x v="0"/>
    <x v="14"/>
  </r>
  <r>
    <x v="601"/>
    <x v="37"/>
    <x v="601"/>
    <x v="4"/>
    <x v="0"/>
    <x v="6"/>
    <x v="4"/>
    <x v="593"/>
    <x v="0"/>
    <x v="0"/>
    <x v="0"/>
    <x v="15"/>
  </r>
  <r>
    <x v="602"/>
    <x v="37"/>
    <x v="602"/>
    <x v="4"/>
    <x v="4"/>
    <x v="7"/>
    <x v="4"/>
    <x v="594"/>
    <x v="0"/>
    <x v="0"/>
    <x v="0"/>
    <x v="20"/>
  </r>
  <r>
    <x v="603"/>
    <x v="38"/>
    <x v="603"/>
    <x v="6"/>
    <x v="0"/>
    <x v="21"/>
    <x v="1"/>
    <x v="595"/>
    <x v="0"/>
    <x v="0"/>
    <x v="0"/>
    <x v="12"/>
  </r>
  <r>
    <x v="604"/>
    <x v="38"/>
    <x v="604"/>
    <x v="7"/>
    <x v="1"/>
    <x v="60"/>
    <x v="1"/>
    <x v="596"/>
    <x v="0"/>
    <x v="0"/>
    <x v="0"/>
    <x v="0"/>
  </r>
  <r>
    <x v="605"/>
    <x v="38"/>
    <x v="605"/>
    <x v="4"/>
    <x v="0"/>
    <x v="6"/>
    <x v="7"/>
    <x v="597"/>
    <x v="0"/>
    <x v="0"/>
    <x v="0"/>
    <x v="0"/>
  </r>
  <r>
    <x v="606"/>
    <x v="38"/>
    <x v="606"/>
    <x v="12"/>
    <x v="1"/>
    <x v="61"/>
    <x v="5"/>
    <x v="598"/>
    <x v="0"/>
    <x v="0"/>
    <x v="0"/>
    <x v="0"/>
  </r>
  <r>
    <x v="607"/>
    <x v="38"/>
    <x v="607"/>
    <x v="13"/>
    <x v="0"/>
    <x v="62"/>
    <x v="3"/>
    <x v="599"/>
    <x v="0"/>
    <x v="0"/>
    <x v="0"/>
    <x v="0"/>
  </r>
  <r>
    <x v="608"/>
    <x v="38"/>
    <x v="608"/>
    <x v="3"/>
    <x v="0"/>
    <x v="4"/>
    <x v="7"/>
    <x v="600"/>
    <x v="0"/>
    <x v="0"/>
    <x v="0"/>
    <x v="3"/>
  </r>
  <r>
    <x v="609"/>
    <x v="38"/>
    <x v="609"/>
    <x v="0"/>
    <x v="4"/>
    <x v="11"/>
    <x v="6"/>
    <x v="601"/>
    <x v="0"/>
    <x v="0"/>
    <x v="0"/>
    <x v="17"/>
  </r>
  <r>
    <x v="610"/>
    <x v="38"/>
    <x v="610"/>
    <x v="0"/>
    <x v="0"/>
    <x v="0"/>
    <x v="1"/>
    <x v="602"/>
    <x v="0"/>
    <x v="0"/>
    <x v="0"/>
    <x v="5"/>
  </r>
  <r>
    <x v="611"/>
    <x v="38"/>
    <x v="611"/>
    <x v="0"/>
    <x v="6"/>
    <x v="10"/>
    <x v="5"/>
    <x v="603"/>
    <x v="0"/>
    <x v="0"/>
    <x v="0"/>
    <x v="22"/>
  </r>
  <r>
    <x v="612"/>
    <x v="38"/>
    <x v="612"/>
    <x v="0"/>
    <x v="0"/>
    <x v="0"/>
    <x v="4"/>
    <x v="604"/>
    <x v="0"/>
    <x v="0"/>
    <x v="0"/>
    <x v="22"/>
  </r>
  <r>
    <x v="613"/>
    <x v="38"/>
    <x v="613"/>
    <x v="4"/>
    <x v="0"/>
    <x v="6"/>
    <x v="5"/>
    <x v="605"/>
    <x v="0"/>
    <x v="0"/>
    <x v="0"/>
    <x v="7"/>
  </r>
  <r>
    <x v="614"/>
    <x v="38"/>
    <x v="614"/>
    <x v="0"/>
    <x v="0"/>
    <x v="0"/>
    <x v="7"/>
    <x v="606"/>
    <x v="0"/>
    <x v="0"/>
    <x v="0"/>
    <x v="8"/>
  </r>
  <r>
    <x v="615"/>
    <x v="38"/>
    <x v="615"/>
    <x v="4"/>
    <x v="1"/>
    <x v="5"/>
    <x v="4"/>
    <x v="607"/>
    <x v="0"/>
    <x v="0"/>
    <x v="0"/>
    <x v="9"/>
  </r>
  <r>
    <x v="616"/>
    <x v="38"/>
    <x v="616"/>
    <x v="0"/>
    <x v="2"/>
    <x v="2"/>
    <x v="5"/>
    <x v="608"/>
    <x v="0"/>
    <x v="0"/>
    <x v="0"/>
    <x v="9"/>
  </r>
  <r>
    <x v="617"/>
    <x v="38"/>
    <x v="617"/>
    <x v="4"/>
    <x v="0"/>
    <x v="6"/>
    <x v="4"/>
    <x v="609"/>
    <x v="0"/>
    <x v="0"/>
    <x v="0"/>
    <x v="10"/>
  </r>
  <r>
    <x v="618"/>
    <x v="38"/>
    <x v="618"/>
    <x v="3"/>
    <x v="0"/>
    <x v="4"/>
    <x v="7"/>
    <x v="610"/>
    <x v="0"/>
    <x v="0"/>
    <x v="0"/>
    <x v="15"/>
  </r>
  <r>
    <x v="619"/>
    <x v="39"/>
    <x v="619"/>
    <x v="4"/>
    <x v="0"/>
    <x v="6"/>
    <x v="8"/>
    <x v="611"/>
    <x v="0"/>
    <x v="0"/>
    <x v="0"/>
    <x v="12"/>
  </r>
  <r>
    <x v="620"/>
    <x v="39"/>
    <x v="620"/>
    <x v="6"/>
    <x v="6"/>
    <x v="63"/>
    <x v="3"/>
    <x v="612"/>
    <x v="0"/>
    <x v="0"/>
    <x v="0"/>
    <x v="4"/>
  </r>
  <r>
    <x v="621"/>
    <x v="39"/>
    <x v="621"/>
    <x v="0"/>
    <x v="0"/>
    <x v="0"/>
    <x v="7"/>
    <x v="545"/>
    <x v="0"/>
    <x v="0"/>
    <x v="0"/>
    <x v="5"/>
  </r>
  <r>
    <x v="622"/>
    <x v="39"/>
    <x v="622"/>
    <x v="4"/>
    <x v="0"/>
    <x v="6"/>
    <x v="3"/>
    <x v="613"/>
    <x v="0"/>
    <x v="0"/>
    <x v="0"/>
    <x v="22"/>
  </r>
  <r>
    <x v="623"/>
    <x v="39"/>
    <x v="623"/>
    <x v="3"/>
    <x v="0"/>
    <x v="4"/>
    <x v="2"/>
    <x v="614"/>
    <x v="0"/>
    <x v="0"/>
    <x v="0"/>
    <x v="7"/>
  </r>
  <r>
    <x v="624"/>
    <x v="39"/>
    <x v="624"/>
    <x v="0"/>
    <x v="0"/>
    <x v="0"/>
    <x v="7"/>
    <x v="615"/>
    <x v="0"/>
    <x v="0"/>
    <x v="0"/>
    <x v="7"/>
  </r>
  <r>
    <x v="625"/>
    <x v="39"/>
    <x v="625"/>
    <x v="0"/>
    <x v="0"/>
    <x v="0"/>
    <x v="6"/>
    <x v="545"/>
    <x v="0"/>
    <x v="0"/>
    <x v="0"/>
    <x v="13"/>
  </r>
  <r>
    <x v="626"/>
    <x v="39"/>
    <x v="626"/>
    <x v="0"/>
    <x v="0"/>
    <x v="0"/>
    <x v="5"/>
    <x v="616"/>
    <x v="0"/>
    <x v="0"/>
    <x v="0"/>
    <x v="13"/>
  </r>
  <r>
    <x v="627"/>
    <x v="39"/>
    <x v="627"/>
    <x v="4"/>
    <x v="0"/>
    <x v="6"/>
    <x v="6"/>
    <x v="617"/>
    <x v="0"/>
    <x v="0"/>
    <x v="0"/>
    <x v="13"/>
  </r>
  <r>
    <x v="628"/>
    <x v="39"/>
    <x v="628"/>
    <x v="4"/>
    <x v="0"/>
    <x v="6"/>
    <x v="3"/>
    <x v="618"/>
    <x v="0"/>
    <x v="0"/>
    <x v="0"/>
    <x v="9"/>
  </r>
  <r>
    <x v="629"/>
    <x v="39"/>
    <x v="629"/>
    <x v="0"/>
    <x v="0"/>
    <x v="0"/>
    <x v="7"/>
    <x v="619"/>
    <x v="0"/>
    <x v="0"/>
    <x v="0"/>
    <x v="10"/>
  </r>
  <r>
    <x v="630"/>
    <x v="39"/>
    <x v="630"/>
    <x v="0"/>
    <x v="1"/>
    <x v="28"/>
    <x v="2"/>
    <x v="620"/>
    <x v="0"/>
    <x v="0"/>
    <x v="0"/>
    <x v="14"/>
  </r>
  <r>
    <x v="631"/>
    <x v="40"/>
    <x v="631"/>
    <x v="1"/>
    <x v="4"/>
    <x v="35"/>
    <x v="6"/>
    <x v="621"/>
    <x v="0"/>
    <x v="0"/>
    <x v="0"/>
    <x v="12"/>
  </r>
  <r>
    <x v="632"/>
    <x v="40"/>
    <x v="632"/>
    <x v="3"/>
    <x v="0"/>
    <x v="4"/>
    <x v="7"/>
    <x v="622"/>
    <x v="0"/>
    <x v="0"/>
    <x v="0"/>
    <x v="0"/>
  </r>
  <r>
    <x v="633"/>
    <x v="40"/>
    <x v="633"/>
    <x v="0"/>
    <x v="3"/>
    <x v="47"/>
    <x v="4"/>
    <x v="623"/>
    <x v="0"/>
    <x v="0"/>
    <x v="0"/>
    <x v="0"/>
  </r>
  <r>
    <x v="634"/>
    <x v="40"/>
    <x v="634"/>
    <x v="3"/>
    <x v="5"/>
    <x v="8"/>
    <x v="1"/>
    <x v="624"/>
    <x v="0"/>
    <x v="0"/>
    <x v="0"/>
    <x v="2"/>
  </r>
  <r>
    <x v="635"/>
    <x v="40"/>
    <x v="635"/>
    <x v="3"/>
    <x v="0"/>
    <x v="4"/>
    <x v="4"/>
    <x v="625"/>
    <x v="0"/>
    <x v="0"/>
    <x v="0"/>
    <x v="2"/>
  </r>
  <r>
    <x v="636"/>
    <x v="40"/>
    <x v="636"/>
    <x v="0"/>
    <x v="0"/>
    <x v="0"/>
    <x v="9"/>
    <x v="626"/>
    <x v="0"/>
    <x v="0"/>
    <x v="0"/>
    <x v="5"/>
  </r>
  <r>
    <x v="637"/>
    <x v="40"/>
    <x v="637"/>
    <x v="0"/>
    <x v="0"/>
    <x v="0"/>
    <x v="1"/>
    <x v="627"/>
    <x v="0"/>
    <x v="0"/>
    <x v="0"/>
    <x v="5"/>
  </r>
  <r>
    <x v="638"/>
    <x v="40"/>
    <x v="638"/>
    <x v="0"/>
    <x v="0"/>
    <x v="0"/>
    <x v="7"/>
    <x v="628"/>
    <x v="0"/>
    <x v="0"/>
    <x v="0"/>
    <x v="5"/>
  </r>
  <r>
    <x v="639"/>
    <x v="40"/>
    <x v="639"/>
    <x v="0"/>
    <x v="0"/>
    <x v="0"/>
    <x v="14"/>
    <x v="629"/>
    <x v="0"/>
    <x v="0"/>
    <x v="0"/>
    <x v="5"/>
  </r>
  <r>
    <x v="640"/>
    <x v="40"/>
    <x v="640"/>
    <x v="3"/>
    <x v="0"/>
    <x v="4"/>
    <x v="5"/>
    <x v="630"/>
    <x v="0"/>
    <x v="0"/>
    <x v="0"/>
    <x v="5"/>
  </r>
  <r>
    <x v="641"/>
    <x v="40"/>
    <x v="641"/>
    <x v="0"/>
    <x v="6"/>
    <x v="10"/>
    <x v="8"/>
    <x v="631"/>
    <x v="0"/>
    <x v="0"/>
    <x v="0"/>
    <x v="22"/>
  </r>
  <r>
    <x v="642"/>
    <x v="40"/>
    <x v="642"/>
    <x v="4"/>
    <x v="2"/>
    <x v="20"/>
    <x v="7"/>
    <x v="632"/>
    <x v="0"/>
    <x v="0"/>
    <x v="0"/>
    <x v="6"/>
  </r>
  <r>
    <x v="643"/>
    <x v="40"/>
    <x v="643"/>
    <x v="3"/>
    <x v="0"/>
    <x v="4"/>
    <x v="4"/>
    <x v="633"/>
    <x v="0"/>
    <x v="0"/>
    <x v="0"/>
    <x v="6"/>
  </r>
  <r>
    <x v="644"/>
    <x v="40"/>
    <x v="644"/>
    <x v="0"/>
    <x v="14"/>
    <x v="64"/>
    <x v="4"/>
    <x v="634"/>
    <x v="0"/>
    <x v="0"/>
    <x v="0"/>
    <x v="16"/>
  </r>
  <r>
    <x v="645"/>
    <x v="40"/>
    <x v="645"/>
    <x v="4"/>
    <x v="0"/>
    <x v="6"/>
    <x v="5"/>
    <x v="635"/>
    <x v="0"/>
    <x v="0"/>
    <x v="0"/>
    <x v="7"/>
  </r>
  <r>
    <x v="646"/>
    <x v="40"/>
    <x v="646"/>
    <x v="3"/>
    <x v="0"/>
    <x v="4"/>
    <x v="4"/>
    <x v="636"/>
    <x v="0"/>
    <x v="0"/>
    <x v="0"/>
    <x v="7"/>
  </r>
  <r>
    <x v="647"/>
    <x v="40"/>
    <x v="647"/>
    <x v="0"/>
    <x v="0"/>
    <x v="0"/>
    <x v="1"/>
    <x v="637"/>
    <x v="0"/>
    <x v="0"/>
    <x v="0"/>
    <x v="7"/>
  </r>
  <r>
    <x v="648"/>
    <x v="40"/>
    <x v="648"/>
    <x v="0"/>
    <x v="2"/>
    <x v="2"/>
    <x v="5"/>
    <x v="638"/>
    <x v="0"/>
    <x v="0"/>
    <x v="0"/>
    <x v="13"/>
  </r>
  <r>
    <x v="649"/>
    <x v="40"/>
    <x v="649"/>
    <x v="4"/>
    <x v="0"/>
    <x v="6"/>
    <x v="7"/>
    <x v="639"/>
    <x v="0"/>
    <x v="0"/>
    <x v="0"/>
    <x v="9"/>
  </r>
  <r>
    <x v="650"/>
    <x v="40"/>
    <x v="650"/>
    <x v="3"/>
    <x v="0"/>
    <x v="4"/>
    <x v="1"/>
    <x v="640"/>
    <x v="0"/>
    <x v="0"/>
    <x v="0"/>
    <x v="9"/>
  </r>
  <r>
    <x v="651"/>
    <x v="40"/>
    <x v="651"/>
    <x v="4"/>
    <x v="0"/>
    <x v="6"/>
    <x v="4"/>
    <x v="641"/>
    <x v="0"/>
    <x v="0"/>
    <x v="0"/>
    <x v="9"/>
  </r>
  <r>
    <x v="652"/>
    <x v="40"/>
    <x v="652"/>
    <x v="0"/>
    <x v="4"/>
    <x v="11"/>
    <x v="3"/>
    <x v="642"/>
    <x v="0"/>
    <x v="0"/>
    <x v="0"/>
    <x v="10"/>
  </r>
  <r>
    <x v="653"/>
    <x v="40"/>
    <x v="653"/>
    <x v="0"/>
    <x v="0"/>
    <x v="0"/>
    <x v="7"/>
    <x v="643"/>
    <x v="0"/>
    <x v="0"/>
    <x v="0"/>
    <x v="10"/>
  </r>
  <r>
    <x v="654"/>
    <x v="40"/>
    <x v="654"/>
    <x v="0"/>
    <x v="4"/>
    <x v="11"/>
    <x v="5"/>
    <x v="644"/>
    <x v="0"/>
    <x v="0"/>
    <x v="0"/>
    <x v="14"/>
  </r>
  <r>
    <x v="655"/>
    <x v="41"/>
    <x v="655"/>
    <x v="0"/>
    <x v="5"/>
    <x v="25"/>
    <x v="5"/>
    <x v="645"/>
    <x v="0"/>
    <x v="0"/>
    <x v="0"/>
    <x v="11"/>
  </r>
  <r>
    <x v="656"/>
    <x v="41"/>
    <x v="656"/>
    <x v="6"/>
    <x v="3"/>
    <x v="40"/>
    <x v="6"/>
    <x v="646"/>
    <x v="0"/>
    <x v="0"/>
    <x v="0"/>
    <x v="12"/>
  </r>
  <r>
    <x v="657"/>
    <x v="41"/>
    <x v="657"/>
    <x v="3"/>
    <x v="5"/>
    <x v="8"/>
    <x v="2"/>
    <x v="647"/>
    <x v="0"/>
    <x v="0"/>
    <x v="0"/>
    <x v="0"/>
  </r>
  <r>
    <x v="658"/>
    <x v="41"/>
    <x v="658"/>
    <x v="0"/>
    <x v="0"/>
    <x v="0"/>
    <x v="6"/>
    <x v="648"/>
    <x v="0"/>
    <x v="0"/>
    <x v="0"/>
    <x v="0"/>
  </r>
  <r>
    <x v="659"/>
    <x v="41"/>
    <x v="659"/>
    <x v="4"/>
    <x v="0"/>
    <x v="6"/>
    <x v="1"/>
    <x v="649"/>
    <x v="0"/>
    <x v="0"/>
    <x v="0"/>
    <x v="1"/>
  </r>
  <r>
    <x v="660"/>
    <x v="41"/>
    <x v="660"/>
    <x v="4"/>
    <x v="0"/>
    <x v="6"/>
    <x v="5"/>
    <x v="650"/>
    <x v="0"/>
    <x v="0"/>
    <x v="0"/>
    <x v="3"/>
  </r>
  <r>
    <x v="661"/>
    <x v="41"/>
    <x v="661"/>
    <x v="0"/>
    <x v="2"/>
    <x v="2"/>
    <x v="5"/>
    <x v="651"/>
    <x v="0"/>
    <x v="0"/>
    <x v="0"/>
    <x v="3"/>
  </r>
  <r>
    <x v="662"/>
    <x v="41"/>
    <x v="662"/>
    <x v="0"/>
    <x v="1"/>
    <x v="28"/>
    <x v="7"/>
    <x v="652"/>
    <x v="0"/>
    <x v="0"/>
    <x v="0"/>
    <x v="17"/>
  </r>
  <r>
    <x v="663"/>
    <x v="41"/>
    <x v="663"/>
    <x v="10"/>
    <x v="1"/>
    <x v="65"/>
    <x v="2"/>
    <x v="653"/>
    <x v="0"/>
    <x v="0"/>
    <x v="0"/>
    <x v="17"/>
  </r>
  <r>
    <x v="664"/>
    <x v="41"/>
    <x v="664"/>
    <x v="0"/>
    <x v="0"/>
    <x v="0"/>
    <x v="1"/>
    <x v="654"/>
    <x v="0"/>
    <x v="0"/>
    <x v="0"/>
    <x v="5"/>
  </r>
  <r>
    <x v="665"/>
    <x v="41"/>
    <x v="665"/>
    <x v="0"/>
    <x v="0"/>
    <x v="0"/>
    <x v="9"/>
    <x v="655"/>
    <x v="0"/>
    <x v="0"/>
    <x v="0"/>
    <x v="5"/>
  </r>
  <r>
    <x v="666"/>
    <x v="41"/>
    <x v="666"/>
    <x v="0"/>
    <x v="0"/>
    <x v="0"/>
    <x v="7"/>
    <x v="656"/>
    <x v="0"/>
    <x v="0"/>
    <x v="0"/>
    <x v="22"/>
  </r>
  <r>
    <x v="667"/>
    <x v="41"/>
    <x v="667"/>
    <x v="0"/>
    <x v="0"/>
    <x v="0"/>
    <x v="6"/>
    <x v="657"/>
    <x v="0"/>
    <x v="0"/>
    <x v="0"/>
    <x v="6"/>
  </r>
  <r>
    <x v="668"/>
    <x v="41"/>
    <x v="668"/>
    <x v="3"/>
    <x v="5"/>
    <x v="8"/>
    <x v="1"/>
    <x v="658"/>
    <x v="0"/>
    <x v="0"/>
    <x v="0"/>
    <x v="7"/>
  </r>
  <r>
    <x v="669"/>
    <x v="41"/>
    <x v="669"/>
    <x v="3"/>
    <x v="0"/>
    <x v="4"/>
    <x v="5"/>
    <x v="659"/>
    <x v="0"/>
    <x v="0"/>
    <x v="0"/>
    <x v="9"/>
  </r>
  <r>
    <x v="670"/>
    <x v="41"/>
    <x v="670"/>
    <x v="4"/>
    <x v="4"/>
    <x v="7"/>
    <x v="5"/>
    <x v="660"/>
    <x v="0"/>
    <x v="0"/>
    <x v="0"/>
    <x v="9"/>
  </r>
  <r>
    <x v="671"/>
    <x v="41"/>
    <x v="671"/>
    <x v="4"/>
    <x v="0"/>
    <x v="6"/>
    <x v="7"/>
    <x v="661"/>
    <x v="0"/>
    <x v="0"/>
    <x v="0"/>
    <x v="10"/>
  </r>
  <r>
    <x v="672"/>
    <x v="42"/>
    <x v="672"/>
    <x v="4"/>
    <x v="0"/>
    <x v="6"/>
    <x v="4"/>
    <x v="662"/>
    <x v="0"/>
    <x v="0"/>
    <x v="0"/>
    <x v="0"/>
  </r>
  <r>
    <x v="673"/>
    <x v="42"/>
    <x v="673"/>
    <x v="0"/>
    <x v="0"/>
    <x v="0"/>
    <x v="0"/>
    <x v="663"/>
    <x v="0"/>
    <x v="0"/>
    <x v="0"/>
    <x v="0"/>
  </r>
  <r>
    <x v="674"/>
    <x v="42"/>
    <x v="674"/>
    <x v="0"/>
    <x v="0"/>
    <x v="0"/>
    <x v="7"/>
    <x v="664"/>
    <x v="0"/>
    <x v="0"/>
    <x v="0"/>
    <x v="1"/>
  </r>
  <r>
    <x v="675"/>
    <x v="42"/>
    <x v="675"/>
    <x v="4"/>
    <x v="0"/>
    <x v="6"/>
    <x v="0"/>
    <x v="665"/>
    <x v="0"/>
    <x v="0"/>
    <x v="0"/>
    <x v="1"/>
  </r>
  <r>
    <x v="676"/>
    <x v="42"/>
    <x v="676"/>
    <x v="4"/>
    <x v="0"/>
    <x v="6"/>
    <x v="4"/>
    <x v="666"/>
    <x v="0"/>
    <x v="0"/>
    <x v="0"/>
    <x v="2"/>
  </r>
  <r>
    <x v="677"/>
    <x v="42"/>
    <x v="677"/>
    <x v="1"/>
    <x v="4"/>
    <x v="35"/>
    <x v="6"/>
    <x v="667"/>
    <x v="0"/>
    <x v="0"/>
    <x v="0"/>
    <x v="3"/>
  </r>
  <r>
    <x v="678"/>
    <x v="42"/>
    <x v="678"/>
    <x v="4"/>
    <x v="0"/>
    <x v="6"/>
    <x v="5"/>
    <x v="668"/>
    <x v="0"/>
    <x v="0"/>
    <x v="0"/>
    <x v="5"/>
  </r>
  <r>
    <x v="679"/>
    <x v="42"/>
    <x v="679"/>
    <x v="0"/>
    <x v="0"/>
    <x v="0"/>
    <x v="6"/>
    <x v="669"/>
    <x v="0"/>
    <x v="0"/>
    <x v="0"/>
    <x v="5"/>
  </r>
  <r>
    <x v="680"/>
    <x v="42"/>
    <x v="680"/>
    <x v="4"/>
    <x v="1"/>
    <x v="5"/>
    <x v="5"/>
    <x v="670"/>
    <x v="0"/>
    <x v="0"/>
    <x v="0"/>
    <x v="22"/>
  </r>
  <r>
    <x v="681"/>
    <x v="42"/>
    <x v="681"/>
    <x v="0"/>
    <x v="2"/>
    <x v="2"/>
    <x v="5"/>
    <x v="671"/>
    <x v="0"/>
    <x v="0"/>
    <x v="0"/>
    <x v="6"/>
  </r>
  <r>
    <x v="682"/>
    <x v="42"/>
    <x v="682"/>
    <x v="0"/>
    <x v="2"/>
    <x v="2"/>
    <x v="4"/>
    <x v="672"/>
    <x v="0"/>
    <x v="0"/>
    <x v="0"/>
    <x v="18"/>
  </r>
  <r>
    <x v="683"/>
    <x v="42"/>
    <x v="683"/>
    <x v="0"/>
    <x v="0"/>
    <x v="0"/>
    <x v="2"/>
    <x v="673"/>
    <x v="0"/>
    <x v="0"/>
    <x v="0"/>
    <x v="7"/>
  </r>
  <r>
    <x v="684"/>
    <x v="42"/>
    <x v="684"/>
    <x v="3"/>
    <x v="0"/>
    <x v="4"/>
    <x v="2"/>
    <x v="674"/>
    <x v="0"/>
    <x v="0"/>
    <x v="0"/>
    <x v="7"/>
  </r>
  <r>
    <x v="685"/>
    <x v="42"/>
    <x v="685"/>
    <x v="3"/>
    <x v="0"/>
    <x v="4"/>
    <x v="0"/>
    <x v="675"/>
    <x v="0"/>
    <x v="0"/>
    <x v="0"/>
    <x v="13"/>
  </r>
  <r>
    <x v="686"/>
    <x v="42"/>
    <x v="686"/>
    <x v="0"/>
    <x v="0"/>
    <x v="0"/>
    <x v="5"/>
    <x v="676"/>
    <x v="0"/>
    <x v="0"/>
    <x v="0"/>
    <x v="13"/>
  </r>
  <r>
    <x v="687"/>
    <x v="42"/>
    <x v="687"/>
    <x v="0"/>
    <x v="8"/>
    <x v="22"/>
    <x v="3"/>
    <x v="677"/>
    <x v="0"/>
    <x v="0"/>
    <x v="0"/>
    <x v="9"/>
  </r>
  <r>
    <x v="688"/>
    <x v="42"/>
    <x v="688"/>
    <x v="4"/>
    <x v="0"/>
    <x v="6"/>
    <x v="7"/>
    <x v="678"/>
    <x v="0"/>
    <x v="0"/>
    <x v="0"/>
    <x v="9"/>
  </r>
  <r>
    <x v="689"/>
    <x v="43"/>
    <x v="689"/>
    <x v="6"/>
    <x v="0"/>
    <x v="21"/>
    <x v="6"/>
    <x v="679"/>
    <x v="0"/>
    <x v="0"/>
    <x v="0"/>
    <x v="11"/>
  </r>
  <r>
    <x v="690"/>
    <x v="43"/>
    <x v="690"/>
    <x v="5"/>
    <x v="0"/>
    <x v="14"/>
    <x v="5"/>
    <x v="680"/>
    <x v="0"/>
    <x v="0"/>
    <x v="0"/>
    <x v="11"/>
  </r>
  <r>
    <x v="691"/>
    <x v="43"/>
    <x v="691"/>
    <x v="3"/>
    <x v="0"/>
    <x v="4"/>
    <x v="4"/>
    <x v="681"/>
    <x v="0"/>
    <x v="0"/>
    <x v="0"/>
    <x v="0"/>
  </r>
  <r>
    <x v="692"/>
    <x v="43"/>
    <x v="692"/>
    <x v="1"/>
    <x v="0"/>
    <x v="24"/>
    <x v="6"/>
    <x v="682"/>
    <x v="0"/>
    <x v="0"/>
    <x v="0"/>
    <x v="0"/>
  </r>
  <r>
    <x v="693"/>
    <x v="43"/>
    <x v="693"/>
    <x v="0"/>
    <x v="0"/>
    <x v="0"/>
    <x v="4"/>
    <x v="683"/>
    <x v="0"/>
    <x v="0"/>
    <x v="0"/>
    <x v="1"/>
  </r>
  <r>
    <x v="694"/>
    <x v="43"/>
    <x v="694"/>
    <x v="3"/>
    <x v="0"/>
    <x v="4"/>
    <x v="3"/>
    <x v="684"/>
    <x v="0"/>
    <x v="0"/>
    <x v="0"/>
    <x v="2"/>
  </r>
  <r>
    <x v="695"/>
    <x v="43"/>
    <x v="695"/>
    <x v="3"/>
    <x v="0"/>
    <x v="4"/>
    <x v="3"/>
    <x v="685"/>
    <x v="0"/>
    <x v="0"/>
    <x v="0"/>
    <x v="2"/>
  </r>
  <r>
    <x v="696"/>
    <x v="43"/>
    <x v="696"/>
    <x v="0"/>
    <x v="0"/>
    <x v="0"/>
    <x v="4"/>
    <x v="686"/>
    <x v="0"/>
    <x v="0"/>
    <x v="0"/>
    <x v="3"/>
  </r>
  <r>
    <x v="697"/>
    <x v="43"/>
    <x v="697"/>
    <x v="0"/>
    <x v="0"/>
    <x v="0"/>
    <x v="4"/>
    <x v="687"/>
    <x v="0"/>
    <x v="0"/>
    <x v="0"/>
    <x v="5"/>
  </r>
  <r>
    <x v="698"/>
    <x v="43"/>
    <x v="698"/>
    <x v="0"/>
    <x v="5"/>
    <x v="25"/>
    <x v="4"/>
    <x v="688"/>
    <x v="0"/>
    <x v="0"/>
    <x v="0"/>
    <x v="22"/>
  </r>
  <r>
    <x v="699"/>
    <x v="43"/>
    <x v="699"/>
    <x v="4"/>
    <x v="5"/>
    <x v="9"/>
    <x v="7"/>
    <x v="689"/>
    <x v="0"/>
    <x v="0"/>
    <x v="0"/>
    <x v="6"/>
  </r>
  <r>
    <x v="700"/>
    <x v="43"/>
    <x v="700"/>
    <x v="4"/>
    <x v="0"/>
    <x v="6"/>
    <x v="6"/>
    <x v="690"/>
    <x v="0"/>
    <x v="0"/>
    <x v="0"/>
    <x v="6"/>
  </r>
  <r>
    <x v="701"/>
    <x v="43"/>
    <x v="701"/>
    <x v="3"/>
    <x v="0"/>
    <x v="4"/>
    <x v="2"/>
    <x v="691"/>
    <x v="0"/>
    <x v="0"/>
    <x v="0"/>
    <x v="6"/>
  </r>
  <r>
    <x v="702"/>
    <x v="43"/>
    <x v="702"/>
    <x v="3"/>
    <x v="2"/>
    <x v="27"/>
    <x v="5"/>
    <x v="692"/>
    <x v="0"/>
    <x v="0"/>
    <x v="0"/>
    <x v="7"/>
  </r>
  <r>
    <x v="703"/>
    <x v="43"/>
    <x v="703"/>
    <x v="4"/>
    <x v="6"/>
    <x v="12"/>
    <x v="8"/>
    <x v="693"/>
    <x v="0"/>
    <x v="0"/>
    <x v="0"/>
    <x v="9"/>
  </r>
  <r>
    <x v="704"/>
    <x v="43"/>
    <x v="704"/>
    <x v="4"/>
    <x v="4"/>
    <x v="7"/>
    <x v="5"/>
    <x v="694"/>
    <x v="0"/>
    <x v="0"/>
    <x v="0"/>
    <x v="10"/>
  </r>
  <r>
    <x v="705"/>
    <x v="43"/>
    <x v="705"/>
    <x v="4"/>
    <x v="4"/>
    <x v="7"/>
    <x v="7"/>
    <x v="695"/>
    <x v="0"/>
    <x v="0"/>
    <x v="0"/>
    <x v="14"/>
  </r>
  <r>
    <x v="706"/>
    <x v="43"/>
    <x v="706"/>
    <x v="0"/>
    <x v="0"/>
    <x v="0"/>
    <x v="7"/>
    <x v="696"/>
    <x v="0"/>
    <x v="0"/>
    <x v="0"/>
    <x v="15"/>
  </r>
  <r>
    <x v="707"/>
    <x v="44"/>
    <x v="707"/>
    <x v="3"/>
    <x v="0"/>
    <x v="4"/>
    <x v="7"/>
    <x v="697"/>
    <x v="0"/>
    <x v="0"/>
    <x v="0"/>
    <x v="11"/>
  </r>
  <r>
    <x v="708"/>
    <x v="44"/>
    <x v="708"/>
    <x v="6"/>
    <x v="0"/>
    <x v="21"/>
    <x v="6"/>
    <x v="698"/>
    <x v="0"/>
    <x v="0"/>
    <x v="0"/>
    <x v="11"/>
  </r>
  <r>
    <x v="709"/>
    <x v="44"/>
    <x v="709"/>
    <x v="5"/>
    <x v="1"/>
    <x v="23"/>
    <x v="4"/>
    <x v="699"/>
    <x v="0"/>
    <x v="0"/>
    <x v="0"/>
    <x v="11"/>
  </r>
  <r>
    <x v="710"/>
    <x v="44"/>
    <x v="710"/>
    <x v="6"/>
    <x v="5"/>
    <x v="43"/>
    <x v="6"/>
    <x v="385"/>
    <x v="0"/>
    <x v="11"/>
    <x v="0"/>
    <x v="0"/>
  </r>
  <r>
    <x v="711"/>
    <x v="44"/>
    <x v="711"/>
    <x v="1"/>
    <x v="0"/>
    <x v="24"/>
    <x v="7"/>
    <x v="700"/>
    <x v="0"/>
    <x v="0"/>
    <x v="0"/>
    <x v="0"/>
  </r>
  <r>
    <x v="712"/>
    <x v="44"/>
    <x v="712"/>
    <x v="6"/>
    <x v="2"/>
    <x v="44"/>
    <x v="7"/>
    <x v="701"/>
    <x v="0"/>
    <x v="0"/>
    <x v="0"/>
    <x v="1"/>
  </r>
  <r>
    <x v="713"/>
    <x v="44"/>
    <x v="713"/>
    <x v="1"/>
    <x v="0"/>
    <x v="24"/>
    <x v="7"/>
    <x v="702"/>
    <x v="0"/>
    <x v="0"/>
    <x v="0"/>
    <x v="1"/>
  </r>
  <r>
    <x v="714"/>
    <x v="44"/>
    <x v="714"/>
    <x v="0"/>
    <x v="0"/>
    <x v="0"/>
    <x v="7"/>
    <x v="703"/>
    <x v="0"/>
    <x v="0"/>
    <x v="0"/>
    <x v="2"/>
  </r>
  <r>
    <x v="715"/>
    <x v="44"/>
    <x v="715"/>
    <x v="8"/>
    <x v="0"/>
    <x v="51"/>
    <x v="2"/>
    <x v="704"/>
    <x v="0"/>
    <x v="0"/>
    <x v="0"/>
    <x v="3"/>
  </r>
  <r>
    <x v="716"/>
    <x v="44"/>
    <x v="716"/>
    <x v="6"/>
    <x v="6"/>
    <x v="63"/>
    <x v="4"/>
    <x v="705"/>
    <x v="0"/>
    <x v="0"/>
    <x v="0"/>
    <x v="3"/>
  </r>
  <r>
    <x v="717"/>
    <x v="44"/>
    <x v="717"/>
    <x v="0"/>
    <x v="4"/>
    <x v="11"/>
    <x v="4"/>
    <x v="545"/>
    <x v="0"/>
    <x v="0"/>
    <x v="0"/>
    <x v="3"/>
  </r>
  <r>
    <x v="718"/>
    <x v="44"/>
    <x v="718"/>
    <x v="6"/>
    <x v="6"/>
    <x v="63"/>
    <x v="4"/>
    <x v="706"/>
    <x v="0"/>
    <x v="0"/>
    <x v="0"/>
    <x v="4"/>
  </r>
  <r>
    <x v="719"/>
    <x v="44"/>
    <x v="719"/>
    <x v="0"/>
    <x v="0"/>
    <x v="0"/>
    <x v="2"/>
    <x v="545"/>
    <x v="0"/>
    <x v="0"/>
    <x v="0"/>
    <x v="5"/>
  </r>
  <r>
    <x v="720"/>
    <x v="44"/>
    <x v="720"/>
    <x v="0"/>
    <x v="0"/>
    <x v="0"/>
    <x v="1"/>
    <x v="545"/>
    <x v="0"/>
    <x v="0"/>
    <x v="0"/>
    <x v="5"/>
  </r>
  <r>
    <x v="721"/>
    <x v="44"/>
    <x v="721"/>
    <x v="0"/>
    <x v="1"/>
    <x v="28"/>
    <x v="7"/>
    <x v="707"/>
    <x v="0"/>
    <x v="0"/>
    <x v="0"/>
    <x v="7"/>
  </r>
  <r>
    <x v="722"/>
    <x v="44"/>
    <x v="722"/>
    <x v="3"/>
    <x v="0"/>
    <x v="4"/>
    <x v="2"/>
    <x v="708"/>
    <x v="0"/>
    <x v="0"/>
    <x v="0"/>
    <x v="7"/>
  </r>
  <r>
    <x v="723"/>
    <x v="44"/>
    <x v="723"/>
    <x v="4"/>
    <x v="0"/>
    <x v="6"/>
    <x v="5"/>
    <x v="709"/>
    <x v="0"/>
    <x v="0"/>
    <x v="0"/>
    <x v="13"/>
  </r>
  <r>
    <x v="724"/>
    <x v="44"/>
    <x v="724"/>
    <x v="3"/>
    <x v="4"/>
    <x v="16"/>
    <x v="3"/>
    <x v="710"/>
    <x v="0"/>
    <x v="0"/>
    <x v="0"/>
    <x v="9"/>
  </r>
  <r>
    <x v="725"/>
    <x v="44"/>
    <x v="725"/>
    <x v="4"/>
    <x v="8"/>
    <x v="66"/>
    <x v="3"/>
    <x v="545"/>
    <x v="0"/>
    <x v="0"/>
    <x v="0"/>
    <x v="9"/>
  </r>
  <r>
    <x v="726"/>
    <x v="44"/>
    <x v="726"/>
    <x v="4"/>
    <x v="6"/>
    <x v="12"/>
    <x v="6"/>
    <x v="711"/>
    <x v="0"/>
    <x v="0"/>
    <x v="0"/>
    <x v="9"/>
  </r>
  <r>
    <x v="727"/>
    <x v="44"/>
    <x v="727"/>
    <x v="0"/>
    <x v="0"/>
    <x v="0"/>
    <x v="1"/>
    <x v="712"/>
    <x v="0"/>
    <x v="0"/>
    <x v="0"/>
    <x v="9"/>
  </r>
  <r>
    <x v="728"/>
    <x v="45"/>
    <x v="728"/>
    <x v="0"/>
    <x v="0"/>
    <x v="0"/>
    <x v="4"/>
    <x v="713"/>
    <x v="0"/>
    <x v="0"/>
    <x v="0"/>
    <x v="11"/>
  </r>
  <r>
    <x v="729"/>
    <x v="45"/>
    <x v="729"/>
    <x v="0"/>
    <x v="5"/>
    <x v="25"/>
    <x v="4"/>
    <x v="714"/>
    <x v="0"/>
    <x v="0"/>
    <x v="0"/>
    <x v="11"/>
  </r>
  <r>
    <x v="730"/>
    <x v="45"/>
    <x v="730"/>
    <x v="12"/>
    <x v="0"/>
    <x v="46"/>
    <x v="5"/>
    <x v="715"/>
    <x v="0"/>
    <x v="0"/>
    <x v="0"/>
    <x v="0"/>
  </r>
  <r>
    <x v="731"/>
    <x v="45"/>
    <x v="731"/>
    <x v="10"/>
    <x v="4"/>
    <x v="33"/>
    <x v="1"/>
    <x v="716"/>
    <x v="0"/>
    <x v="0"/>
    <x v="0"/>
    <x v="0"/>
  </r>
  <r>
    <x v="732"/>
    <x v="45"/>
    <x v="732"/>
    <x v="4"/>
    <x v="0"/>
    <x v="6"/>
    <x v="7"/>
    <x v="717"/>
    <x v="0"/>
    <x v="0"/>
    <x v="0"/>
    <x v="1"/>
  </r>
  <r>
    <x v="733"/>
    <x v="45"/>
    <x v="733"/>
    <x v="8"/>
    <x v="0"/>
    <x v="51"/>
    <x v="13"/>
    <x v="718"/>
    <x v="0"/>
    <x v="0"/>
    <x v="0"/>
    <x v="5"/>
  </r>
  <r>
    <x v="734"/>
    <x v="45"/>
    <x v="734"/>
    <x v="0"/>
    <x v="0"/>
    <x v="0"/>
    <x v="2"/>
    <x v="545"/>
    <x v="0"/>
    <x v="0"/>
    <x v="0"/>
    <x v="5"/>
  </r>
  <r>
    <x v="735"/>
    <x v="45"/>
    <x v="735"/>
    <x v="0"/>
    <x v="2"/>
    <x v="2"/>
    <x v="8"/>
    <x v="719"/>
    <x v="0"/>
    <x v="0"/>
    <x v="0"/>
    <x v="22"/>
  </r>
  <r>
    <x v="736"/>
    <x v="45"/>
    <x v="736"/>
    <x v="3"/>
    <x v="5"/>
    <x v="8"/>
    <x v="4"/>
    <x v="720"/>
    <x v="0"/>
    <x v="0"/>
    <x v="0"/>
    <x v="7"/>
  </r>
  <r>
    <x v="737"/>
    <x v="45"/>
    <x v="737"/>
    <x v="0"/>
    <x v="1"/>
    <x v="28"/>
    <x v="5"/>
    <x v="721"/>
    <x v="0"/>
    <x v="0"/>
    <x v="0"/>
    <x v="9"/>
  </r>
  <r>
    <x v="738"/>
    <x v="45"/>
    <x v="738"/>
    <x v="3"/>
    <x v="0"/>
    <x v="4"/>
    <x v="6"/>
    <x v="722"/>
    <x v="0"/>
    <x v="0"/>
    <x v="0"/>
    <x v="14"/>
  </r>
  <r>
    <x v="739"/>
    <x v="46"/>
    <x v="739"/>
    <x v="3"/>
    <x v="4"/>
    <x v="16"/>
    <x v="6"/>
    <x v="723"/>
    <x v="0"/>
    <x v="0"/>
    <x v="0"/>
    <x v="11"/>
  </r>
  <r>
    <x v="740"/>
    <x v="46"/>
    <x v="740"/>
    <x v="3"/>
    <x v="0"/>
    <x v="4"/>
    <x v="2"/>
    <x v="724"/>
    <x v="0"/>
    <x v="0"/>
    <x v="0"/>
    <x v="0"/>
  </r>
  <r>
    <x v="741"/>
    <x v="46"/>
    <x v="741"/>
    <x v="3"/>
    <x v="2"/>
    <x v="27"/>
    <x v="2"/>
    <x v="725"/>
    <x v="0"/>
    <x v="0"/>
    <x v="0"/>
    <x v="0"/>
  </r>
  <r>
    <x v="742"/>
    <x v="46"/>
    <x v="742"/>
    <x v="1"/>
    <x v="0"/>
    <x v="24"/>
    <x v="9"/>
    <x v="726"/>
    <x v="0"/>
    <x v="0"/>
    <x v="0"/>
    <x v="0"/>
  </r>
  <r>
    <x v="743"/>
    <x v="46"/>
    <x v="743"/>
    <x v="10"/>
    <x v="1"/>
    <x v="65"/>
    <x v="0"/>
    <x v="727"/>
    <x v="0"/>
    <x v="0"/>
    <x v="0"/>
    <x v="2"/>
  </r>
  <r>
    <x v="744"/>
    <x v="46"/>
    <x v="744"/>
    <x v="4"/>
    <x v="0"/>
    <x v="6"/>
    <x v="7"/>
    <x v="545"/>
    <x v="0"/>
    <x v="0"/>
    <x v="0"/>
    <x v="2"/>
  </r>
  <r>
    <x v="745"/>
    <x v="46"/>
    <x v="745"/>
    <x v="0"/>
    <x v="4"/>
    <x v="11"/>
    <x v="6"/>
    <x v="545"/>
    <x v="0"/>
    <x v="0"/>
    <x v="0"/>
    <x v="2"/>
  </r>
  <r>
    <x v="746"/>
    <x v="46"/>
    <x v="746"/>
    <x v="0"/>
    <x v="8"/>
    <x v="22"/>
    <x v="7"/>
    <x v="728"/>
    <x v="0"/>
    <x v="0"/>
    <x v="0"/>
    <x v="17"/>
  </r>
  <r>
    <x v="747"/>
    <x v="46"/>
    <x v="747"/>
    <x v="4"/>
    <x v="4"/>
    <x v="7"/>
    <x v="6"/>
    <x v="729"/>
    <x v="0"/>
    <x v="0"/>
    <x v="0"/>
    <x v="22"/>
  </r>
  <r>
    <x v="748"/>
    <x v="46"/>
    <x v="748"/>
    <x v="0"/>
    <x v="0"/>
    <x v="0"/>
    <x v="5"/>
    <x v="730"/>
    <x v="0"/>
    <x v="0"/>
    <x v="0"/>
    <x v="7"/>
  </r>
  <r>
    <x v="749"/>
    <x v="46"/>
    <x v="749"/>
    <x v="3"/>
    <x v="0"/>
    <x v="4"/>
    <x v="7"/>
    <x v="545"/>
    <x v="0"/>
    <x v="0"/>
    <x v="0"/>
    <x v="13"/>
  </r>
  <r>
    <x v="750"/>
    <x v="46"/>
    <x v="750"/>
    <x v="0"/>
    <x v="4"/>
    <x v="11"/>
    <x v="3"/>
    <x v="731"/>
    <x v="0"/>
    <x v="0"/>
    <x v="0"/>
    <x v="9"/>
  </r>
  <r>
    <x v="751"/>
    <x v="46"/>
    <x v="751"/>
    <x v="0"/>
    <x v="4"/>
    <x v="11"/>
    <x v="1"/>
    <x v="732"/>
    <x v="0"/>
    <x v="0"/>
    <x v="0"/>
    <x v="14"/>
  </r>
  <r>
    <x v="752"/>
    <x v="47"/>
    <x v="752"/>
    <x v="6"/>
    <x v="0"/>
    <x v="21"/>
    <x v="2"/>
    <x v="733"/>
    <x v="0"/>
    <x v="0"/>
    <x v="0"/>
    <x v="11"/>
  </r>
  <r>
    <x v="753"/>
    <x v="47"/>
    <x v="753"/>
    <x v="0"/>
    <x v="0"/>
    <x v="0"/>
    <x v="3"/>
    <x v="734"/>
    <x v="0"/>
    <x v="0"/>
    <x v="0"/>
    <x v="11"/>
  </r>
  <r>
    <x v="754"/>
    <x v="47"/>
    <x v="754"/>
    <x v="6"/>
    <x v="4"/>
    <x v="39"/>
    <x v="4"/>
    <x v="735"/>
    <x v="0"/>
    <x v="0"/>
    <x v="0"/>
    <x v="11"/>
  </r>
  <r>
    <x v="755"/>
    <x v="47"/>
    <x v="755"/>
    <x v="1"/>
    <x v="3"/>
    <x v="57"/>
    <x v="4"/>
    <x v="736"/>
    <x v="0"/>
    <x v="0"/>
    <x v="0"/>
    <x v="12"/>
  </r>
  <r>
    <x v="756"/>
    <x v="47"/>
    <x v="756"/>
    <x v="1"/>
    <x v="0"/>
    <x v="24"/>
    <x v="7"/>
    <x v="737"/>
    <x v="0"/>
    <x v="0"/>
    <x v="0"/>
    <x v="0"/>
  </r>
  <r>
    <x v="757"/>
    <x v="47"/>
    <x v="757"/>
    <x v="4"/>
    <x v="0"/>
    <x v="6"/>
    <x v="4"/>
    <x v="545"/>
    <x v="0"/>
    <x v="0"/>
    <x v="0"/>
    <x v="1"/>
  </r>
  <r>
    <x v="758"/>
    <x v="47"/>
    <x v="758"/>
    <x v="0"/>
    <x v="4"/>
    <x v="11"/>
    <x v="6"/>
    <x v="545"/>
    <x v="0"/>
    <x v="0"/>
    <x v="0"/>
    <x v="3"/>
  </r>
  <r>
    <x v="759"/>
    <x v="47"/>
    <x v="759"/>
    <x v="4"/>
    <x v="1"/>
    <x v="5"/>
    <x v="2"/>
    <x v="738"/>
    <x v="0"/>
    <x v="0"/>
    <x v="0"/>
    <x v="6"/>
  </r>
  <r>
    <x v="760"/>
    <x v="47"/>
    <x v="760"/>
    <x v="0"/>
    <x v="0"/>
    <x v="0"/>
    <x v="7"/>
    <x v="739"/>
    <x v="0"/>
    <x v="0"/>
    <x v="0"/>
    <x v="18"/>
  </r>
  <r>
    <x v="761"/>
    <x v="47"/>
    <x v="761"/>
    <x v="3"/>
    <x v="1"/>
    <x v="13"/>
    <x v="4"/>
    <x v="740"/>
    <x v="0"/>
    <x v="0"/>
    <x v="0"/>
    <x v="7"/>
  </r>
  <r>
    <x v="762"/>
    <x v="47"/>
    <x v="762"/>
    <x v="3"/>
    <x v="0"/>
    <x v="4"/>
    <x v="0"/>
    <x v="741"/>
    <x v="0"/>
    <x v="0"/>
    <x v="0"/>
    <x v="7"/>
  </r>
  <r>
    <x v="763"/>
    <x v="47"/>
    <x v="763"/>
    <x v="0"/>
    <x v="6"/>
    <x v="10"/>
    <x v="6"/>
    <x v="742"/>
    <x v="0"/>
    <x v="0"/>
    <x v="0"/>
    <x v="7"/>
  </r>
  <r>
    <x v="764"/>
    <x v="47"/>
    <x v="764"/>
    <x v="3"/>
    <x v="5"/>
    <x v="8"/>
    <x v="5"/>
    <x v="545"/>
    <x v="0"/>
    <x v="0"/>
    <x v="0"/>
    <x v="13"/>
  </r>
  <r>
    <x v="765"/>
    <x v="47"/>
    <x v="765"/>
    <x v="3"/>
    <x v="0"/>
    <x v="4"/>
    <x v="7"/>
    <x v="545"/>
    <x v="0"/>
    <x v="0"/>
    <x v="0"/>
    <x v="13"/>
  </r>
  <r>
    <x v="766"/>
    <x v="47"/>
    <x v="766"/>
    <x v="0"/>
    <x v="0"/>
    <x v="0"/>
    <x v="7"/>
    <x v="545"/>
    <x v="0"/>
    <x v="0"/>
    <x v="0"/>
    <x v="9"/>
  </r>
  <r>
    <x v="767"/>
    <x v="47"/>
    <x v="767"/>
    <x v="4"/>
    <x v="6"/>
    <x v="12"/>
    <x v="0"/>
    <x v="743"/>
    <x v="0"/>
    <x v="0"/>
    <x v="0"/>
    <x v="14"/>
  </r>
  <r>
    <x v="768"/>
    <x v="47"/>
    <x v="768"/>
    <x v="0"/>
    <x v="0"/>
    <x v="0"/>
    <x v="7"/>
    <x v="744"/>
    <x v="0"/>
    <x v="0"/>
    <x v="0"/>
    <x v="14"/>
  </r>
  <r>
    <x v="769"/>
    <x v="47"/>
    <x v="769"/>
    <x v="3"/>
    <x v="4"/>
    <x v="16"/>
    <x v="4"/>
    <x v="745"/>
    <x v="0"/>
    <x v="0"/>
    <x v="0"/>
    <x v="20"/>
  </r>
  <r>
    <x v="770"/>
    <x v="47"/>
    <x v="770"/>
    <x v="4"/>
    <x v="4"/>
    <x v="7"/>
    <x v="4"/>
    <x v="746"/>
    <x v="0"/>
    <x v="0"/>
    <x v="0"/>
    <x v="20"/>
  </r>
  <r>
    <x v="771"/>
    <x v="47"/>
    <x v="771"/>
    <x v="4"/>
    <x v="4"/>
    <x v="7"/>
    <x v="3"/>
    <x v="747"/>
    <x v="0"/>
    <x v="0"/>
    <x v="0"/>
    <x v="20"/>
  </r>
  <r>
    <x v="772"/>
    <x v="48"/>
    <x v="772"/>
    <x v="0"/>
    <x v="0"/>
    <x v="0"/>
    <x v="6"/>
    <x v="748"/>
    <x v="0"/>
    <x v="0"/>
    <x v="0"/>
    <x v="11"/>
  </r>
  <r>
    <x v="773"/>
    <x v="48"/>
    <x v="773"/>
    <x v="0"/>
    <x v="0"/>
    <x v="0"/>
    <x v="4"/>
    <x v="749"/>
    <x v="0"/>
    <x v="0"/>
    <x v="0"/>
    <x v="0"/>
  </r>
  <r>
    <x v="774"/>
    <x v="48"/>
    <x v="774"/>
    <x v="3"/>
    <x v="0"/>
    <x v="4"/>
    <x v="5"/>
    <x v="750"/>
    <x v="0"/>
    <x v="0"/>
    <x v="0"/>
    <x v="2"/>
  </r>
  <r>
    <x v="775"/>
    <x v="48"/>
    <x v="775"/>
    <x v="0"/>
    <x v="2"/>
    <x v="2"/>
    <x v="5"/>
    <x v="545"/>
    <x v="0"/>
    <x v="0"/>
    <x v="0"/>
    <x v="2"/>
  </r>
  <r>
    <x v="776"/>
    <x v="48"/>
    <x v="776"/>
    <x v="4"/>
    <x v="0"/>
    <x v="6"/>
    <x v="2"/>
    <x v="545"/>
    <x v="0"/>
    <x v="0"/>
    <x v="0"/>
    <x v="3"/>
  </r>
  <r>
    <x v="777"/>
    <x v="48"/>
    <x v="777"/>
    <x v="3"/>
    <x v="0"/>
    <x v="4"/>
    <x v="5"/>
    <x v="751"/>
    <x v="0"/>
    <x v="0"/>
    <x v="0"/>
    <x v="5"/>
  </r>
  <r>
    <x v="778"/>
    <x v="48"/>
    <x v="778"/>
    <x v="0"/>
    <x v="4"/>
    <x v="11"/>
    <x v="5"/>
    <x v="752"/>
    <x v="0"/>
    <x v="0"/>
    <x v="0"/>
    <x v="5"/>
  </r>
  <r>
    <x v="779"/>
    <x v="48"/>
    <x v="779"/>
    <x v="4"/>
    <x v="0"/>
    <x v="6"/>
    <x v="5"/>
    <x v="545"/>
    <x v="0"/>
    <x v="0"/>
    <x v="0"/>
    <x v="5"/>
  </r>
  <r>
    <x v="780"/>
    <x v="48"/>
    <x v="780"/>
    <x v="0"/>
    <x v="0"/>
    <x v="0"/>
    <x v="2"/>
    <x v="545"/>
    <x v="0"/>
    <x v="0"/>
    <x v="0"/>
    <x v="5"/>
  </r>
  <r>
    <x v="781"/>
    <x v="48"/>
    <x v="781"/>
    <x v="0"/>
    <x v="0"/>
    <x v="0"/>
    <x v="5"/>
    <x v="753"/>
    <x v="0"/>
    <x v="0"/>
    <x v="0"/>
    <x v="7"/>
  </r>
  <r>
    <x v="782"/>
    <x v="48"/>
    <x v="782"/>
    <x v="0"/>
    <x v="2"/>
    <x v="2"/>
    <x v="2"/>
    <x v="754"/>
    <x v="0"/>
    <x v="0"/>
    <x v="0"/>
    <x v="14"/>
  </r>
  <r>
    <x v="783"/>
    <x v="49"/>
    <x v="783"/>
    <x v="10"/>
    <x v="0"/>
    <x v="48"/>
    <x v="2"/>
    <x v="755"/>
    <x v="0"/>
    <x v="0"/>
    <x v="0"/>
    <x v="0"/>
  </r>
  <r>
    <x v="784"/>
    <x v="49"/>
    <x v="784"/>
    <x v="1"/>
    <x v="0"/>
    <x v="24"/>
    <x v="1"/>
    <x v="756"/>
    <x v="0"/>
    <x v="0"/>
    <x v="0"/>
    <x v="1"/>
  </r>
  <r>
    <x v="785"/>
    <x v="49"/>
    <x v="785"/>
    <x v="3"/>
    <x v="0"/>
    <x v="4"/>
    <x v="1"/>
    <x v="757"/>
    <x v="0"/>
    <x v="0"/>
    <x v="0"/>
    <x v="2"/>
  </r>
  <r>
    <x v="786"/>
    <x v="49"/>
    <x v="786"/>
    <x v="0"/>
    <x v="0"/>
    <x v="0"/>
    <x v="6"/>
    <x v="758"/>
    <x v="0"/>
    <x v="0"/>
    <x v="0"/>
    <x v="2"/>
  </r>
  <r>
    <x v="787"/>
    <x v="49"/>
    <x v="787"/>
    <x v="0"/>
    <x v="2"/>
    <x v="2"/>
    <x v="6"/>
    <x v="759"/>
    <x v="0"/>
    <x v="0"/>
    <x v="0"/>
    <x v="2"/>
  </r>
  <r>
    <x v="788"/>
    <x v="49"/>
    <x v="788"/>
    <x v="0"/>
    <x v="1"/>
    <x v="28"/>
    <x v="1"/>
    <x v="760"/>
    <x v="0"/>
    <x v="0"/>
    <x v="0"/>
    <x v="17"/>
  </r>
  <r>
    <x v="789"/>
    <x v="49"/>
    <x v="789"/>
    <x v="4"/>
    <x v="8"/>
    <x v="66"/>
    <x v="4"/>
    <x v="545"/>
    <x v="0"/>
    <x v="0"/>
    <x v="0"/>
    <x v="5"/>
  </r>
  <r>
    <x v="790"/>
    <x v="49"/>
    <x v="790"/>
    <x v="0"/>
    <x v="0"/>
    <x v="0"/>
    <x v="6"/>
    <x v="545"/>
    <x v="0"/>
    <x v="0"/>
    <x v="0"/>
    <x v="5"/>
  </r>
  <r>
    <x v="791"/>
    <x v="49"/>
    <x v="791"/>
    <x v="0"/>
    <x v="0"/>
    <x v="0"/>
    <x v="7"/>
    <x v="761"/>
    <x v="0"/>
    <x v="0"/>
    <x v="0"/>
    <x v="22"/>
  </r>
  <r>
    <x v="792"/>
    <x v="49"/>
    <x v="792"/>
    <x v="4"/>
    <x v="0"/>
    <x v="6"/>
    <x v="2"/>
    <x v="762"/>
    <x v="0"/>
    <x v="0"/>
    <x v="0"/>
    <x v="6"/>
  </r>
  <r>
    <x v="793"/>
    <x v="49"/>
    <x v="793"/>
    <x v="0"/>
    <x v="0"/>
    <x v="0"/>
    <x v="5"/>
    <x v="763"/>
    <x v="0"/>
    <x v="0"/>
    <x v="0"/>
    <x v="7"/>
  </r>
  <r>
    <x v="794"/>
    <x v="49"/>
    <x v="794"/>
    <x v="0"/>
    <x v="0"/>
    <x v="0"/>
    <x v="2"/>
    <x v="764"/>
    <x v="0"/>
    <x v="0"/>
    <x v="0"/>
    <x v="7"/>
  </r>
  <r>
    <x v="795"/>
    <x v="49"/>
    <x v="795"/>
    <x v="3"/>
    <x v="0"/>
    <x v="4"/>
    <x v="2"/>
    <x v="765"/>
    <x v="0"/>
    <x v="0"/>
    <x v="0"/>
    <x v="13"/>
  </r>
  <r>
    <x v="796"/>
    <x v="49"/>
    <x v="796"/>
    <x v="3"/>
    <x v="0"/>
    <x v="4"/>
    <x v="6"/>
    <x v="766"/>
    <x v="0"/>
    <x v="0"/>
    <x v="0"/>
    <x v="13"/>
  </r>
  <r>
    <x v="797"/>
    <x v="49"/>
    <x v="797"/>
    <x v="4"/>
    <x v="2"/>
    <x v="20"/>
    <x v="4"/>
    <x v="545"/>
    <x v="0"/>
    <x v="0"/>
    <x v="0"/>
    <x v="9"/>
  </r>
  <r>
    <x v="798"/>
    <x v="49"/>
    <x v="798"/>
    <x v="0"/>
    <x v="0"/>
    <x v="0"/>
    <x v="2"/>
    <x v="767"/>
    <x v="0"/>
    <x v="0"/>
    <x v="0"/>
    <x v="9"/>
  </r>
  <r>
    <x v="799"/>
    <x v="49"/>
    <x v="799"/>
    <x v="0"/>
    <x v="4"/>
    <x v="11"/>
    <x v="7"/>
    <x v="768"/>
    <x v="0"/>
    <x v="0"/>
    <x v="0"/>
    <x v="14"/>
  </r>
  <r>
    <x v="800"/>
    <x v="50"/>
    <x v="800"/>
    <x v="3"/>
    <x v="4"/>
    <x v="16"/>
    <x v="8"/>
    <x v="769"/>
    <x v="0"/>
    <x v="0"/>
    <x v="0"/>
    <x v="12"/>
  </r>
  <r>
    <x v="801"/>
    <x v="50"/>
    <x v="801"/>
    <x v="3"/>
    <x v="0"/>
    <x v="4"/>
    <x v="7"/>
    <x v="770"/>
    <x v="0"/>
    <x v="0"/>
    <x v="0"/>
    <x v="0"/>
  </r>
  <r>
    <x v="802"/>
    <x v="50"/>
    <x v="802"/>
    <x v="3"/>
    <x v="0"/>
    <x v="4"/>
    <x v="4"/>
    <x v="771"/>
    <x v="0"/>
    <x v="0"/>
    <x v="0"/>
    <x v="2"/>
  </r>
  <r>
    <x v="803"/>
    <x v="50"/>
    <x v="803"/>
    <x v="0"/>
    <x v="2"/>
    <x v="2"/>
    <x v="4"/>
    <x v="545"/>
    <x v="0"/>
    <x v="0"/>
    <x v="0"/>
    <x v="2"/>
  </r>
  <r>
    <x v="804"/>
    <x v="50"/>
    <x v="804"/>
    <x v="0"/>
    <x v="0"/>
    <x v="0"/>
    <x v="2"/>
    <x v="772"/>
    <x v="0"/>
    <x v="0"/>
    <x v="0"/>
    <x v="2"/>
  </r>
  <r>
    <x v="805"/>
    <x v="50"/>
    <x v="805"/>
    <x v="0"/>
    <x v="4"/>
    <x v="11"/>
    <x v="8"/>
    <x v="773"/>
    <x v="0"/>
    <x v="0"/>
    <x v="0"/>
    <x v="17"/>
  </r>
  <r>
    <x v="806"/>
    <x v="50"/>
    <x v="806"/>
    <x v="0"/>
    <x v="0"/>
    <x v="0"/>
    <x v="1"/>
    <x v="545"/>
    <x v="0"/>
    <x v="0"/>
    <x v="0"/>
    <x v="5"/>
  </r>
  <r>
    <x v="807"/>
    <x v="50"/>
    <x v="807"/>
    <x v="0"/>
    <x v="0"/>
    <x v="0"/>
    <x v="7"/>
    <x v="545"/>
    <x v="0"/>
    <x v="0"/>
    <x v="0"/>
    <x v="5"/>
  </r>
  <r>
    <x v="808"/>
    <x v="50"/>
    <x v="808"/>
    <x v="0"/>
    <x v="0"/>
    <x v="0"/>
    <x v="4"/>
    <x v="774"/>
    <x v="0"/>
    <x v="0"/>
    <x v="0"/>
    <x v="7"/>
  </r>
  <r>
    <x v="809"/>
    <x v="50"/>
    <x v="809"/>
    <x v="0"/>
    <x v="0"/>
    <x v="0"/>
    <x v="0"/>
    <x v="775"/>
    <x v="0"/>
    <x v="0"/>
    <x v="0"/>
    <x v="8"/>
  </r>
  <r>
    <x v="810"/>
    <x v="50"/>
    <x v="810"/>
    <x v="3"/>
    <x v="4"/>
    <x v="16"/>
    <x v="5"/>
    <x v="776"/>
    <x v="0"/>
    <x v="0"/>
    <x v="0"/>
    <x v="9"/>
  </r>
  <r>
    <x v="811"/>
    <x v="50"/>
    <x v="811"/>
    <x v="4"/>
    <x v="0"/>
    <x v="6"/>
    <x v="5"/>
    <x v="331"/>
    <x v="0"/>
    <x v="0"/>
    <x v="0"/>
    <x v="9"/>
  </r>
  <r>
    <x v="812"/>
    <x v="50"/>
    <x v="812"/>
    <x v="0"/>
    <x v="2"/>
    <x v="2"/>
    <x v="5"/>
    <x v="777"/>
    <x v="0"/>
    <x v="0"/>
    <x v="0"/>
    <x v="10"/>
  </r>
  <r>
    <x v="813"/>
    <x v="50"/>
    <x v="813"/>
    <x v="0"/>
    <x v="4"/>
    <x v="11"/>
    <x v="7"/>
    <x v="778"/>
    <x v="0"/>
    <x v="0"/>
    <x v="0"/>
    <x v="10"/>
  </r>
  <r>
    <x v="814"/>
    <x v="51"/>
    <x v="814"/>
    <x v="0"/>
    <x v="3"/>
    <x v="47"/>
    <x v="8"/>
    <x v="779"/>
    <x v="0"/>
    <x v="0"/>
    <x v="0"/>
    <x v="0"/>
  </r>
  <r>
    <x v="815"/>
    <x v="51"/>
    <x v="815"/>
    <x v="1"/>
    <x v="0"/>
    <x v="24"/>
    <x v="4"/>
    <x v="780"/>
    <x v="0"/>
    <x v="0"/>
    <x v="0"/>
    <x v="1"/>
  </r>
  <r>
    <x v="816"/>
    <x v="51"/>
    <x v="816"/>
    <x v="0"/>
    <x v="2"/>
    <x v="2"/>
    <x v="5"/>
    <x v="781"/>
    <x v="0"/>
    <x v="0"/>
    <x v="0"/>
    <x v="2"/>
  </r>
  <r>
    <x v="817"/>
    <x v="51"/>
    <x v="817"/>
    <x v="0"/>
    <x v="2"/>
    <x v="2"/>
    <x v="1"/>
    <x v="782"/>
    <x v="0"/>
    <x v="0"/>
    <x v="0"/>
    <x v="2"/>
  </r>
  <r>
    <x v="818"/>
    <x v="51"/>
    <x v="818"/>
    <x v="0"/>
    <x v="0"/>
    <x v="0"/>
    <x v="4"/>
    <x v="545"/>
    <x v="0"/>
    <x v="0"/>
    <x v="0"/>
    <x v="3"/>
  </r>
  <r>
    <x v="819"/>
    <x v="51"/>
    <x v="819"/>
    <x v="3"/>
    <x v="3"/>
    <x v="67"/>
    <x v="5"/>
    <x v="545"/>
    <x v="0"/>
    <x v="0"/>
    <x v="0"/>
    <x v="3"/>
  </r>
  <r>
    <x v="820"/>
    <x v="51"/>
    <x v="820"/>
    <x v="6"/>
    <x v="6"/>
    <x v="63"/>
    <x v="7"/>
    <x v="783"/>
    <x v="0"/>
    <x v="0"/>
    <x v="0"/>
    <x v="3"/>
  </r>
  <r>
    <x v="821"/>
    <x v="51"/>
    <x v="821"/>
    <x v="4"/>
    <x v="0"/>
    <x v="6"/>
    <x v="5"/>
    <x v="545"/>
    <x v="0"/>
    <x v="0"/>
    <x v="0"/>
    <x v="5"/>
  </r>
  <r>
    <x v="822"/>
    <x v="51"/>
    <x v="822"/>
    <x v="3"/>
    <x v="0"/>
    <x v="4"/>
    <x v="7"/>
    <x v="784"/>
    <x v="0"/>
    <x v="0"/>
    <x v="0"/>
    <x v="22"/>
  </r>
  <r>
    <x v="823"/>
    <x v="51"/>
    <x v="823"/>
    <x v="0"/>
    <x v="0"/>
    <x v="0"/>
    <x v="6"/>
    <x v="785"/>
    <x v="0"/>
    <x v="0"/>
    <x v="0"/>
    <x v="6"/>
  </r>
  <r>
    <x v="824"/>
    <x v="51"/>
    <x v="824"/>
    <x v="3"/>
    <x v="0"/>
    <x v="4"/>
    <x v="3"/>
    <x v="786"/>
    <x v="0"/>
    <x v="0"/>
    <x v="0"/>
    <x v="7"/>
  </r>
  <r>
    <x v="825"/>
    <x v="51"/>
    <x v="825"/>
    <x v="3"/>
    <x v="0"/>
    <x v="4"/>
    <x v="5"/>
    <x v="787"/>
    <x v="0"/>
    <x v="0"/>
    <x v="0"/>
    <x v="9"/>
  </r>
  <r>
    <x v="826"/>
    <x v="51"/>
    <x v="826"/>
    <x v="0"/>
    <x v="0"/>
    <x v="0"/>
    <x v="2"/>
    <x v="788"/>
    <x v="0"/>
    <x v="0"/>
    <x v="0"/>
    <x v="9"/>
  </r>
  <r>
    <x v="827"/>
    <x v="52"/>
    <x v="827"/>
    <x v="2"/>
    <x v="0"/>
    <x v="59"/>
    <x v="5"/>
    <x v="789"/>
    <x v="0"/>
    <x v="0"/>
    <x v="0"/>
    <x v="11"/>
  </r>
  <r>
    <x v="828"/>
    <x v="52"/>
    <x v="828"/>
    <x v="2"/>
    <x v="3"/>
    <x v="3"/>
    <x v="3"/>
    <x v="790"/>
    <x v="0"/>
    <x v="0"/>
    <x v="0"/>
    <x v="12"/>
  </r>
  <r>
    <x v="829"/>
    <x v="52"/>
    <x v="829"/>
    <x v="4"/>
    <x v="1"/>
    <x v="5"/>
    <x v="5"/>
    <x v="545"/>
    <x v="0"/>
    <x v="0"/>
    <x v="0"/>
    <x v="1"/>
  </r>
  <r>
    <x v="830"/>
    <x v="52"/>
    <x v="830"/>
    <x v="6"/>
    <x v="0"/>
    <x v="21"/>
    <x v="0"/>
    <x v="791"/>
    <x v="0"/>
    <x v="0"/>
    <x v="0"/>
    <x v="1"/>
  </r>
  <r>
    <x v="831"/>
    <x v="52"/>
    <x v="831"/>
    <x v="6"/>
    <x v="4"/>
    <x v="39"/>
    <x v="2"/>
    <x v="545"/>
    <x v="0"/>
    <x v="0"/>
    <x v="0"/>
    <x v="1"/>
  </r>
  <r>
    <x v="832"/>
    <x v="52"/>
    <x v="832"/>
    <x v="0"/>
    <x v="4"/>
    <x v="11"/>
    <x v="5"/>
    <x v="545"/>
    <x v="0"/>
    <x v="0"/>
    <x v="0"/>
    <x v="2"/>
  </r>
  <r>
    <x v="833"/>
    <x v="52"/>
    <x v="833"/>
    <x v="4"/>
    <x v="0"/>
    <x v="6"/>
    <x v="7"/>
    <x v="792"/>
    <x v="0"/>
    <x v="0"/>
    <x v="0"/>
    <x v="3"/>
  </r>
  <r>
    <x v="834"/>
    <x v="52"/>
    <x v="834"/>
    <x v="7"/>
    <x v="4"/>
    <x v="68"/>
    <x v="8"/>
    <x v="793"/>
    <x v="0"/>
    <x v="0"/>
    <x v="0"/>
    <x v="3"/>
  </r>
  <r>
    <x v="835"/>
    <x v="52"/>
    <x v="835"/>
    <x v="3"/>
    <x v="0"/>
    <x v="4"/>
    <x v="5"/>
    <x v="794"/>
    <x v="0"/>
    <x v="0"/>
    <x v="0"/>
    <x v="18"/>
  </r>
  <r>
    <x v="836"/>
    <x v="52"/>
    <x v="836"/>
    <x v="0"/>
    <x v="0"/>
    <x v="0"/>
    <x v="2"/>
    <x v="795"/>
    <x v="0"/>
    <x v="0"/>
    <x v="0"/>
    <x v="7"/>
  </r>
  <r>
    <x v="837"/>
    <x v="52"/>
    <x v="837"/>
    <x v="3"/>
    <x v="0"/>
    <x v="4"/>
    <x v="2"/>
    <x v="796"/>
    <x v="0"/>
    <x v="0"/>
    <x v="0"/>
    <x v="7"/>
  </r>
  <r>
    <x v="838"/>
    <x v="52"/>
    <x v="838"/>
    <x v="3"/>
    <x v="0"/>
    <x v="4"/>
    <x v="5"/>
    <x v="797"/>
    <x v="0"/>
    <x v="0"/>
    <x v="0"/>
    <x v="13"/>
  </r>
  <r>
    <x v="839"/>
    <x v="52"/>
    <x v="839"/>
    <x v="4"/>
    <x v="0"/>
    <x v="6"/>
    <x v="5"/>
    <x v="798"/>
    <x v="0"/>
    <x v="0"/>
    <x v="0"/>
    <x v="9"/>
  </r>
  <r>
    <x v="840"/>
    <x v="52"/>
    <x v="840"/>
    <x v="4"/>
    <x v="6"/>
    <x v="12"/>
    <x v="5"/>
    <x v="799"/>
    <x v="0"/>
    <x v="0"/>
    <x v="0"/>
    <x v="10"/>
  </r>
  <r>
    <x v="841"/>
    <x v="52"/>
    <x v="841"/>
    <x v="0"/>
    <x v="4"/>
    <x v="11"/>
    <x v="10"/>
    <x v="800"/>
    <x v="0"/>
    <x v="0"/>
    <x v="0"/>
    <x v="14"/>
  </r>
  <r>
    <x v="842"/>
    <x v="52"/>
    <x v="842"/>
    <x v="3"/>
    <x v="0"/>
    <x v="4"/>
    <x v="6"/>
    <x v="801"/>
    <x v="0"/>
    <x v="0"/>
    <x v="0"/>
    <x v="15"/>
  </r>
  <r>
    <x v="843"/>
    <x v="53"/>
    <x v="843"/>
    <x v="0"/>
    <x v="0"/>
    <x v="0"/>
    <x v="5"/>
    <x v="545"/>
    <x v="0"/>
    <x v="0"/>
    <x v="0"/>
    <x v="1"/>
  </r>
  <r>
    <x v="844"/>
    <x v="53"/>
    <x v="844"/>
    <x v="10"/>
    <x v="0"/>
    <x v="48"/>
    <x v="7"/>
    <x v="802"/>
    <x v="0"/>
    <x v="0"/>
    <x v="0"/>
    <x v="2"/>
  </r>
  <r>
    <x v="845"/>
    <x v="53"/>
    <x v="845"/>
    <x v="0"/>
    <x v="0"/>
    <x v="0"/>
    <x v="7"/>
    <x v="803"/>
    <x v="0"/>
    <x v="0"/>
    <x v="0"/>
    <x v="5"/>
  </r>
  <r>
    <x v="846"/>
    <x v="53"/>
    <x v="846"/>
    <x v="0"/>
    <x v="0"/>
    <x v="0"/>
    <x v="2"/>
    <x v="545"/>
    <x v="0"/>
    <x v="0"/>
    <x v="0"/>
    <x v="5"/>
  </r>
  <r>
    <x v="847"/>
    <x v="53"/>
    <x v="847"/>
    <x v="3"/>
    <x v="0"/>
    <x v="4"/>
    <x v="7"/>
    <x v="804"/>
    <x v="0"/>
    <x v="0"/>
    <x v="0"/>
    <x v="5"/>
  </r>
  <r>
    <x v="848"/>
    <x v="53"/>
    <x v="848"/>
    <x v="0"/>
    <x v="0"/>
    <x v="0"/>
    <x v="2"/>
    <x v="545"/>
    <x v="0"/>
    <x v="0"/>
    <x v="0"/>
    <x v="5"/>
  </r>
  <r>
    <x v="849"/>
    <x v="53"/>
    <x v="849"/>
    <x v="0"/>
    <x v="0"/>
    <x v="0"/>
    <x v="5"/>
    <x v="805"/>
    <x v="0"/>
    <x v="0"/>
    <x v="0"/>
    <x v="6"/>
  </r>
  <r>
    <x v="850"/>
    <x v="53"/>
    <x v="850"/>
    <x v="3"/>
    <x v="4"/>
    <x v="16"/>
    <x v="6"/>
    <x v="806"/>
    <x v="0"/>
    <x v="0"/>
    <x v="0"/>
    <x v="16"/>
  </r>
  <r>
    <x v="851"/>
    <x v="53"/>
    <x v="851"/>
    <x v="0"/>
    <x v="0"/>
    <x v="0"/>
    <x v="5"/>
    <x v="807"/>
    <x v="0"/>
    <x v="0"/>
    <x v="0"/>
    <x v="7"/>
  </r>
  <r>
    <x v="852"/>
    <x v="53"/>
    <x v="852"/>
    <x v="0"/>
    <x v="6"/>
    <x v="10"/>
    <x v="4"/>
    <x v="808"/>
    <x v="0"/>
    <x v="0"/>
    <x v="0"/>
    <x v="7"/>
  </r>
  <r>
    <x v="853"/>
    <x v="53"/>
    <x v="853"/>
    <x v="4"/>
    <x v="0"/>
    <x v="6"/>
    <x v="5"/>
    <x v="809"/>
    <x v="0"/>
    <x v="0"/>
    <x v="0"/>
    <x v="13"/>
  </r>
  <r>
    <x v="854"/>
    <x v="53"/>
    <x v="854"/>
    <x v="4"/>
    <x v="4"/>
    <x v="7"/>
    <x v="3"/>
    <x v="545"/>
    <x v="0"/>
    <x v="0"/>
    <x v="0"/>
    <x v="9"/>
  </r>
  <r>
    <x v="855"/>
    <x v="53"/>
    <x v="855"/>
    <x v="4"/>
    <x v="2"/>
    <x v="20"/>
    <x v="7"/>
    <x v="810"/>
    <x v="0"/>
    <x v="0"/>
    <x v="0"/>
    <x v="9"/>
  </r>
  <r>
    <x v="856"/>
    <x v="53"/>
    <x v="856"/>
    <x v="4"/>
    <x v="4"/>
    <x v="7"/>
    <x v="4"/>
    <x v="545"/>
    <x v="0"/>
    <x v="0"/>
    <x v="0"/>
    <x v="9"/>
  </r>
  <r>
    <x v="857"/>
    <x v="54"/>
    <x v="857"/>
    <x v="6"/>
    <x v="0"/>
    <x v="21"/>
    <x v="6"/>
    <x v="811"/>
    <x v="0"/>
    <x v="0"/>
    <x v="0"/>
    <x v="11"/>
  </r>
  <r>
    <x v="858"/>
    <x v="54"/>
    <x v="858"/>
    <x v="1"/>
    <x v="0"/>
    <x v="24"/>
    <x v="1"/>
    <x v="812"/>
    <x v="0"/>
    <x v="0"/>
    <x v="0"/>
    <x v="0"/>
  </r>
  <r>
    <x v="859"/>
    <x v="54"/>
    <x v="859"/>
    <x v="10"/>
    <x v="0"/>
    <x v="48"/>
    <x v="4"/>
    <x v="813"/>
    <x v="0"/>
    <x v="0"/>
    <x v="0"/>
    <x v="1"/>
  </r>
  <r>
    <x v="860"/>
    <x v="54"/>
    <x v="860"/>
    <x v="0"/>
    <x v="0"/>
    <x v="0"/>
    <x v="2"/>
    <x v="814"/>
    <x v="0"/>
    <x v="0"/>
    <x v="0"/>
    <x v="2"/>
  </r>
  <r>
    <x v="861"/>
    <x v="54"/>
    <x v="861"/>
    <x v="0"/>
    <x v="0"/>
    <x v="0"/>
    <x v="5"/>
    <x v="545"/>
    <x v="0"/>
    <x v="0"/>
    <x v="0"/>
    <x v="3"/>
  </r>
  <r>
    <x v="862"/>
    <x v="54"/>
    <x v="862"/>
    <x v="0"/>
    <x v="0"/>
    <x v="0"/>
    <x v="2"/>
    <x v="815"/>
    <x v="0"/>
    <x v="0"/>
    <x v="0"/>
    <x v="22"/>
  </r>
  <r>
    <x v="863"/>
    <x v="54"/>
    <x v="863"/>
    <x v="0"/>
    <x v="4"/>
    <x v="11"/>
    <x v="7"/>
    <x v="816"/>
    <x v="0"/>
    <x v="0"/>
    <x v="0"/>
    <x v="6"/>
  </r>
  <r>
    <x v="864"/>
    <x v="54"/>
    <x v="864"/>
    <x v="0"/>
    <x v="1"/>
    <x v="28"/>
    <x v="5"/>
    <x v="817"/>
    <x v="0"/>
    <x v="0"/>
    <x v="0"/>
    <x v="16"/>
  </r>
  <r>
    <x v="865"/>
    <x v="54"/>
    <x v="865"/>
    <x v="0"/>
    <x v="0"/>
    <x v="0"/>
    <x v="3"/>
    <x v="818"/>
    <x v="0"/>
    <x v="0"/>
    <x v="0"/>
    <x v="7"/>
  </r>
  <r>
    <x v="866"/>
    <x v="54"/>
    <x v="866"/>
    <x v="3"/>
    <x v="0"/>
    <x v="4"/>
    <x v="9"/>
    <x v="819"/>
    <x v="0"/>
    <x v="0"/>
    <x v="0"/>
    <x v="9"/>
  </r>
  <r>
    <x v="867"/>
    <x v="54"/>
    <x v="867"/>
    <x v="4"/>
    <x v="0"/>
    <x v="6"/>
    <x v="1"/>
    <x v="820"/>
    <x v="0"/>
    <x v="0"/>
    <x v="0"/>
    <x v="10"/>
  </r>
  <r>
    <x v="868"/>
    <x v="54"/>
    <x v="868"/>
    <x v="0"/>
    <x v="0"/>
    <x v="0"/>
    <x v="7"/>
    <x v="821"/>
    <x v="0"/>
    <x v="0"/>
    <x v="0"/>
    <x v="10"/>
  </r>
  <r>
    <x v="869"/>
    <x v="54"/>
    <x v="869"/>
    <x v="4"/>
    <x v="4"/>
    <x v="7"/>
    <x v="2"/>
    <x v="822"/>
    <x v="0"/>
    <x v="0"/>
    <x v="0"/>
    <x v="14"/>
  </r>
  <r>
    <x v="870"/>
    <x v="55"/>
    <x v="870"/>
    <x v="5"/>
    <x v="0"/>
    <x v="14"/>
    <x v="7"/>
    <x v="823"/>
    <x v="0"/>
    <x v="0"/>
    <x v="0"/>
    <x v="11"/>
  </r>
  <r>
    <x v="871"/>
    <x v="55"/>
    <x v="871"/>
    <x v="5"/>
    <x v="0"/>
    <x v="14"/>
    <x v="7"/>
    <x v="824"/>
    <x v="0"/>
    <x v="0"/>
    <x v="0"/>
    <x v="11"/>
  </r>
  <r>
    <x v="872"/>
    <x v="55"/>
    <x v="872"/>
    <x v="0"/>
    <x v="0"/>
    <x v="0"/>
    <x v="7"/>
    <x v="825"/>
    <x v="0"/>
    <x v="0"/>
    <x v="0"/>
    <x v="1"/>
  </r>
  <r>
    <x v="873"/>
    <x v="55"/>
    <x v="873"/>
    <x v="6"/>
    <x v="0"/>
    <x v="21"/>
    <x v="7"/>
    <x v="826"/>
    <x v="0"/>
    <x v="0"/>
    <x v="0"/>
    <x v="1"/>
  </r>
  <r>
    <x v="874"/>
    <x v="55"/>
    <x v="874"/>
    <x v="1"/>
    <x v="4"/>
    <x v="35"/>
    <x v="3"/>
    <x v="827"/>
    <x v="0"/>
    <x v="0"/>
    <x v="0"/>
    <x v="1"/>
  </r>
  <r>
    <x v="875"/>
    <x v="55"/>
    <x v="875"/>
    <x v="1"/>
    <x v="2"/>
    <x v="18"/>
    <x v="3"/>
    <x v="828"/>
    <x v="0"/>
    <x v="0"/>
    <x v="0"/>
    <x v="3"/>
  </r>
  <r>
    <x v="876"/>
    <x v="55"/>
    <x v="876"/>
    <x v="6"/>
    <x v="1"/>
    <x v="19"/>
    <x v="2"/>
    <x v="829"/>
    <x v="0"/>
    <x v="0"/>
    <x v="0"/>
    <x v="17"/>
  </r>
  <r>
    <x v="877"/>
    <x v="55"/>
    <x v="877"/>
    <x v="0"/>
    <x v="0"/>
    <x v="0"/>
    <x v="7"/>
    <x v="830"/>
    <x v="0"/>
    <x v="0"/>
    <x v="0"/>
    <x v="5"/>
  </r>
  <r>
    <x v="878"/>
    <x v="55"/>
    <x v="878"/>
    <x v="0"/>
    <x v="0"/>
    <x v="0"/>
    <x v="0"/>
    <x v="831"/>
    <x v="0"/>
    <x v="0"/>
    <x v="0"/>
    <x v="5"/>
  </r>
  <r>
    <x v="879"/>
    <x v="55"/>
    <x v="879"/>
    <x v="0"/>
    <x v="0"/>
    <x v="0"/>
    <x v="0"/>
    <x v="832"/>
    <x v="0"/>
    <x v="0"/>
    <x v="0"/>
    <x v="5"/>
  </r>
  <r>
    <x v="880"/>
    <x v="55"/>
    <x v="880"/>
    <x v="4"/>
    <x v="0"/>
    <x v="6"/>
    <x v="7"/>
    <x v="833"/>
    <x v="0"/>
    <x v="0"/>
    <x v="0"/>
    <x v="7"/>
  </r>
  <r>
    <x v="881"/>
    <x v="55"/>
    <x v="881"/>
    <x v="3"/>
    <x v="4"/>
    <x v="16"/>
    <x v="3"/>
    <x v="834"/>
    <x v="0"/>
    <x v="0"/>
    <x v="0"/>
    <x v="7"/>
  </r>
  <r>
    <x v="882"/>
    <x v="55"/>
    <x v="882"/>
    <x v="0"/>
    <x v="0"/>
    <x v="0"/>
    <x v="1"/>
    <x v="835"/>
    <x v="0"/>
    <x v="0"/>
    <x v="0"/>
    <x v="7"/>
  </r>
  <r>
    <x v="883"/>
    <x v="55"/>
    <x v="883"/>
    <x v="0"/>
    <x v="0"/>
    <x v="0"/>
    <x v="6"/>
    <x v="836"/>
    <x v="0"/>
    <x v="0"/>
    <x v="0"/>
    <x v="13"/>
  </r>
  <r>
    <x v="884"/>
    <x v="55"/>
    <x v="884"/>
    <x v="3"/>
    <x v="2"/>
    <x v="27"/>
    <x v="5"/>
    <x v="837"/>
    <x v="0"/>
    <x v="0"/>
    <x v="0"/>
    <x v="9"/>
  </r>
  <r>
    <x v="885"/>
    <x v="55"/>
    <x v="885"/>
    <x v="3"/>
    <x v="4"/>
    <x v="16"/>
    <x v="4"/>
    <x v="838"/>
    <x v="0"/>
    <x v="0"/>
    <x v="0"/>
    <x v="9"/>
  </r>
  <r>
    <x v="886"/>
    <x v="55"/>
    <x v="886"/>
    <x v="0"/>
    <x v="0"/>
    <x v="0"/>
    <x v="4"/>
    <x v="839"/>
    <x v="0"/>
    <x v="0"/>
    <x v="0"/>
    <x v="9"/>
  </r>
  <r>
    <x v="887"/>
    <x v="55"/>
    <x v="887"/>
    <x v="4"/>
    <x v="1"/>
    <x v="5"/>
    <x v="7"/>
    <x v="840"/>
    <x v="0"/>
    <x v="0"/>
    <x v="0"/>
    <x v="9"/>
  </r>
  <r>
    <x v="888"/>
    <x v="55"/>
    <x v="888"/>
    <x v="4"/>
    <x v="0"/>
    <x v="6"/>
    <x v="4"/>
    <x v="841"/>
    <x v="0"/>
    <x v="0"/>
    <x v="0"/>
    <x v="10"/>
  </r>
  <r>
    <x v="889"/>
    <x v="55"/>
    <x v="889"/>
    <x v="0"/>
    <x v="4"/>
    <x v="11"/>
    <x v="1"/>
    <x v="842"/>
    <x v="0"/>
    <x v="0"/>
    <x v="0"/>
    <x v="14"/>
  </r>
  <r>
    <x v="890"/>
    <x v="56"/>
    <x v="890"/>
    <x v="3"/>
    <x v="0"/>
    <x v="4"/>
    <x v="6"/>
    <x v="843"/>
    <x v="0"/>
    <x v="0"/>
    <x v="0"/>
    <x v="11"/>
  </r>
  <r>
    <x v="891"/>
    <x v="56"/>
    <x v="891"/>
    <x v="3"/>
    <x v="0"/>
    <x v="4"/>
    <x v="7"/>
    <x v="844"/>
    <x v="0"/>
    <x v="0"/>
    <x v="0"/>
    <x v="11"/>
  </r>
  <r>
    <x v="892"/>
    <x v="56"/>
    <x v="892"/>
    <x v="4"/>
    <x v="4"/>
    <x v="7"/>
    <x v="5"/>
    <x v="845"/>
    <x v="0"/>
    <x v="0"/>
    <x v="0"/>
    <x v="0"/>
  </r>
  <r>
    <x v="893"/>
    <x v="56"/>
    <x v="893"/>
    <x v="6"/>
    <x v="0"/>
    <x v="21"/>
    <x v="5"/>
    <x v="846"/>
    <x v="0"/>
    <x v="0"/>
    <x v="0"/>
    <x v="0"/>
  </r>
  <r>
    <x v="894"/>
    <x v="56"/>
    <x v="894"/>
    <x v="7"/>
    <x v="3"/>
    <x v="69"/>
    <x v="3"/>
    <x v="847"/>
    <x v="0"/>
    <x v="0"/>
    <x v="0"/>
    <x v="0"/>
  </r>
  <r>
    <x v="895"/>
    <x v="56"/>
    <x v="895"/>
    <x v="0"/>
    <x v="2"/>
    <x v="2"/>
    <x v="2"/>
    <x v="848"/>
    <x v="0"/>
    <x v="0"/>
    <x v="0"/>
    <x v="2"/>
  </r>
  <r>
    <x v="896"/>
    <x v="56"/>
    <x v="896"/>
    <x v="0"/>
    <x v="0"/>
    <x v="0"/>
    <x v="13"/>
    <x v="849"/>
    <x v="0"/>
    <x v="0"/>
    <x v="0"/>
    <x v="5"/>
  </r>
  <r>
    <x v="897"/>
    <x v="56"/>
    <x v="897"/>
    <x v="4"/>
    <x v="1"/>
    <x v="5"/>
    <x v="0"/>
    <x v="850"/>
    <x v="0"/>
    <x v="0"/>
    <x v="0"/>
    <x v="6"/>
  </r>
  <r>
    <x v="898"/>
    <x v="56"/>
    <x v="898"/>
    <x v="0"/>
    <x v="0"/>
    <x v="0"/>
    <x v="7"/>
    <x v="851"/>
    <x v="0"/>
    <x v="0"/>
    <x v="0"/>
    <x v="16"/>
  </r>
  <r>
    <x v="899"/>
    <x v="56"/>
    <x v="899"/>
    <x v="0"/>
    <x v="0"/>
    <x v="0"/>
    <x v="5"/>
    <x v="852"/>
    <x v="0"/>
    <x v="0"/>
    <x v="0"/>
    <x v="7"/>
  </r>
  <r>
    <x v="900"/>
    <x v="56"/>
    <x v="900"/>
    <x v="0"/>
    <x v="0"/>
    <x v="0"/>
    <x v="4"/>
    <x v="853"/>
    <x v="0"/>
    <x v="0"/>
    <x v="0"/>
    <x v="7"/>
  </r>
  <r>
    <x v="901"/>
    <x v="56"/>
    <x v="901"/>
    <x v="4"/>
    <x v="0"/>
    <x v="6"/>
    <x v="1"/>
    <x v="854"/>
    <x v="0"/>
    <x v="0"/>
    <x v="0"/>
    <x v="7"/>
  </r>
  <r>
    <x v="902"/>
    <x v="56"/>
    <x v="902"/>
    <x v="0"/>
    <x v="0"/>
    <x v="0"/>
    <x v="7"/>
    <x v="545"/>
    <x v="0"/>
    <x v="0"/>
    <x v="0"/>
    <x v="13"/>
  </r>
  <r>
    <x v="903"/>
    <x v="56"/>
    <x v="903"/>
    <x v="0"/>
    <x v="1"/>
    <x v="28"/>
    <x v="1"/>
    <x v="855"/>
    <x v="0"/>
    <x v="0"/>
    <x v="0"/>
    <x v="9"/>
  </r>
  <r>
    <x v="904"/>
    <x v="56"/>
    <x v="904"/>
    <x v="0"/>
    <x v="0"/>
    <x v="0"/>
    <x v="1"/>
    <x v="856"/>
    <x v="0"/>
    <x v="0"/>
    <x v="0"/>
    <x v="15"/>
  </r>
  <r>
    <x v="905"/>
    <x v="56"/>
    <x v="905"/>
    <x v="0"/>
    <x v="2"/>
    <x v="2"/>
    <x v="7"/>
    <x v="857"/>
    <x v="0"/>
    <x v="0"/>
    <x v="0"/>
    <x v="20"/>
  </r>
  <r>
    <x v="906"/>
    <x v="57"/>
    <x v="906"/>
    <x v="0"/>
    <x v="0"/>
    <x v="0"/>
    <x v="4"/>
    <x v="858"/>
    <x v="0"/>
    <x v="0"/>
    <x v="0"/>
    <x v="11"/>
  </r>
  <r>
    <x v="907"/>
    <x v="57"/>
    <x v="907"/>
    <x v="6"/>
    <x v="0"/>
    <x v="21"/>
    <x v="1"/>
    <x v="859"/>
    <x v="0"/>
    <x v="0"/>
    <x v="0"/>
    <x v="11"/>
  </r>
  <r>
    <x v="908"/>
    <x v="57"/>
    <x v="908"/>
    <x v="6"/>
    <x v="0"/>
    <x v="21"/>
    <x v="5"/>
    <x v="860"/>
    <x v="0"/>
    <x v="0"/>
    <x v="0"/>
    <x v="11"/>
  </r>
  <r>
    <x v="909"/>
    <x v="57"/>
    <x v="909"/>
    <x v="5"/>
    <x v="1"/>
    <x v="23"/>
    <x v="7"/>
    <x v="861"/>
    <x v="0"/>
    <x v="0"/>
    <x v="0"/>
    <x v="11"/>
  </r>
  <r>
    <x v="910"/>
    <x v="57"/>
    <x v="910"/>
    <x v="6"/>
    <x v="3"/>
    <x v="40"/>
    <x v="3"/>
    <x v="862"/>
    <x v="0"/>
    <x v="0"/>
    <x v="0"/>
    <x v="12"/>
  </r>
  <r>
    <x v="911"/>
    <x v="57"/>
    <x v="911"/>
    <x v="6"/>
    <x v="4"/>
    <x v="39"/>
    <x v="6"/>
    <x v="863"/>
    <x v="0"/>
    <x v="0"/>
    <x v="0"/>
    <x v="12"/>
  </r>
  <r>
    <x v="912"/>
    <x v="57"/>
    <x v="912"/>
    <x v="4"/>
    <x v="0"/>
    <x v="6"/>
    <x v="3"/>
    <x v="864"/>
    <x v="0"/>
    <x v="0"/>
    <x v="0"/>
    <x v="0"/>
  </r>
  <r>
    <x v="913"/>
    <x v="57"/>
    <x v="913"/>
    <x v="0"/>
    <x v="0"/>
    <x v="0"/>
    <x v="1"/>
    <x v="865"/>
    <x v="0"/>
    <x v="0"/>
    <x v="0"/>
    <x v="1"/>
  </r>
  <r>
    <x v="914"/>
    <x v="57"/>
    <x v="914"/>
    <x v="0"/>
    <x v="2"/>
    <x v="2"/>
    <x v="6"/>
    <x v="866"/>
    <x v="0"/>
    <x v="0"/>
    <x v="0"/>
    <x v="2"/>
  </r>
  <r>
    <x v="915"/>
    <x v="57"/>
    <x v="915"/>
    <x v="0"/>
    <x v="4"/>
    <x v="11"/>
    <x v="7"/>
    <x v="867"/>
    <x v="0"/>
    <x v="0"/>
    <x v="0"/>
    <x v="3"/>
  </r>
  <r>
    <x v="916"/>
    <x v="57"/>
    <x v="916"/>
    <x v="0"/>
    <x v="0"/>
    <x v="0"/>
    <x v="7"/>
    <x v="868"/>
    <x v="0"/>
    <x v="0"/>
    <x v="0"/>
    <x v="5"/>
  </r>
  <r>
    <x v="917"/>
    <x v="57"/>
    <x v="917"/>
    <x v="0"/>
    <x v="6"/>
    <x v="10"/>
    <x v="8"/>
    <x v="869"/>
    <x v="0"/>
    <x v="0"/>
    <x v="0"/>
    <x v="7"/>
  </r>
  <r>
    <x v="918"/>
    <x v="57"/>
    <x v="918"/>
    <x v="3"/>
    <x v="0"/>
    <x v="4"/>
    <x v="7"/>
    <x v="870"/>
    <x v="0"/>
    <x v="0"/>
    <x v="0"/>
    <x v="7"/>
  </r>
  <r>
    <x v="919"/>
    <x v="57"/>
    <x v="919"/>
    <x v="4"/>
    <x v="0"/>
    <x v="6"/>
    <x v="2"/>
    <x v="871"/>
    <x v="0"/>
    <x v="0"/>
    <x v="0"/>
    <x v="7"/>
  </r>
  <r>
    <x v="920"/>
    <x v="57"/>
    <x v="920"/>
    <x v="4"/>
    <x v="0"/>
    <x v="6"/>
    <x v="4"/>
    <x v="872"/>
    <x v="0"/>
    <x v="0"/>
    <x v="0"/>
    <x v="9"/>
  </r>
  <r>
    <x v="921"/>
    <x v="57"/>
    <x v="921"/>
    <x v="4"/>
    <x v="4"/>
    <x v="7"/>
    <x v="0"/>
    <x v="873"/>
    <x v="0"/>
    <x v="0"/>
    <x v="0"/>
    <x v="14"/>
  </r>
  <r>
    <x v="922"/>
    <x v="58"/>
    <x v="922"/>
    <x v="1"/>
    <x v="0"/>
    <x v="24"/>
    <x v="7"/>
    <x v="874"/>
    <x v="0"/>
    <x v="0"/>
    <x v="0"/>
    <x v="11"/>
  </r>
  <r>
    <x v="923"/>
    <x v="58"/>
    <x v="923"/>
    <x v="4"/>
    <x v="0"/>
    <x v="6"/>
    <x v="5"/>
    <x v="875"/>
    <x v="0"/>
    <x v="0"/>
    <x v="0"/>
    <x v="0"/>
  </r>
  <r>
    <x v="924"/>
    <x v="58"/>
    <x v="924"/>
    <x v="4"/>
    <x v="5"/>
    <x v="9"/>
    <x v="5"/>
    <x v="876"/>
    <x v="0"/>
    <x v="0"/>
    <x v="0"/>
    <x v="1"/>
  </r>
  <r>
    <x v="925"/>
    <x v="58"/>
    <x v="925"/>
    <x v="5"/>
    <x v="5"/>
    <x v="70"/>
    <x v="1"/>
    <x v="877"/>
    <x v="0"/>
    <x v="0"/>
    <x v="0"/>
    <x v="1"/>
  </r>
  <r>
    <x v="926"/>
    <x v="58"/>
    <x v="926"/>
    <x v="2"/>
    <x v="0"/>
    <x v="59"/>
    <x v="5"/>
    <x v="878"/>
    <x v="0"/>
    <x v="0"/>
    <x v="0"/>
    <x v="2"/>
  </r>
  <r>
    <x v="927"/>
    <x v="58"/>
    <x v="927"/>
    <x v="0"/>
    <x v="0"/>
    <x v="0"/>
    <x v="2"/>
    <x v="879"/>
    <x v="0"/>
    <x v="0"/>
    <x v="0"/>
    <x v="4"/>
  </r>
  <r>
    <x v="928"/>
    <x v="58"/>
    <x v="928"/>
    <x v="3"/>
    <x v="0"/>
    <x v="4"/>
    <x v="2"/>
    <x v="880"/>
    <x v="0"/>
    <x v="0"/>
    <x v="0"/>
    <x v="5"/>
  </r>
  <r>
    <x v="929"/>
    <x v="58"/>
    <x v="929"/>
    <x v="3"/>
    <x v="0"/>
    <x v="4"/>
    <x v="6"/>
    <x v="881"/>
    <x v="0"/>
    <x v="0"/>
    <x v="7"/>
    <x v="19"/>
  </r>
  <r>
    <x v="930"/>
    <x v="58"/>
    <x v="930"/>
    <x v="0"/>
    <x v="1"/>
    <x v="28"/>
    <x v="4"/>
    <x v="882"/>
    <x v="0"/>
    <x v="0"/>
    <x v="0"/>
    <x v="22"/>
  </r>
  <r>
    <x v="931"/>
    <x v="58"/>
    <x v="931"/>
    <x v="3"/>
    <x v="0"/>
    <x v="4"/>
    <x v="5"/>
    <x v="883"/>
    <x v="0"/>
    <x v="0"/>
    <x v="0"/>
    <x v="22"/>
  </r>
  <r>
    <x v="932"/>
    <x v="58"/>
    <x v="932"/>
    <x v="4"/>
    <x v="4"/>
    <x v="7"/>
    <x v="6"/>
    <x v="884"/>
    <x v="0"/>
    <x v="0"/>
    <x v="0"/>
    <x v="6"/>
  </r>
  <r>
    <x v="933"/>
    <x v="58"/>
    <x v="933"/>
    <x v="0"/>
    <x v="0"/>
    <x v="0"/>
    <x v="1"/>
    <x v="885"/>
    <x v="0"/>
    <x v="0"/>
    <x v="0"/>
    <x v="18"/>
  </r>
  <r>
    <x v="934"/>
    <x v="58"/>
    <x v="934"/>
    <x v="4"/>
    <x v="1"/>
    <x v="5"/>
    <x v="2"/>
    <x v="886"/>
    <x v="0"/>
    <x v="0"/>
    <x v="0"/>
    <x v="7"/>
  </r>
  <r>
    <x v="935"/>
    <x v="58"/>
    <x v="935"/>
    <x v="0"/>
    <x v="0"/>
    <x v="0"/>
    <x v="1"/>
    <x v="887"/>
    <x v="0"/>
    <x v="0"/>
    <x v="0"/>
    <x v="9"/>
  </r>
  <r>
    <x v="936"/>
    <x v="58"/>
    <x v="936"/>
    <x v="3"/>
    <x v="0"/>
    <x v="4"/>
    <x v="7"/>
    <x v="888"/>
    <x v="0"/>
    <x v="0"/>
    <x v="0"/>
    <x v="10"/>
  </r>
  <r>
    <x v="937"/>
    <x v="59"/>
    <x v="937"/>
    <x v="3"/>
    <x v="0"/>
    <x v="4"/>
    <x v="5"/>
    <x v="889"/>
    <x v="0"/>
    <x v="0"/>
    <x v="0"/>
    <x v="11"/>
  </r>
  <r>
    <x v="938"/>
    <x v="59"/>
    <x v="938"/>
    <x v="0"/>
    <x v="0"/>
    <x v="0"/>
    <x v="5"/>
    <x v="890"/>
    <x v="0"/>
    <x v="0"/>
    <x v="0"/>
    <x v="11"/>
  </r>
  <r>
    <x v="939"/>
    <x v="59"/>
    <x v="939"/>
    <x v="0"/>
    <x v="0"/>
    <x v="0"/>
    <x v="5"/>
    <x v="891"/>
    <x v="0"/>
    <x v="0"/>
    <x v="0"/>
    <x v="11"/>
  </r>
  <r>
    <x v="940"/>
    <x v="59"/>
    <x v="940"/>
    <x v="0"/>
    <x v="1"/>
    <x v="28"/>
    <x v="4"/>
    <x v="892"/>
    <x v="0"/>
    <x v="0"/>
    <x v="0"/>
    <x v="11"/>
  </r>
  <r>
    <x v="941"/>
    <x v="59"/>
    <x v="941"/>
    <x v="1"/>
    <x v="0"/>
    <x v="24"/>
    <x v="7"/>
    <x v="893"/>
    <x v="0"/>
    <x v="0"/>
    <x v="0"/>
    <x v="1"/>
  </r>
  <r>
    <x v="942"/>
    <x v="59"/>
    <x v="942"/>
    <x v="1"/>
    <x v="2"/>
    <x v="18"/>
    <x v="6"/>
    <x v="894"/>
    <x v="0"/>
    <x v="0"/>
    <x v="0"/>
    <x v="3"/>
  </r>
  <r>
    <x v="943"/>
    <x v="59"/>
    <x v="943"/>
    <x v="3"/>
    <x v="0"/>
    <x v="4"/>
    <x v="4"/>
    <x v="895"/>
    <x v="0"/>
    <x v="0"/>
    <x v="0"/>
    <x v="4"/>
  </r>
  <r>
    <x v="944"/>
    <x v="59"/>
    <x v="944"/>
    <x v="0"/>
    <x v="4"/>
    <x v="11"/>
    <x v="6"/>
    <x v="896"/>
    <x v="0"/>
    <x v="0"/>
    <x v="0"/>
    <x v="17"/>
  </r>
  <r>
    <x v="945"/>
    <x v="59"/>
    <x v="945"/>
    <x v="0"/>
    <x v="0"/>
    <x v="0"/>
    <x v="2"/>
    <x v="897"/>
    <x v="0"/>
    <x v="0"/>
    <x v="0"/>
    <x v="6"/>
  </r>
  <r>
    <x v="946"/>
    <x v="59"/>
    <x v="946"/>
    <x v="0"/>
    <x v="2"/>
    <x v="2"/>
    <x v="3"/>
    <x v="898"/>
    <x v="0"/>
    <x v="0"/>
    <x v="0"/>
    <x v="18"/>
  </r>
  <r>
    <x v="947"/>
    <x v="59"/>
    <x v="947"/>
    <x v="4"/>
    <x v="0"/>
    <x v="6"/>
    <x v="7"/>
    <x v="899"/>
    <x v="0"/>
    <x v="0"/>
    <x v="0"/>
    <x v="7"/>
  </r>
  <r>
    <x v="948"/>
    <x v="59"/>
    <x v="948"/>
    <x v="3"/>
    <x v="0"/>
    <x v="4"/>
    <x v="9"/>
    <x v="900"/>
    <x v="0"/>
    <x v="0"/>
    <x v="0"/>
    <x v="7"/>
  </r>
  <r>
    <x v="949"/>
    <x v="59"/>
    <x v="949"/>
    <x v="3"/>
    <x v="0"/>
    <x v="4"/>
    <x v="5"/>
    <x v="901"/>
    <x v="0"/>
    <x v="0"/>
    <x v="0"/>
    <x v="13"/>
  </r>
  <r>
    <x v="950"/>
    <x v="59"/>
    <x v="950"/>
    <x v="4"/>
    <x v="8"/>
    <x v="66"/>
    <x v="6"/>
    <x v="545"/>
    <x v="0"/>
    <x v="0"/>
    <x v="0"/>
    <x v="9"/>
  </r>
  <r>
    <x v="951"/>
    <x v="59"/>
    <x v="951"/>
    <x v="0"/>
    <x v="6"/>
    <x v="10"/>
    <x v="2"/>
    <x v="902"/>
    <x v="0"/>
    <x v="0"/>
    <x v="0"/>
    <x v="10"/>
  </r>
  <r>
    <x v="952"/>
    <x v="59"/>
    <x v="952"/>
    <x v="4"/>
    <x v="4"/>
    <x v="7"/>
    <x v="4"/>
    <x v="903"/>
    <x v="0"/>
    <x v="0"/>
    <x v="0"/>
    <x v="14"/>
  </r>
  <r>
    <x v="953"/>
    <x v="59"/>
    <x v="953"/>
    <x v="4"/>
    <x v="0"/>
    <x v="6"/>
    <x v="4"/>
    <x v="904"/>
    <x v="0"/>
    <x v="0"/>
    <x v="0"/>
    <x v="15"/>
  </r>
  <r>
    <x v="954"/>
    <x v="60"/>
    <x v="954"/>
    <x v="6"/>
    <x v="1"/>
    <x v="19"/>
    <x v="6"/>
    <x v="905"/>
    <x v="0"/>
    <x v="0"/>
    <x v="0"/>
    <x v="11"/>
  </r>
  <r>
    <x v="955"/>
    <x v="60"/>
    <x v="955"/>
    <x v="3"/>
    <x v="0"/>
    <x v="4"/>
    <x v="7"/>
    <x v="906"/>
    <x v="0"/>
    <x v="0"/>
    <x v="0"/>
    <x v="11"/>
  </r>
  <r>
    <x v="956"/>
    <x v="60"/>
    <x v="956"/>
    <x v="3"/>
    <x v="0"/>
    <x v="4"/>
    <x v="4"/>
    <x v="907"/>
    <x v="0"/>
    <x v="0"/>
    <x v="0"/>
    <x v="11"/>
  </r>
  <r>
    <x v="957"/>
    <x v="60"/>
    <x v="957"/>
    <x v="4"/>
    <x v="0"/>
    <x v="6"/>
    <x v="4"/>
    <x v="908"/>
    <x v="0"/>
    <x v="0"/>
    <x v="0"/>
    <x v="11"/>
  </r>
  <r>
    <x v="958"/>
    <x v="60"/>
    <x v="958"/>
    <x v="3"/>
    <x v="5"/>
    <x v="8"/>
    <x v="1"/>
    <x v="909"/>
    <x v="0"/>
    <x v="0"/>
    <x v="0"/>
    <x v="0"/>
  </r>
  <r>
    <x v="959"/>
    <x v="60"/>
    <x v="959"/>
    <x v="6"/>
    <x v="4"/>
    <x v="39"/>
    <x v="1"/>
    <x v="910"/>
    <x v="0"/>
    <x v="0"/>
    <x v="0"/>
    <x v="0"/>
  </r>
  <r>
    <x v="960"/>
    <x v="60"/>
    <x v="960"/>
    <x v="4"/>
    <x v="0"/>
    <x v="6"/>
    <x v="7"/>
    <x v="911"/>
    <x v="0"/>
    <x v="0"/>
    <x v="0"/>
    <x v="1"/>
  </r>
  <r>
    <x v="961"/>
    <x v="60"/>
    <x v="961"/>
    <x v="4"/>
    <x v="0"/>
    <x v="6"/>
    <x v="4"/>
    <x v="912"/>
    <x v="0"/>
    <x v="0"/>
    <x v="0"/>
    <x v="1"/>
  </r>
  <r>
    <x v="962"/>
    <x v="60"/>
    <x v="962"/>
    <x v="1"/>
    <x v="0"/>
    <x v="24"/>
    <x v="4"/>
    <x v="913"/>
    <x v="0"/>
    <x v="0"/>
    <x v="0"/>
    <x v="1"/>
  </r>
  <r>
    <x v="963"/>
    <x v="60"/>
    <x v="963"/>
    <x v="6"/>
    <x v="5"/>
    <x v="43"/>
    <x v="3"/>
    <x v="914"/>
    <x v="0"/>
    <x v="12"/>
    <x v="0"/>
    <x v="2"/>
  </r>
  <r>
    <x v="964"/>
    <x v="60"/>
    <x v="964"/>
    <x v="0"/>
    <x v="0"/>
    <x v="0"/>
    <x v="5"/>
    <x v="915"/>
    <x v="0"/>
    <x v="0"/>
    <x v="0"/>
    <x v="2"/>
  </r>
  <r>
    <x v="965"/>
    <x v="60"/>
    <x v="965"/>
    <x v="0"/>
    <x v="6"/>
    <x v="10"/>
    <x v="4"/>
    <x v="916"/>
    <x v="0"/>
    <x v="0"/>
    <x v="0"/>
    <x v="3"/>
  </r>
  <r>
    <x v="966"/>
    <x v="60"/>
    <x v="966"/>
    <x v="0"/>
    <x v="0"/>
    <x v="0"/>
    <x v="6"/>
    <x v="917"/>
    <x v="0"/>
    <x v="0"/>
    <x v="0"/>
    <x v="5"/>
  </r>
  <r>
    <x v="967"/>
    <x v="60"/>
    <x v="967"/>
    <x v="4"/>
    <x v="0"/>
    <x v="6"/>
    <x v="7"/>
    <x v="918"/>
    <x v="0"/>
    <x v="0"/>
    <x v="0"/>
    <x v="18"/>
  </r>
  <r>
    <x v="968"/>
    <x v="60"/>
    <x v="968"/>
    <x v="4"/>
    <x v="4"/>
    <x v="7"/>
    <x v="2"/>
    <x v="919"/>
    <x v="0"/>
    <x v="0"/>
    <x v="0"/>
    <x v="18"/>
  </r>
  <r>
    <x v="969"/>
    <x v="60"/>
    <x v="969"/>
    <x v="0"/>
    <x v="6"/>
    <x v="10"/>
    <x v="4"/>
    <x v="920"/>
    <x v="0"/>
    <x v="0"/>
    <x v="0"/>
    <x v="8"/>
  </r>
  <r>
    <x v="970"/>
    <x v="60"/>
    <x v="970"/>
    <x v="4"/>
    <x v="6"/>
    <x v="12"/>
    <x v="2"/>
    <x v="921"/>
    <x v="0"/>
    <x v="0"/>
    <x v="0"/>
    <x v="9"/>
  </r>
  <r>
    <x v="971"/>
    <x v="60"/>
    <x v="971"/>
    <x v="4"/>
    <x v="0"/>
    <x v="6"/>
    <x v="0"/>
    <x v="922"/>
    <x v="0"/>
    <x v="0"/>
    <x v="0"/>
    <x v="14"/>
  </r>
  <r>
    <x v="972"/>
    <x v="61"/>
    <x v="972"/>
    <x v="5"/>
    <x v="0"/>
    <x v="14"/>
    <x v="1"/>
    <x v="923"/>
    <x v="0"/>
    <x v="0"/>
    <x v="0"/>
    <x v="11"/>
  </r>
  <r>
    <x v="973"/>
    <x v="61"/>
    <x v="973"/>
    <x v="0"/>
    <x v="4"/>
    <x v="11"/>
    <x v="5"/>
    <x v="545"/>
    <x v="0"/>
    <x v="0"/>
    <x v="0"/>
    <x v="3"/>
  </r>
  <r>
    <x v="974"/>
    <x v="61"/>
    <x v="974"/>
    <x v="4"/>
    <x v="0"/>
    <x v="6"/>
    <x v="7"/>
    <x v="545"/>
    <x v="0"/>
    <x v="0"/>
    <x v="0"/>
    <x v="5"/>
  </r>
  <r>
    <x v="975"/>
    <x v="61"/>
    <x v="975"/>
    <x v="3"/>
    <x v="4"/>
    <x v="16"/>
    <x v="8"/>
    <x v="924"/>
    <x v="0"/>
    <x v="0"/>
    <x v="0"/>
    <x v="24"/>
  </r>
  <r>
    <x v="976"/>
    <x v="61"/>
    <x v="976"/>
    <x v="4"/>
    <x v="1"/>
    <x v="5"/>
    <x v="2"/>
    <x v="925"/>
    <x v="0"/>
    <x v="0"/>
    <x v="0"/>
    <x v="16"/>
  </r>
  <r>
    <x v="977"/>
    <x v="61"/>
    <x v="977"/>
    <x v="4"/>
    <x v="2"/>
    <x v="20"/>
    <x v="6"/>
    <x v="926"/>
    <x v="0"/>
    <x v="0"/>
    <x v="0"/>
    <x v="7"/>
  </r>
  <r>
    <x v="978"/>
    <x v="61"/>
    <x v="978"/>
    <x v="4"/>
    <x v="4"/>
    <x v="7"/>
    <x v="13"/>
    <x v="927"/>
    <x v="0"/>
    <x v="0"/>
    <x v="0"/>
    <x v="9"/>
  </r>
  <r>
    <x v="979"/>
    <x v="61"/>
    <x v="979"/>
    <x v="0"/>
    <x v="4"/>
    <x v="11"/>
    <x v="2"/>
    <x v="928"/>
    <x v="0"/>
    <x v="0"/>
    <x v="0"/>
    <x v="14"/>
  </r>
  <r>
    <x v="980"/>
    <x v="61"/>
    <x v="980"/>
    <x v="0"/>
    <x v="0"/>
    <x v="0"/>
    <x v="13"/>
    <x v="929"/>
    <x v="0"/>
    <x v="0"/>
    <x v="0"/>
    <x v="14"/>
  </r>
  <r>
    <x v="981"/>
    <x v="62"/>
    <x v="981"/>
    <x v="3"/>
    <x v="0"/>
    <x v="4"/>
    <x v="5"/>
    <x v="930"/>
    <x v="0"/>
    <x v="0"/>
    <x v="0"/>
    <x v="11"/>
  </r>
  <r>
    <x v="982"/>
    <x v="62"/>
    <x v="982"/>
    <x v="6"/>
    <x v="5"/>
    <x v="43"/>
    <x v="6"/>
    <x v="931"/>
    <x v="0"/>
    <x v="13"/>
    <x v="0"/>
    <x v="11"/>
  </r>
  <r>
    <x v="983"/>
    <x v="62"/>
    <x v="983"/>
    <x v="3"/>
    <x v="0"/>
    <x v="4"/>
    <x v="1"/>
    <x v="932"/>
    <x v="0"/>
    <x v="0"/>
    <x v="0"/>
    <x v="11"/>
  </r>
  <r>
    <x v="984"/>
    <x v="62"/>
    <x v="984"/>
    <x v="1"/>
    <x v="0"/>
    <x v="24"/>
    <x v="4"/>
    <x v="933"/>
    <x v="0"/>
    <x v="0"/>
    <x v="8"/>
    <x v="12"/>
  </r>
  <r>
    <x v="985"/>
    <x v="62"/>
    <x v="985"/>
    <x v="10"/>
    <x v="0"/>
    <x v="48"/>
    <x v="5"/>
    <x v="934"/>
    <x v="0"/>
    <x v="0"/>
    <x v="0"/>
    <x v="0"/>
  </r>
  <r>
    <x v="986"/>
    <x v="62"/>
    <x v="986"/>
    <x v="4"/>
    <x v="0"/>
    <x v="6"/>
    <x v="7"/>
    <x v="935"/>
    <x v="0"/>
    <x v="0"/>
    <x v="0"/>
    <x v="0"/>
  </r>
  <r>
    <x v="987"/>
    <x v="62"/>
    <x v="987"/>
    <x v="4"/>
    <x v="0"/>
    <x v="6"/>
    <x v="1"/>
    <x v="936"/>
    <x v="0"/>
    <x v="0"/>
    <x v="0"/>
    <x v="0"/>
  </r>
  <r>
    <x v="988"/>
    <x v="62"/>
    <x v="988"/>
    <x v="1"/>
    <x v="3"/>
    <x v="57"/>
    <x v="2"/>
    <x v="937"/>
    <x v="0"/>
    <x v="0"/>
    <x v="0"/>
    <x v="0"/>
  </r>
  <r>
    <x v="989"/>
    <x v="62"/>
    <x v="989"/>
    <x v="0"/>
    <x v="0"/>
    <x v="0"/>
    <x v="4"/>
    <x v="938"/>
    <x v="0"/>
    <x v="0"/>
    <x v="0"/>
    <x v="0"/>
  </r>
  <r>
    <x v="990"/>
    <x v="62"/>
    <x v="990"/>
    <x v="3"/>
    <x v="0"/>
    <x v="4"/>
    <x v="4"/>
    <x v="939"/>
    <x v="0"/>
    <x v="0"/>
    <x v="0"/>
    <x v="1"/>
  </r>
  <r>
    <x v="991"/>
    <x v="62"/>
    <x v="991"/>
    <x v="4"/>
    <x v="0"/>
    <x v="6"/>
    <x v="13"/>
    <x v="940"/>
    <x v="0"/>
    <x v="0"/>
    <x v="0"/>
    <x v="1"/>
  </r>
  <r>
    <x v="992"/>
    <x v="62"/>
    <x v="992"/>
    <x v="0"/>
    <x v="0"/>
    <x v="0"/>
    <x v="7"/>
    <x v="941"/>
    <x v="0"/>
    <x v="0"/>
    <x v="0"/>
    <x v="2"/>
  </r>
  <r>
    <x v="993"/>
    <x v="62"/>
    <x v="993"/>
    <x v="0"/>
    <x v="0"/>
    <x v="0"/>
    <x v="5"/>
    <x v="942"/>
    <x v="0"/>
    <x v="0"/>
    <x v="0"/>
    <x v="2"/>
  </r>
  <r>
    <x v="994"/>
    <x v="62"/>
    <x v="994"/>
    <x v="0"/>
    <x v="3"/>
    <x v="47"/>
    <x v="7"/>
    <x v="545"/>
    <x v="0"/>
    <x v="0"/>
    <x v="0"/>
    <x v="3"/>
  </r>
  <r>
    <x v="995"/>
    <x v="62"/>
    <x v="995"/>
    <x v="8"/>
    <x v="0"/>
    <x v="51"/>
    <x v="0"/>
    <x v="943"/>
    <x v="0"/>
    <x v="0"/>
    <x v="0"/>
    <x v="5"/>
  </r>
  <r>
    <x v="996"/>
    <x v="62"/>
    <x v="996"/>
    <x v="3"/>
    <x v="14"/>
    <x v="71"/>
    <x v="3"/>
    <x v="944"/>
    <x v="0"/>
    <x v="0"/>
    <x v="0"/>
    <x v="16"/>
  </r>
  <r>
    <x v="997"/>
    <x v="62"/>
    <x v="997"/>
    <x v="0"/>
    <x v="0"/>
    <x v="0"/>
    <x v="5"/>
    <x v="945"/>
    <x v="0"/>
    <x v="0"/>
    <x v="0"/>
    <x v="18"/>
  </r>
  <r>
    <x v="998"/>
    <x v="62"/>
    <x v="998"/>
    <x v="4"/>
    <x v="4"/>
    <x v="7"/>
    <x v="10"/>
    <x v="946"/>
    <x v="0"/>
    <x v="0"/>
    <x v="0"/>
    <x v="9"/>
  </r>
  <r>
    <x v="999"/>
    <x v="62"/>
    <x v="999"/>
    <x v="4"/>
    <x v="0"/>
    <x v="6"/>
    <x v="6"/>
    <x v="947"/>
    <x v="0"/>
    <x v="0"/>
    <x v="0"/>
    <x v="10"/>
  </r>
  <r>
    <x v="1000"/>
    <x v="63"/>
    <x v="1000"/>
    <x v="0"/>
    <x v="4"/>
    <x v="11"/>
    <x v="6"/>
    <x v="948"/>
    <x v="0"/>
    <x v="0"/>
    <x v="0"/>
    <x v="12"/>
  </r>
  <r>
    <x v="1001"/>
    <x v="63"/>
    <x v="1001"/>
    <x v="0"/>
    <x v="0"/>
    <x v="0"/>
    <x v="4"/>
    <x v="949"/>
    <x v="0"/>
    <x v="0"/>
    <x v="0"/>
    <x v="2"/>
  </r>
  <r>
    <x v="1002"/>
    <x v="63"/>
    <x v="1002"/>
    <x v="0"/>
    <x v="0"/>
    <x v="0"/>
    <x v="6"/>
    <x v="950"/>
    <x v="0"/>
    <x v="0"/>
    <x v="0"/>
    <x v="3"/>
  </r>
  <r>
    <x v="1003"/>
    <x v="63"/>
    <x v="1003"/>
    <x v="0"/>
    <x v="4"/>
    <x v="11"/>
    <x v="4"/>
    <x v="951"/>
    <x v="0"/>
    <x v="0"/>
    <x v="0"/>
    <x v="3"/>
  </r>
  <r>
    <x v="1004"/>
    <x v="63"/>
    <x v="1004"/>
    <x v="0"/>
    <x v="10"/>
    <x v="37"/>
    <x v="7"/>
    <x v="952"/>
    <x v="0"/>
    <x v="0"/>
    <x v="0"/>
    <x v="4"/>
  </r>
  <r>
    <x v="1005"/>
    <x v="63"/>
    <x v="1005"/>
    <x v="3"/>
    <x v="0"/>
    <x v="4"/>
    <x v="5"/>
    <x v="953"/>
    <x v="0"/>
    <x v="0"/>
    <x v="0"/>
    <x v="7"/>
  </r>
  <r>
    <x v="1006"/>
    <x v="63"/>
    <x v="1006"/>
    <x v="0"/>
    <x v="1"/>
    <x v="28"/>
    <x v="5"/>
    <x v="954"/>
    <x v="0"/>
    <x v="0"/>
    <x v="0"/>
    <x v="13"/>
  </r>
  <r>
    <x v="1007"/>
    <x v="63"/>
    <x v="1007"/>
    <x v="0"/>
    <x v="0"/>
    <x v="0"/>
    <x v="6"/>
    <x v="955"/>
    <x v="0"/>
    <x v="0"/>
    <x v="0"/>
    <x v="13"/>
  </r>
  <r>
    <x v="1008"/>
    <x v="63"/>
    <x v="1008"/>
    <x v="4"/>
    <x v="0"/>
    <x v="6"/>
    <x v="6"/>
    <x v="956"/>
    <x v="0"/>
    <x v="0"/>
    <x v="0"/>
    <x v="9"/>
  </r>
  <r>
    <x v="1009"/>
    <x v="63"/>
    <x v="1009"/>
    <x v="3"/>
    <x v="0"/>
    <x v="4"/>
    <x v="5"/>
    <x v="957"/>
    <x v="0"/>
    <x v="0"/>
    <x v="0"/>
    <x v="10"/>
  </r>
  <r>
    <x v="1010"/>
    <x v="63"/>
    <x v="1010"/>
    <x v="4"/>
    <x v="0"/>
    <x v="6"/>
    <x v="3"/>
    <x v="958"/>
    <x v="0"/>
    <x v="0"/>
    <x v="0"/>
    <x v="10"/>
  </r>
  <r>
    <x v="1011"/>
    <x v="64"/>
    <x v="1011"/>
    <x v="1"/>
    <x v="0"/>
    <x v="24"/>
    <x v="2"/>
    <x v="959"/>
    <x v="0"/>
    <x v="0"/>
    <x v="0"/>
    <x v="11"/>
  </r>
  <r>
    <x v="1012"/>
    <x v="64"/>
    <x v="1012"/>
    <x v="0"/>
    <x v="0"/>
    <x v="0"/>
    <x v="13"/>
    <x v="960"/>
    <x v="0"/>
    <x v="0"/>
    <x v="0"/>
    <x v="0"/>
  </r>
  <r>
    <x v="1013"/>
    <x v="64"/>
    <x v="1013"/>
    <x v="4"/>
    <x v="0"/>
    <x v="6"/>
    <x v="2"/>
    <x v="961"/>
    <x v="0"/>
    <x v="0"/>
    <x v="0"/>
    <x v="0"/>
  </r>
  <r>
    <x v="1014"/>
    <x v="64"/>
    <x v="1014"/>
    <x v="3"/>
    <x v="0"/>
    <x v="4"/>
    <x v="7"/>
    <x v="962"/>
    <x v="0"/>
    <x v="0"/>
    <x v="0"/>
    <x v="0"/>
  </r>
  <r>
    <x v="1015"/>
    <x v="64"/>
    <x v="1015"/>
    <x v="5"/>
    <x v="0"/>
    <x v="14"/>
    <x v="14"/>
    <x v="963"/>
    <x v="0"/>
    <x v="0"/>
    <x v="0"/>
    <x v="0"/>
  </r>
  <r>
    <x v="1016"/>
    <x v="64"/>
    <x v="1016"/>
    <x v="6"/>
    <x v="3"/>
    <x v="40"/>
    <x v="8"/>
    <x v="964"/>
    <x v="0"/>
    <x v="0"/>
    <x v="0"/>
    <x v="4"/>
  </r>
  <r>
    <x v="1017"/>
    <x v="64"/>
    <x v="1017"/>
    <x v="0"/>
    <x v="0"/>
    <x v="0"/>
    <x v="2"/>
    <x v="965"/>
    <x v="0"/>
    <x v="0"/>
    <x v="0"/>
    <x v="5"/>
  </r>
  <r>
    <x v="1018"/>
    <x v="64"/>
    <x v="1018"/>
    <x v="0"/>
    <x v="0"/>
    <x v="0"/>
    <x v="5"/>
    <x v="966"/>
    <x v="0"/>
    <x v="0"/>
    <x v="0"/>
    <x v="5"/>
  </r>
  <r>
    <x v="1019"/>
    <x v="64"/>
    <x v="1019"/>
    <x v="0"/>
    <x v="0"/>
    <x v="0"/>
    <x v="7"/>
    <x v="967"/>
    <x v="0"/>
    <x v="0"/>
    <x v="0"/>
    <x v="22"/>
  </r>
  <r>
    <x v="1020"/>
    <x v="64"/>
    <x v="1020"/>
    <x v="4"/>
    <x v="0"/>
    <x v="6"/>
    <x v="5"/>
    <x v="968"/>
    <x v="0"/>
    <x v="0"/>
    <x v="0"/>
    <x v="7"/>
  </r>
  <r>
    <x v="1021"/>
    <x v="64"/>
    <x v="1021"/>
    <x v="0"/>
    <x v="0"/>
    <x v="0"/>
    <x v="2"/>
    <x v="969"/>
    <x v="0"/>
    <x v="0"/>
    <x v="0"/>
    <x v="7"/>
  </r>
  <r>
    <x v="1022"/>
    <x v="64"/>
    <x v="1022"/>
    <x v="4"/>
    <x v="0"/>
    <x v="6"/>
    <x v="1"/>
    <x v="970"/>
    <x v="0"/>
    <x v="0"/>
    <x v="0"/>
    <x v="7"/>
  </r>
  <r>
    <x v="1023"/>
    <x v="64"/>
    <x v="1023"/>
    <x v="3"/>
    <x v="0"/>
    <x v="4"/>
    <x v="4"/>
    <x v="971"/>
    <x v="0"/>
    <x v="0"/>
    <x v="0"/>
    <x v="13"/>
  </r>
  <r>
    <x v="1024"/>
    <x v="64"/>
    <x v="1024"/>
    <x v="4"/>
    <x v="5"/>
    <x v="9"/>
    <x v="6"/>
    <x v="972"/>
    <x v="0"/>
    <x v="0"/>
    <x v="0"/>
    <x v="13"/>
  </r>
  <r>
    <x v="1025"/>
    <x v="64"/>
    <x v="1025"/>
    <x v="3"/>
    <x v="0"/>
    <x v="4"/>
    <x v="7"/>
    <x v="973"/>
    <x v="0"/>
    <x v="0"/>
    <x v="0"/>
    <x v="13"/>
  </r>
  <r>
    <x v="1026"/>
    <x v="64"/>
    <x v="1026"/>
    <x v="0"/>
    <x v="0"/>
    <x v="0"/>
    <x v="0"/>
    <x v="974"/>
    <x v="0"/>
    <x v="0"/>
    <x v="0"/>
    <x v="9"/>
  </r>
  <r>
    <x v="1027"/>
    <x v="64"/>
    <x v="1027"/>
    <x v="4"/>
    <x v="4"/>
    <x v="7"/>
    <x v="7"/>
    <x v="975"/>
    <x v="0"/>
    <x v="0"/>
    <x v="0"/>
    <x v="14"/>
  </r>
  <r>
    <x v="1028"/>
    <x v="65"/>
    <x v="1028"/>
    <x v="5"/>
    <x v="0"/>
    <x v="14"/>
    <x v="7"/>
    <x v="976"/>
    <x v="0"/>
    <x v="0"/>
    <x v="0"/>
    <x v="0"/>
  </r>
  <r>
    <x v="1029"/>
    <x v="65"/>
    <x v="1029"/>
    <x v="0"/>
    <x v="2"/>
    <x v="2"/>
    <x v="5"/>
    <x v="545"/>
    <x v="0"/>
    <x v="0"/>
    <x v="0"/>
    <x v="1"/>
  </r>
  <r>
    <x v="1030"/>
    <x v="65"/>
    <x v="1030"/>
    <x v="10"/>
    <x v="1"/>
    <x v="65"/>
    <x v="7"/>
    <x v="977"/>
    <x v="0"/>
    <x v="0"/>
    <x v="0"/>
    <x v="2"/>
  </r>
  <r>
    <x v="1031"/>
    <x v="65"/>
    <x v="1031"/>
    <x v="0"/>
    <x v="0"/>
    <x v="0"/>
    <x v="7"/>
    <x v="545"/>
    <x v="0"/>
    <x v="0"/>
    <x v="0"/>
    <x v="2"/>
  </r>
  <r>
    <x v="1032"/>
    <x v="65"/>
    <x v="1032"/>
    <x v="0"/>
    <x v="0"/>
    <x v="0"/>
    <x v="7"/>
    <x v="978"/>
    <x v="0"/>
    <x v="0"/>
    <x v="0"/>
    <x v="5"/>
  </r>
  <r>
    <x v="1033"/>
    <x v="65"/>
    <x v="1033"/>
    <x v="4"/>
    <x v="0"/>
    <x v="6"/>
    <x v="7"/>
    <x v="979"/>
    <x v="0"/>
    <x v="0"/>
    <x v="0"/>
    <x v="5"/>
  </r>
  <r>
    <x v="1034"/>
    <x v="65"/>
    <x v="1034"/>
    <x v="0"/>
    <x v="0"/>
    <x v="0"/>
    <x v="0"/>
    <x v="545"/>
    <x v="0"/>
    <x v="0"/>
    <x v="0"/>
    <x v="5"/>
  </r>
  <r>
    <x v="1035"/>
    <x v="65"/>
    <x v="1035"/>
    <x v="0"/>
    <x v="0"/>
    <x v="0"/>
    <x v="4"/>
    <x v="980"/>
    <x v="0"/>
    <x v="0"/>
    <x v="0"/>
    <x v="6"/>
  </r>
  <r>
    <x v="1036"/>
    <x v="65"/>
    <x v="1036"/>
    <x v="0"/>
    <x v="4"/>
    <x v="11"/>
    <x v="2"/>
    <x v="981"/>
    <x v="0"/>
    <x v="0"/>
    <x v="0"/>
    <x v="18"/>
  </r>
  <r>
    <x v="1037"/>
    <x v="65"/>
    <x v="1037"/>
    <x v="3"/>
    <x v="0"/>
    <x v="4"/>
    <x v="7"/>
    <x v="982"/>
    <x v="0"/>
    <x v="0"/>
    <x v="0"/>
    <x v="13"/>
  </r>
  <r>
    <x v="1038"/>
    <x v="65"/>
    <x v="1038"/>
    <x v="0"/>
    <x v="2"/>
    <x v="2"/>
    <x v="6"/>
    <x v="545"/>
    <x v="0"/>
    <x v="0"/>
    <x v="0"/>
    <x v="13"/>
  </r>
  <r>
    <x v="1039"/>
    <x v="65"/>
    <x v="1039"/>
    <x v="0"/>
    <x v="4"/>
    <x v="11"/>
    <x v="5"/>
    <x v="983"/>
    <x v="0"/>
    <x v="0"/>
    <x v="0"/>
    <x v="14"/>
  </r>
  <r>
    <x v="1040"/>
    <x v="65"/>
    <x v="1040"/>
    <x v="0"/>
    <x v="2"/>
    <x v="2"/>
    <x v="7"/>
    <x v="984"/>
    <x v="0"/>
    <x v="0"/>
    <x v="0"/>
    <x v="15"/>
  </r>
  <r>
    <x v="1041"/>
    <x v="66"/>
    <x v="1041"/>
    <x v="7"/>
    <x v="0"/>
    <x v="53"/>
    <x v="2"/>
    <x v="985"/>
    <x v="0"/>
    <x v="0"/>
    <x v="0"/>
    <x v="11"/>
  </r>
  <r>
    <x v="1042"/>
    <x v="66"/>
    <x v="1042"/>
    <x v="2"/>
    <x v="0"/>
    <x v="59"/>
    <x v="3"/>
    <x v="986"/>
    <x v="0"/>
    <x v="0"/>
    <x v="0"/>
    <x v="11"/>
  </r>
  <r>
    <x v="1043"/>
    <x v="66"/>
    <x v="1043"/>
    <x v="5"/>
    <x v="0"/>
    <x v="14"/>
    <x v="4"/>
    <x v="987"/>
    <x v="0"/>
    <x v="0"/>
    <x v="0"/>
    <x v="11"/>
  </r>
  <r>
    <x v="1044"/>
    <x v="66"/>
    <x v="1044"/>
    <x v="3"/>
    <x v="0"/>
    <x v="4"/>
    <x v="7"/>
    <x v="988"/>
    <x v="0"/>
    <x v="0"/>
    <x v="0"/>
    <x v="11"/>
  </r>
  <r>
    <x v="1045"/>
    <x v="66"/>
    <x v="1045"/>
    <x v="7"/>
    <x v="0"/>
    <x v="53"/>
    <x v="4"/>
    <x v="989"/>
    <x v="0"/>
    <x v="0"/>
    <x v="0"/>
    <x v="0"/>
  </r>
  <r>
    <x v="1046"/>
    <x v="66"/>
    <x v="1046"/>
    <x v="5"/>
    <x v="0"/>
    <x v="14"/>
    <x v="5"/>
    <x v="990"/>
    <x v="0"/>
    <x v="0"/>
    <x v="0"/>
    <x v="0"/>
  </r>
  <r>
    <x v="1047"/>
    <x v="66"/>
    <x v="1047"/>
    <x v="4"/>
    <x v="0"/>
    <x v="6"/>
    <x v="7"/>
    <x v="991"/>
    <x v="0"/>
    <x v="0"/>
    <x v="0"/>
    <x v="1"/>
  </r>
  <r>
    <x v="1048"/>
    <x v="66"/>
    <x v="1048"/>
    <x v="2"/>
    <x v="4"/>
    <x v="72"/>
    <x v="6"/>
    <x v="992"/>
    <x v="0"/>
    <x v="0"/>
    <x v="0"/>
    <x v="3"/>
  </r>
  <r>
    <x v="1049"/>
    <x v="66"/>
    <x v="1049"/>
    <x v="0"/>
    <x v="0"/>
    <x v="0"/>
    <x v="4"/>
    <x v="993"/>
    <x v="0"/>
    <x v="0"/>
    <x v="0"/>
    <x v="4"/>
  </r>
  <r>
    <x v="1050"/>
    <x v="66"/>
    <x v="1050"/>
    <x v="0"/>
    <x v="0"/>
    <x v="0"/>
    <x v="1"/>
    <x v="994"/>
    <x v="0"/>
    <x v="0"/>
    <x v="0"/>
    <x v="5"/>
  </r>
  <r>
    <x v="1051"/>
    <x v="66"/>
    <x v="1051"/>
    <x v="4"/>
    <x v="0"/>
    <x v="6"/>
    <x v="11"/>
    <x v="995"/>
    <x v="0"/>
    <x v="0"/>
    <x v="0"/>
    <x v="22"/>
  </r>
  <r>
    <x v="1052"/>
    <x v="66"/>
    <x v="1052"/>
    <x v="0"/>
    <x v="1"/>
    <x v="28"/>
    <x v="5"/>
    <x v="996"/>
    <x v="0"/>
    <x v="0"/>
    <x v="0"/>
    <x v="7"/>
  </r>
  <r>
    <x v="1053"/>
    <x v="66"/>
    <x v="1053"/>
    <x v="3"/>
    <x v="0"/>
    <x v="4"/>
    <x v="4"/>
    <x v="997"/>
    <x v="0"/>
    <x v="0"/>
    <x v="0"/>
    <x v="13"/>
  </r>
  <r>
    <x v="1054"/>
    <x v="66"/>
    <x v="1054"/>
    <x v="3"/>
    <x v="0"/>
    <x v="4"/>
    <x v="6"/>
    <x v="998"/>
    <x v="0"/>
    <x v="0"/>
    <x v="0"/>
    <x v="9"/>
  </r>
  <r>
    <x v="1055"/>
    <x v="66"/>
    <x v="1055"/>
    <x v="4"/>
    <x v="4"/>
    <x v="7"/>
    <x v="2"/>
    <x v="999"/>
    <x v="0"/>
    <x v="0"/>
    <x v="0"/>
    <x v="9"/>
  </r>
  <r>
    <x v="1056"/>
    <x v="66"/>
    <x v="1056"/>
    <x v="4"/>
    <x v="4"/>
    <x v="7"/>
    <x v="5"/>
    <x v="1000"/>
    <x v="0"/>
    <x v="0"/>
    <x v="0"/>
    <x v="14"/>
  </r>
  <r>
    <x v="1057"/>
    <x v="67"/>
    <x v="1057"/>
    <x v="3"/>
    <x v="0"/>
    <x v="4"/>
    <x v="5"/>
    <x v="1001"/>
    <x v="0"/>
    <x v="0"/>
    <x v="0"/>
    <x v="11"/>
  </r>
  <r>
    <x v="1058"/>
    <x v="67"/>
    <x v="1058"/>
    <x v="0"/>
    <x v="1"/>
    <x v="28"/>
    <x v="1"/>
    <x v="1002"/>
    <x v="0"/>
    <x v="0"/>
    <x v="0"/>
    <x v="0"/>
  </r>
  <r>
    <x v="1059"/>
    <x v="67"/>
    <x v="1059"/>
    <x v="4"/>
    <x v="5"/>
    <x v="9"/>
    <x v="2"/>
    <x v="1003"/>
    <x v="0"/>
    <x v="0"/>
    <x v="0"/>
    <x v="0"/>
  </r>
  <r>
    <x v="1060"/>
    <x v="67"/>
    <x v="1060"/>
    <x v="6"/>
    <x v="2"/>
    <x v="44"/>
    <x v="2"/>
    <x v="1004"/>
    <x v="0"/>
    <x v="0"/>
    <x v="0"/>
    <x v="1"/>
  </r>
  <r>
    <x v="1061"/>
    <x v="67"/>
    <x v="1061"/>
    <x v="4"/>
    <x v="0"/>
    <x v="6"/>
    <x v="4"/>
    <x v="1005"/>
    <x v="0"/>
    <x v="0"/>
    <x v="0"/>
    <x v="1"/>
  </r>
  <r>
    <x v="1062"/>
    <x v="67"/>
    <x v="1062"/>
    <x v="0"/>
    <x v="10"/>
    <x v="37"/>
    <x v="7"/>
    <x v="545"/>
    <x v="0"/>
    <x v="0"/>
    <x v="0"/>
    <x v="5"/>
  </r>
  <r>
    <x v="1063"/>
    <x v="67"/>
    <x v="1063"/>
    <x v="3"/>
    <x v="0"/>
    <x v="4"/>
    <x v="7"/>
    <x v="1006"/>
    <x v="0"/>
    <x v="0"/>
    <x v="0"/>
    <x v="5"/>
  </r>
  <r>
    <x v="1064"/>
    <x v="67"/>
    <x v="1064"/>
    <x v="0"/>
    <x v="5"/>
    <x v="25"/>
    <x v="4"/>
    <x v="1007"/>
    <x v="0"/>
    <x v="0"/>
    <x v="0"/>
    <x v="7"/>
  </r>
  <r>
    <x v="1065"/>
    <x v="67"/>
    <x v="1065"/>
    <x v="4"/>
    <x v="6"/>
    <x v="12"/>
    <x v="1"/>
    <x v="1008"/>
    <x v="0"/>
    <x v="0"/>
    <x v="0"/>
    <x v="9"/>
  </r>
  <r>
    <x v="1066"/>
    <x v="67"/>
    <x v="1066"/>
    <x v="0"/>
    <x v="0"/>
    <x v="0"/>
    <x v="7"/>
    <x v="1009"/>
    <x v="0"/>
    <x v="0"/>
    <x v="0"/>
    <x v="9"/>
  </r>
  <r>
    <x v="1067"/>
    <x v="67"/>
    <x v="1067"/>
    <x v="4"/>
    <x v="4"/>
    <x v="7"/>
    <x v="2"/>
    <x v="1010"/>
    <x v="0"/>
    <x v="0"/>
    <x v="0"/>
    <x v="14"/>
  </r>
  <r>
    <x v="1068"/>
    <x v="67"/>
    <x v="1068"/>
    <x v="0"/>
    <x v="4"/>
    <x v="11"/>
    <x v="0"/>
    <x v="1011"/>
    <x v="0"/>
    <x v="0"/>
    <x v="0"/>
    <x v="14"/>
  </r>
  <r>
    <x v="1069"/>
    <x v="67"/>
    <x v="1069"/>
    <x v="4"/>
    <x v="0"/>
    <x v="6"/>
    <x v="5"/>
    <x v="1012"/>
    <x v="0"/>
    <x v="0"/>
    <x v="0"/>
    <x v="15"/>
  </r>
  <r>
    <x v="1070"/>
    <x v="67"/>
    <x v="1070"/>
    <x v="4"/>
    <x v="4"/>
    <x v="7"/>
    <x v="8"/>
    <x v="1013"/>
    <x v="0"/>
    <x v="0"/>
    <x v="0"/>
    <x v="20"/>
  </r>
  <r>
    <x v="1071"/>
    <x v="68"/>
    <x v="1071"/>
    <x v="5"/>
    <x v="0"/>
    <x v="14"/>
    <x v="1"/>
    <x v="1014"/>
    <x v="0"/>
    <x v="0"/>
    <x v="0"/>
    <x v="11"/>
  </r>
  <r>
    <x v="1072"/>
    <x v="68"/>
    <x v="1072"/>
    <x v="6"/>
    <x v="4"/>
    <x v="39"/>
    <x v="7"/>
    <x v="1015"/>
    <x v="0"/>
    <x v="0"/>
    <x v="0"/>
    <x v="12"/>
  </r>
  <r>
    <x v="1073"/>
    <x v="68"/>
    <x v="1073"/>
    <x v="4"/>
    <x v="3"/>
    <x v="55"/>
    <x v="6"/>
    <x v="1016"/>
    <x v="0"/>
    <x v="0"/>
    <x v="0"/>
    <x v="0"/>
  </r>
  <r>
    <x v="1074"/>
    <x v="68"/>
    <x v="1074"/>
    <x v="3"/>
    <x v="15"/>
    <x v="73"/>
    <x v="2"/>
    <x v="1017"/>
    <x v="0"/>
    <x v="0"/>
    <x v="0"/>
    <x v="5"/>
  </r>
  <r>
    <x v="1075"/>
    <x v="68"/>
    <x v="1075"/>
    <x v="0"/>
    <x v="0"/>
    <x v="0"/>
    <x v="4"/>
    <x v="1018"/>
    <x v="0"/>
    <x v="0"/>
    <x v="0"/>
    <x v="5"/>
  </r>
  <r>
    <x v="1076"/>
    <x v="68"/>
    <x v="1076"/>
    <x v="0"/>
    <x v="0"/>
    <x v="0"/>
    <x v="2"/>
    <x v="545"/>
    <x v="0"/>
    <x v="0"/>
    <x v="0"/>
    <x v="5"/>
  </r>
  <r>
    <x v="1077"/>
    <x v="68"/>
    <x v="1077"/>
    <x v="4"/>
    <x v="0"/>
    <x v="6"/>
    <x v="7"/>
    <x v="1019"/>
    <x v="0"/>
    <x v="0"/>
    <x v="0"/>
    <x v="7"/>
  </r>
  <r>
    <x v="1078"/>
    <x v="68"/>
    <x v="1078"/>
    <x v="0"/>
    <x v="0"/>
    <x v="0"/>
    <x v="7"/>
    <x v="1020"/>
    <x v="0"/>
    <x v="0"/>
    <x v="0"/>
    <x v="7"/>
  </r>
  <r>
    <x v="1079"/>
    <x v="68"/>
    <x v="1079"/>
    <x v="4"/>
    <x v="6"/>
    <x v="12"/>
    <x v="3"/>
    <x v="1021"/>
    <x v="0"/>
    <x v="0"/>
    <x v="0"/>
    <x v="9"/>
  </r>
  <r>
    <x v="1080"/>
    <x v="68"/>
    <x v="1080"/>
    <x v="3"/>
    <x v="4"/>
    <x v="16"/>
    <x v="6"/>
    <x v="1022"/>
    <x v="0"/>
    <x v="0"/>
    <x v="0"/>
    <x v="10"/>
  </r>
  <r>
    <x v="1081"/>
    <x v="69"/>
    <x v="1081"/>
    <x v="6"/>
    <x v="0"/>
    <x v="21"/>
    <x v="3"/>
    <x v="1023"/>
    <x v="0"/>
    <x v="0"/>
    <x v="0"/>
    <x v="11"/>
  </r>
  <r>
    <x v="1082"/>
    <x v="69"/>
    <x v="1082"/>
    <x v="0"/>
    <x v="0"/>
    <x v="0"/>
    <x v="2"/>
    <x v="1024"/>
    <x v="0"/>
    <x v="0"/>
    <x v="0"/>
    <x v="0"/>
  </r>
  <r>
    <x v="1083"/>
    <x v="69"/>
    <x v="1083"/>
    <x v="0"/>
    <x v="0"/>
    <x v="0"/>
    <x v="7"/>
    <x v="1025"/>
    <x v="0"/>
    <x v="0"/>
    <x v="0"/>
    <x v="0"/>
  </r>
  <r>
    <x v="1084"/>
    <x v="69"/>
    <x v="1084"/>
    <x v="3"/>
    <x v="0"/>
    <x v="4"/>
    <x v="5"/>
    <x v="1026"/>
    <x v="0"/>
    <x v="0"/>
    <x v="0"/>
    <x v="1"/>
  </r>
  <r>
    <x v="1085"/>
    <x v="69"/>
    <x v="1085"/>
    <x v="10"/>
    <x v="0"/>
    <x v="48"/>
    <x v="6"/>
    <x v="1027"/>
    <x v="0"/>
    <x v="0"/>
    <x v="0"/>
    <x v="1"/>
  </r>
  <r>
    <x v="1086"/>
    <x v="69"/>
    <x v="1086"/>
    <x v="6"/>
    <x v="2"/>
    <x v="44"/>
    <x v="5"/>
    <x v="545"/>
    <x v="0"/>
    <x v="0"/>
    <x v="0"/>
    <x v="1"/>
  </r>
  <r>
    <x v="1087"/>
    <x v="69"/>
    <x v="1087"/>
    <x v="0"/>
    <x v="1"/>
    <x v="28"/>
    <x v="4"/>
    <x v="1028"/>
    <x v="0"/>
    <x v="0"/>
    <x v="0"/>
    <x v="2"/>
  </r>
  <r>
    <x v="1088"/>
    <x v="69"/>
    <x v="1088"/>
    <x v="4"/>
    <x v="2"/>
    <x v="20"/>
    <x v="5"/>
    <x v="1029"/>
    <x v="0"/>
    <x v="0"/>
    <x v="0"/>
    <x v="2"/>
  </r>
  <r>
    <x v="1089"/>
    <x v="69"/>
    <x v="1089"/>
    <x v="0"/>
    <x v="0"/>
    <x v="0"/>
    <x v="2"/>
    <x v="545"/>
    <x v="0"/>
    <x v="0"/>
    <x v="0"/>
    <x v="3"/>
  </r>
  <r>
    <x v="1090"/>
    <x v="69"/>
    <x v="1090"/>
    <x v="0"/>
    <x v="1"/>
    <x v="28"/>
    <x v="9"/>
    <x v="1030"/>
    <x v="0"/>
    <x v="0"/>
    <x v="0"/>
    <x v="17"/>
  </r>
  <r>
    <x v="1091"/>
    <x v="69"/>
    <x v="1091"/>
    <x v="0"/>
    <x v="0"/>
    <x v="0"/>
    <x v="2"/>
    <x v="545"/>
    <x v="0"/>
    <x v="0"/>
    <x v="0"/>
    <x v="5"/>
  </r>
  <r>
    <x v="1092"/>
    <x v="69"/>
    <x v="1092"/>
    <x v="0"/>
    <x v="1"/>
    <x v="28"/>
    <x v="0"/>
    <x v="1031"/>
    <x v="0"/>
    <x v="0"/>
    <x v="0"/>
    <x v="6"/>
  </r>
  <r>
    <x v="1093"/>
    <x v="69"/>
    <x v="1093"/>
    <x v="3"/>
    <x v="0"/>
    <x v="4"/>
    <x v="2"/>
    <x v="1032"/>
    <x v="0"/>
    <x v="0"/>
    <x v="0"/>
    <x v="18"/>
  </r>
  <r>
    <x v="1094"/>
    <x v="69"/>
    <x v="1094"/>
    <x v="0"/>
    <x v="10"/>
    <x v="37"/>
    <x v="5"/>
    <x v="1033"/>
    <x v="0"/>
    <x v="0"/>
    <x v="0"/>
    <x v="7"/>
  </r>
  <r>
    <x v="1095"/>
    <x v="69"/>
    <x v="1095"/>
    <x v="0"/>
    <x v="0"/>
    <x v="0"/>
    <x v="7"/>
    <x v="1034"/>
    <x v="0"/>
    <x v="0"/>
    <x v="0"/>
    <x v="7"/>
  </r>
  <r>
    <x v="1096"/>
    <x v="69"/>
    <x v="1096"/>
    <x v="4"/>
    <x v="0"/>
    <x v="6"/>
    <x v="7"/>
    <x v="545"/>
    <x v="0"/>
    <x v="0"/>
    <x v="0"/>
    <x v="13"/>
  </r>
  <r>
    <x v="1097"/>
    <x v="69"/>
    <x v="1097"/>
    <x v="3"/>
    <x v="1"/>
    <x v="13"/>
    <x v="5"/>
    <x v="1035"/>
    <x v="0"/>
    <x v="0"/>
    <x v="0"/>
    <x v="13"/>
  </r>
  <r>
    <x v="1098"/>
    <x v="69"/>
    <x v="1098"/>
    <x v="0"/>
    <x v="0"/>
    <x v="0"/>
    <x v="1"/>
    <x v="1036"/>
    <x v="0"/>
    <x v="0"/>
    <x v="0"/>
    <x v="14"/>
  </r>
  <r>
    <x v="1099"/>
    <x v="70"/>
    <x v="1099"/>
    <x v="5"/>
    <x v="1"/>
    <x v="23"/>
    <x v="4"/>
    <x v="1037"/>
    <x v="0"/>
    <x v="0"/>
    <x v="0"/>
    <x v="11"/>
  </r>
  <r>
    <x v="1100"/>
    <x v="70"/>
    <x v="1100"/>
    <x v="10"/>
    <x v="0"/>
    <x v="48"/>
    <x v="6"/>
    <x v="1038"/>
    <x v="0"/>
    <x v="0"/>
    <x v="0"/>
    <x v="11"/>
  </r>
  <r>
    <x v="1101"/>
    <x v="70"/>
    <x v="1101"/>
    <x v="5"/>
    <x v="0"/>
    <x v="14"/>
    <x v="7"/>
    <x v="1039"/>
    <x v="0"/>
    <x v="0"/>
    <x v="0"/>
    <x v="11"/>
  </r>
  <r>
    <x v="1102"/>
    <x v="70"/>
    <x v="1102"/>
    <x v="3"/>
    <x v="0"/>
    <x v="4"/>
    <x v="2"/>
    <x v="1040"/>
    <x v="0"/>
    <x v="0"/>
    <x v="0"/>
    <x v="0"/>
  </r>
  <r>
    <x v="1103"/>
    <x v="70"/>
    <x v="1103"/>
    <x v="0"/>
    <x v="2"/>
    <x v="2"/>
    <x v="5"/>
    <x v="545"/>
    <x v="0"/>
    <x v="0"/>
    <x v="0"/>
    <x v="2"/>
  </r>
  <r>
    <x v="1104"/>
    <x v="70"/>
    <x v="1104"/>
    <x v="0"/>
    <x v="0"/>
    <x v="0"/>
    <x v="4"/>
    <x v="545"/>
    <x v="0"/>
    <x v="0"/>
    <x v="0"/>
    <x v="2"/>
  </r>
  <r>
    <x v="1105"/>
    <x v="70"/>
    <x v="1105"/>
    <x v="7"/>
    <x v="4"/>
    <x v="68"/>
    <x v="7"/>
    <x v="1041"/>
    <x v="0"/>
    <x v="0"/>
    <x v="0"/>
    <x v="4"/>
  </r>
  <r>
    <x v="1106"/>
    <x v="70"/>
    <x v="1106"/>
    <x v="0"/>
    <x v="0"/>
    <x v="0"/>
    <x v="10"/>
    <x v="1042"/>
    <x v="0"/>
    <x v="0"/>
    <x v="0"/>
    <x v="5"/>
  </r>
  <r>
    <x v="1107"/>
    <x v="70"/>
    <x v="1107"/>
    <x v="0"/>
    <x v="0"/>
    <x v="0"/>
    <x v="2"/>
    <x v="1043"/>
    <x v="0"/>
    <x v="0"/>
    <x v="0"/>
    <x v="5"/>
  </r>
  <r>
    <x v="1108"/>
    <x v="70"/>
    <x v="1108"/>
    <x v="4"/>
    <x v="2"/>
    <x v="20"/>
    <x v="6"/>
    <x v="1044"/>
    <x v="0"/>
    <x v="0"/>
    <x v="0"/>
    <x v="6"/>
  </r>
  <r>
    <x v="1109"/>
    <x v="70"/>
    <x v="1109"/>
    <x v="4"/>
    <x v="0"/>
    <x v="6"/>
    <x v="5"/>
    <x v="1045"/>
    <x v="0"/>
    <x v="0"/>
    <x v="0"/>
    <x v="7"/>
  </r>
  <r>
    <x v="1110"/>
    <x v="70"/>
    <x v="1110"/>
    <x v="4"/>
    <x v="0"/>
    <x v="6"/>
    <x v="7"/>
    <x v="1046"/>
    <x v="0"/>
    <x v="0"/>
    <x v="0"/>
    <x v="13"/>
  </r>
  <r>
    <x v="1111"/>
    <x v="70"/>
    <x v="1111"/>
    <x v="0"/>
    <x v="2"/>
    <x v="2"/>
    <x v="5"/>
    <x v="1047"/>
    <x v="0"/>
    <x v="0"/>
    <x v="0"/>
    <x v="13"/>
  </r>
  <r>
    <x v="1112"/>
    <x v="70"/>
    <x v="1112"/>
    <x v="4"/>
    <x v="0"/>
    <x v="6"/>
    <x v="9"/>
    <x v="1048"/>
    <x v="0"/>
    <x v="0"/>
    <x v="0"/>
    <x v="9"/>
  </r>
  <r>
    <x v="1113"/>
    <x v="70"/>
    <x v="1113"/>
    <x v="4"/>
    <x v="0"/>
    <x v="6"/>
    <x v="13"/>
    <x v="1049"/>
    <x v="0"/>
    <x v="0"/>
    <x v="0"/>
    <x v="9"/>
  </r>
  <r>
    <x v="1114"/>
    <x v="70"/>
    <x v="1114"/>
    <x v="0"/>
    <x v="4"/>
    <x v="11"/>
    <x v="9"/>
    <x v="1050"/>
    <x v="0"/>
    <x v="0"/>
    <x v="0"/>
    <x v="14"/>
  </r>
  <r>
    <x v="1115"/>
    <x v="71"/>
    <x v="1115"/>
    <x v="10"/>
    <x v="0"/>
    <x v="48"/>
    <x v="6"/>
    <x v="1051"/>
    <x v="0"/>
    <x v="0"/>
    <x v="0"/>
    <x v="11"/>
  </r>
  <r>
    <x v="1116"/>
    <x v="71"/>
    <x v="1116"/>
    <x v="1"/>
    <x v="4"/>
    <x v="35"/>
    <x v="14"/>
    <x v="1052"/>
    <x v="0"/>
    <x v="0"/>
    <x v="0"/>
    <x v="11"/>
  </r>
  <r>
    <x v="1117"/>
    <x v="71"/>
    <x v="1117"/>
    <x v="5"/>
    <x v="1"/>
    <x v="23"/>
    <x v="4"/>
    <x v="1053"/>
    <x v="0"/>
    <x v="0"/>
    <x v="0"/>
    <x v="12"/>
  </r>
  <r>
    <x v="1118"/>
    <x v="71"/>
    <x v="1118"/>
    <x v="3"/>
    <x v="0"/>
    <x v="4"/>
    <x v="1"/>
    <x v="1054"/>
    <x v="0"/>
    <x v="0"/>
    <x v="0"/>
    <x v="0"/>
  </r>
  <r>
    <x v="1119"/>
    <x v="71"/>
    <x v="1119"/>
    <x v="3"/>
    <x v="3"/>
    <x v="67"/>
    <x v="4"/>
    <x v="1055"/>
    <x v="0"/>
    <x v="0"/>
    <x v="0"/>
    <x v="0"/>
  </r>
  <r>
    <x v="1120"/>
    <x v="71"/>
    <x v="1120"/>
    <x v="0"/>
    <x v="0"/>
    <x v="0"/>
    <x v="1"/>
    <x v="1056"/>
    <x v="0"/>
    <x v="0"/>
    <x v="0"/>
    <x v="2"/>
  </r>
  <r>
    <x v="1121"/>
    <x v="71"/>
    <x v="1121"/>
    <x v="0"/>
    <x v="5"/>
    <x v="25"/>
    <x v="5"/>
    <x v="1057"/>
    <x v="0"/>
    <x v="0"/>
    <x v="0"/>
    <x v="5"/>
  </r>
  <r>
    <x v="1122"/>
    <x v="71"/>
    <x v="1122"/>
    <x v="0"/>
    <x v="0"/>
    <x v="0"/>
    <x v="6"/>
    <x v="1058"/>
    <x v="0"/>
    <x v="0"/>
    <x v="0"/>
    <x v="5"/>
  </r>
  <r>
    <x v="1123"/>
    <x v="71"/>
    <x v="1123"/>
    <x v="0"/>
    <x v="0"/>
    <x v="0"/>
    <x v="4"/>
    <x v="1059"/>
    <x v="0"/>
    <x v="0"/>
    <x v="0"/>
    <x v="5"/>
  </r>
  <r>
    <x v="1124"/>
    <x v="71"/>
    <x v="1124"/>
    <x v="3"/>
    <x v="0"/>
    <x v="4"/>
    <x v="4"/>
    <x v="1060"/>
    <x v="0"/>
    <x v="0"/>
    <x v="0"/>
    <x v="7"/>
  </r>
  <r>
    <x v="1125"/>
    <x v="71"/>
    <x v="1125"/>
    <x v="4"/>
    <x v="1"/>
    <x v="5"/>
    <x v="4"/>
    <x v="1061"/>
    <x v="0"/>
    <x v="0"/>
    <x v="0"/>
    <x v="9"/>
  </r>
  <r>
    <x v="1126"/>
    <x v="71"/>
    <x v="1126"/>
    <x v="0"/>
    <x v="4"/>
    <x v="11"/>
    <x v="2"/>
    <x v="1062"/>
    <x v="0"/>
    <x v="0"/>
    <x v="0"/>
    <x v="14"/>
  </r>
  <r>
    <x v="1127"/>
    <x v="71"/>
    <x v="1127"/>
    <x v="0"/>
    <x v="4"/>
    <x v="11"/>
    <x v="0"/>
    <x v="1063"/>
    <x v="0"/>
    <x v="0"/>
    <x v="0"/>
    <x v="14"/>
  </r>
  <r>
    <x v="1128"/>
    <x v="72"/>
    <x v="1128"/>
    <x v="5"/>
    <x v="0"/>
    <x v="14"/>
    <x v="5"/>
    <x v="1064"/>
    <x v="0"/>
    <x v="0"/>
    <x v="0"/>
    <x v="11"/>
  </r>
  <r>
    <x v="1129"/>
    <x v="72"/>
    <x v="1129"/>
    <x v="6"/>
    <x v="0"/>
    <x v="21"/>
    <x v="0"/>
    <x v="1065"/>
    <x v="0"/>
    <x v="0"/>
    <x v="0"/>
    <x v="11"/>
  </r>
  <r>
    <x v="1130"/>
    <x v="72"/>
    <x v="1130"/>
    <x v="3"/>
    <x v="0"/>
    <x v="4"/>
    <x v="7"/>
    <x v="1066"/>
    <x v="0"/>
    <x v="0"/>
    <x v="0"/>
    <x v="0"/>
  </r>
  <r>
    <x v="1131"/>
    <x v="72"/>
    <x v="1131"/>
    <x v="4"/>
    <x v="0"/>
    <x v="6"/>
    <x v="7"/>
    <x v="1067"/>
    <x v="0"/>
    <x v="0"/>
    <x v="0"/>
    <x v="1"/>
  </r>
  <r>
    <x v="1132"/>
    <x v="72"/>
    <x v="1132"/>
    <x v="6"/>
    <x v="0"/>
    <x v="21"/>
    <x v="9"/>
    <x v="1068"/>
    <x v="0"/>
    <x v="0"/>
    <x v="0"/>
    <x v="1"/>
  </r>
  <r>
    <x v="1133"/>
    <x v="72"/>
    <x v="1133"/>
    <x v="0"/>
    <x v="4"/>
    <x v="11"/>
    <x v="5"/>
    <x v="1069"/>
    <x v="0"/>
    <x v="0"/>
    <x v="0"/>
    <x v="3"/>
  </r>
  <r>
    <x v="1134"/>
    <x v="72"/>
    <x v="1134"/>
    <x v="3"/>
    <x v="0"/>
    <x v="4"/>
    <x v="5"/>
    <x v="1070"/>
    <x v="0"/>
    <x v="0"/>
    <x v="0"/>
    <x v="22"/>
  </r>
  <r>
    <x v="1135"/>
    <x v="72"/>
    <x v="1135"/>
    <x v="4"/>
    <x v="0"/>
    <x v="6"/>
    <x v="4"/>
    <x v="1071"/>
    <x v="0"/>
    <x v="0"/>
    <x v="0"/>
    <x v="18"/>
  </r>
  <r>
    <x v="1136"/>
    <x v="72"/>
    <x v="1136"/>
    <x v="0"/>
    <x v="0"/>
    <x v="0"/>
    <x v="5"/>
    <x v="1072"/>
    <x v="0"/>
    <x v="0"/>
    <x v="0"/>
    <x v="13"/>
  </r>
  <r>
    <x v="1137"/>
    <x v="72"/>
    <x v="1137"/>
    <x v="4"/>
    <x v="4"/>
    <x v="7"/>
    <x v="6"/>
    <x v="1073"/>
    <x v="0"/>
    <x v="0"/>
    <x v="0"/>
    <x v="20"/>
  </r>
  <r>
    <x v="1138"/>
    <x v="72"/>
    <x v="1138"/>
    <x v="0"/>
    <x v="4"/>
    <x v="11"/>
    <x v="3"/>
    <x v="1074"/>
    <x v="0"/>
    <x v="0"/>
    <x v="0"/>
    <x v="25"/>
  </r>
  <r>
    <x v="1139"/>
    <x v="73"/>
    <x v="1139"/>
    <x v="4"/>
    <x v="0"/>
    <x v="6"/>
    <x v="5"/>
    <x v="1075"/>
    <x v="0"/>
    <x v="0"/>
    <x v="0"/>
    <x v="0"/>
  </r>
  <r>
    <x v="1140"/>
    <x v="73"/>
    <x v="1140"/>
    <x v="6"/>
    <x v="0"/>
    <x v="21"/>
    <x v="2"/>
    <x v="1076"/>
    <x v="0"/>
    <x v="0"/>
    <x v="0"/>
    <x v="2"/>
  </r>
  <r>
    <x v="1141"/>
    <x v="73"/>
    <x v="1141"/>
    <x v="0"/>
    <x v="0"/>
    <x v="0"/>
    <x v="7"/>
    <x v="1077"/>
    <x v="0"/>
    <x v="0"/>
    <x v="0"/>
    <x v="2"/>
  </r>
  <r>
    <x v="1142"/>
    <x v="73"/>
    <x v="1142"/>
    <x v="0"/>
    <x v="0"/>
    <x v="0"/>
    <x v="2"/>
    <x v="545"/>
    <x v="0"/>
    <x v="0"/>
    <x v="0"/>
    <x v="5"/>
  </r>
  <r>
    <x v="1143"/>
    <x v="73"/>
    <x v="1143"/>
    <x v="0"/>
    <x v="6"/>
    <x v="10"/>
    <x v="4"/>
    <x v="1078"/>
    <x v="0"/>
    <x v="0"/>
    <x v="9"/>
    <x v="6"/>
  </r>
  <r>
    <x v="1144"/>
    <x v="73"/>
    <x v="1144"/>
    <x v="0"/>
    <x v="4"/>
    <x v="11"/>
    <x v="5"/>
    <x v="1079"/>
    <x v="0"/>
    <x v="0"/>
    <x v="0"/>
    <x v="18"/>
  </r>
  <r>
    <x v="1145"/>
    <x v="73"/>
    <x v="1145"/>
    <x v="3"/>
    <x v="5"/>
    <x v="8"/>
    <x v="4"/>
    <x v="1080"/>
    <x v="0"/>
    <x v="0"/>
    <x v="0"/>
    <x v="7"/>
  </r>
  <r>
    <x v="1146"/>
    <x v="73"/>
    <x v="1146"/>
    <x v="0"/>
    <x v="0"/>
    <x v="0"/>
    <x v="5"/>
    <x v="1081"/>
    <x v="0"/>
    <x v="0"/>
    <x v="0"/>
    <x v="7"/>
  </r>
  <r>
    <x v="1147"/>
    <x v="73"/>
    <x v="1147"/>
    <x v="3"/>
    <x v="0"/>
    <x v="4"/>
    <x v="5"/>
    <x v="1082"/>
    <x v="0"/>
    <x v="0"/>
    <x v="0"/>
    <x v="13"/>
  </r>
  <r>
    <x v="1148"/>
    <x v="73"/>
    <x v="1148"/>
    <x v="0"/>
    <x v="4"/>
    <x v="11"/>
    <x v="6"/>
    <x v="545"/>
    <x v="0"/>
    <x v="0"/>
    <x v="0"/>
    <x v="9"/>
  </r>
  <r>
    <x v="1149"/>
    <x v="73"/>
    <x v="1149"/>
    <x v="4"/>
    <x v="6"/>
    <x v="12"/>
    <x v="4"/>
    <x v="1083"/>
    <x v="0"/>
    <x v="0"/>
    <x v="0"/>
    <x v="9"/>
  </r>
  <r>
    <x v="1150"/>
    <x v="73"/>
    <x v="1150"/>
    <x v="0"/>
    <x v="0"/>
    <x v="0"/>
    <x v="5"/>
    <x v="1084"/>
    <x v="0"/>
    <x v="0"/>
    <x v="0"/>
    <x v="10"/>
  </r>
  <r>
    <x v="1151"/>
    <x v="73"/>
    <x v="1151"/>
    <x v="4"/>
    <x v="0"/>
    <x v="6"/>
    <x v="7"/>
    <x v="1085"/>
    <x v="0"/>
    <x v="0"/>
    <x v="0"/>
    <x v="10"/>
  </r>
  <r>
    <x v="1152"/>
    <x v="74"/>
    <x v="1152"/>
    <x v="5"/>
    <x v="1"/>
    <x v="23"/>
    <x v="7"/>
    <x v="1086"/>
    <x v="0"/>
    <x v="0"/>
    <x v="0"/>
    <x v="11"/>
  </r>
  <r>
    <x v="1153"/>
    <x v="74"/>
    <x v="1153"/>
    <x v="7"/>
    <x v="3"/>
    <x v="69"/>
    <x v="2"/>
    <x v="1087"/>
    <x v="0"/>
    <x v="0"/>
    <x v="0"/>
    <x v="12"/>
  </r>
  <r>
    <x v="1154"/>
    <x v="74"/>
    <x v="1154"/>
    <x v="9"/>
    <x v="0"/>
    <x v="31"/>
    <x v="4"/>
    <x v="1088"/>
    <x v="0"/>
    <x v="0"/>
    <x v="0"/>
    <x v="0"/>
  </r>
  <r>
    <x v="1155"/>
    <x v="74"/>
    <x v="1155"/>
    <x v="3"/>
    <x v="0"/>
    <x v="4"/>
    <x v="9"/>
    <x v="1089"/>
    <x v="0"/>
    <x v="0"/>
    <x v="0"/>
    <x v="0"/>
  </r>
  <r>
    <x v="1156"/>
    <x v="74"/>
    <x v="1156"/>
    <x v="5"/>
    <x v="0"/>
    <x v="14"/>
    <x v="2"/>
    <x v="1090"/>
    <x v="0"/>
    <x v="0"/>
    <x v="0"/>
    <x v="0"/>
  </r>
  <r>
    <x v="1157"/>
    <x v="74"/>
    <x v="1157"/>
    <x v="0"/>
    <x v="0"/>
    <x v="0"/>
    <x v="4"/>
    <x v="545"/>
    <x v="0"/>
    <x v="0"/>
    <x v="0"/>
    <x v="1"/>
  </r>
  <r>
    <x v="1158"/>
    <x v="74"/>
    <x v="1158"/>
    <x v="4"/>
    <x v="0"/>
    <x v="6"/>
    <x v="7"/>
    <x v="1091"/>
    <x v="0"/>
    <x v="0"/>
    <x v="0"/>
    <x v="2"/>
  </r>
  <r>
    <x v="1159"/>
    <x v="74"/>
    <x v="1159"/>
    <x v="10"/>
    <x v="1"/>
    <x v="65"/>
    <x v="5"/>
    <x v="1092"/>
    <x v="0"/>
    <x v="0"/>
    <x v="0"/>
    <x v="2"/>
  </r>
  <r>
    <x v="1160"/>
    <x v="74"/>
    <x v="1160"/>
    <x v="0"/>
    <x v="4"/>
    <x v="11"/>
    <x v="6"/>
    <x v="1093"/>
    <x v="0"/>
    <x v="0"/>
    <x v="0"/>
    <x v="3"/>
  </r>
  <r>
    <x v="1161"/>
    <x v="74"/>
    <x v="1161"/>
    <x v="8"/>
    <x v="4"/>
    <x v="74"/>
    <x v="4"/>
    <x v="1094"/>
    <x v="0"/>
    <x v="0"/>
    <x v="0"/>
    <x v="4"/>
  </r>
  <r>
    <x v="1162"/>
    <x v="74"/>
    <x v="1162"/>
    <x v="0"/>
    <x v="6"/>
    <x v="10"/>
    <x v="3"/>
    <x v="1095"/>
    <x v="0"/>
    <x v="0"/>
    <x v="0"/>
    <x v="17"/>
  </r>
  <r>
    <x v="1163"/>
    <x v="74"/>
    <x v="1163"/>
    <x v="0"/>
    <x v="0"/>
    <x v="0"/>
    <x v="5"/>
    <x v="1096"/>
    <x v="0"/>
    <x v="0"/>
    <x v="0"/>
    <x v="22"/>
  </r>
  <r>
    <x v="1164"/>
    <x v="74"/>
    <x v="1164"/>
    <x v="0"/>
    <x v="0"/>
    <x v="0"/>
    <x v="4"/>
    <x v="1097"/>
    <x v="0"/>
    <x v="0"/>
    <x v="0"/>
    <x v="13"/>
  </r>
  <r>
    <x v="1165"/>
    <x v="74"/>
    <x v="1165"/>
    <x v="0"/>
    <x v="0"/>
    <x v="0"/>
    <x v="0"/>
    <x v="1098"/>
    <x v="0"/>
    <x v="0"/>
    <x v="0"/>
    <x v="10"/>
  </r>
  <r>
    <x v="1166"/>
    <x v="74"/>
    <x v="1166"/>
    <x v="0"/>
    <x v="4"/>
    <x v="11"/>
    <x v="8"/>
    <x v="1099"/>
    <x v="0"/>
    <x v="0"/>
    <x v="0"/>
    <x v="20"/>
  </r>
  <r>
    <x v="1167"/>
    <x v="75"/>
    <x v="1167"/>
    <x v="6"/>
    <x v="5"/>
    <x v="43"/>
    <x v="15"/>
    <x v="1100"/>
    <x v="0"/>
    <x v="0"/>
    <x v="0"/>
    <x v="11"/>
  </r>
  <r>
    <x v="1168"/>
    <x v="75"/>
    <x v="1168"/>
    <x v="6"/>
    <x v="5"/>
    <x v="43"/>
    <x v="3"/>
    <x v="1101"/>
    <x v="0"/>
    <x v="0"/>
    <x v="0"/>
    <x v="11"/>
  </r>
  <r>
    <x v="1169"/>
    <x v="75"/>
    <x v="1169"/>
    <x v="1"/>
    <x v="0"/>
    <x v="24"/>
    <x v="0"/>
    <x v="1102"/>
    <x v="0"/>
    <x v="0"/>
    <x v="0"/>
    <x v="0"/>
  </r>
  <r>
    <x v="1170"/>
    <x v="75"/>
    <x v="1170"/>
    <x v="1"/>
    <x v="0"/>
    <x v="24"/>
    <x v="2"/>
    <x v="1103"/>
    <x v="0"/>
    <x v="0"/>
    <x v="0"/>
    <x v="1"/>
  </r>
  <r>
    <x v="1171"/>
    <x v="75"/>
    <x v="1171"/>
    <x v="6"/>
    <x v="1"/>
    <x v="19"/>
    <x v="4"/>
    <x v="1104"/>
    <x v="0"/>
    <x v="0"/>
    <x v="0"/>
    <x v="2"/>
  </r>
  <r>
    <x v="1172"/>
    <x v="75"/>
    <x v="1172"/>
    <x v="0"/>
    <x v="0"/>
    <x v="0"/>
    <x v="1"/>
    <x v="1105"/>
    <x v="0"/>
    <x v="0"/>
    <x v="0"/>
    <x v="5"/>
  </r>
  <r>
    <x v="1173"/>
    <x v="75"/>
    <x v="1173"/>
    <x v="0"/>
    <x v="4"/>
    <x v="11"/>
    <x v="4"/>
    <x v="1106"/>
    <x v="0"/>
    <x v="0"/>
    <x v="0"/>
    <x v="16"/>
  </r>
  <r>
    <x v="1174"/>
    <x v="75"/>
    <x v="1174"/>
    <x v="0"/>
    <x v="0"/>
    <x v="0"/>
    <x v="4"/>
    <x v="1107"/>
    <x v="0"/>
    <x v="0"/>
    <x v="0"/>
    <x v="7"/>
  </r>
  <r>
    <x v="1175"/>
    <x v="75"/>
    <x v="1175"/>
    <x v="3"/>
    <x v="0"/>
    <x v="4"/>
    <x v="2"/>
    <x v="1108"/>
    <x v="0"/>
    <x v="0"/>
    <x v="0"/>
    <x v="9"/>
  </r>
  <r>
    <x v="1176"/>
    <x v="75"/>
    <x v="1176"/>
    <x v="4"/>
    <x v="0"/>
    <x v="6"/>
    <x v="4"/>
    <x v="1109"/>
    <x v="0"/>
    <x v="0"/>
    <x v="0"/>
    <x v="10"/>
  </r>
  <r>
    <x v="1177"/>
    <x v="76"/>
    <x v="1177"/>
    <x v="6"/>
    <x v="5"/>
    <x v="43"/>
    <x v="4"/>
    <x v="1110"/>
    <x v="0"/>
    <x v="0"/>
    <x v="0"/>
    <x v="11"/>
  </r>
  <r>
    <x v="1178"/>
    <x v="76"/>
    <x v="1178"/>
    <x v="4"/>
    <x v="3"/>
    <x v="55"/>
    <x v="4"/>
    <x v="1111"/>
    <x v="0"/>
    <x v="0"/>
    <x v="0"/>
    <x v="12"/>
  </r>
  <r>
    <x v="1179"/>
    <x v="76"/>
    <x v="1179"/>
    <x v="4"/>
    <x v="3"/>
    <x v="55"/>
    <x v="6"/>
    <x v="1112"/>
    <x v="0"/>
    <x v="0"/>
    <x v="0"/>
    <x v="0"/>
  </r>
  <r>
    <x v="1180"/>
    <x v="76"/>
    <x v="1180"/>
    <x v="7"/>
    <x v="10"/>
    <x v="75"/>
    <x v="7"/>
    <x v="1113"/>
    <x v="0"/>
    <x v="0"/>
    <x v="0"/>
    <x v="0"/>
  </r>
  <r>
    <x v="1181"/>
    <x v="76"/>
    <x v="1181"/>
    <x v="0"/>
    <x v="4"/>
    <x v="11"/>
    <x v="1"/>
    <x v="545"/>
    <x v="0"/>
    <x v="0"/>
    <x v="0"/>
    <x v="1"/>
  </r>
  <r>
    <x v="1182"/>
    <x v="76"/>
    <x v="1182"/>
    <x v="3"/>
    <x v="0"/>
    <x v="4"/>
    <x v="6"/>
    <x v="1114"/>
    <x v="0"/>
    <x v="0"/>
    <x v="0"/>
    <x v="3"/>
  </r>
  <r>
    <x v="1183"/>
    <x v="76"/>
    <x v="1183"/>
    <x v="6"/>
    <x v="6"/>
    <x v="63"/>
    <x v="4"/>
    <x v="1115"/>
    <x v="0"/>
    <x v="0"/>
    <x v="0"/>
    <x v="4"/>
  </r>
  <r>
    <x v="1184"/>
    <x v="76"/>
    <x v="1184"/>
    <x v="3"/>
    <x v="0"/>
    <x v="4"/>
    <x v="2"/>
    <x v="1116"/>
    <x v="0"/>
    <x v="0"/>
    <x v="0"/>
    <x v="5"/>
  </r>
  <r>
    <x v="1185"/>
    <x v="76"/>
    <x v="1185"/>
    <x v="0"/>
    <x v="0"/>
    <x v="0"/>
    <x v="5"/>
    <x v="545"/>
    <x v="0"/>
    <x v="0"/>
    <x v="0"/>
    <x v="5"/>
  </r>
  <r>
    <x v="1186"/>
    <x v="76"/>
    <x v="1186"/>
    <x v="3"/>
    <x v="0"/>
    <x v="4"/>
    <x v="5"/>
    <x v="1117"/>
    <x v="0"/>
    <x v="0"/>
    <x v="0"/>
    <x v="7"/>
  </r>
  <r>
    <x v="1187"/>
    <x v="76"/>
    <x v="1187"/>
    <x v="3"/>
    <x v="0"/>
    <x v="4"/>
    <x v="2"/>
    <x v="1118"/>
    <x v="0"/>
    <x v="0"/>
    <x v="0"/>
    <x v="7"/>
  </r>
  <r>
    <x v="1188"/>
    <x v="76"/>
    <x v="1188"/>
    <x v="3"/>
    <x v="0"/>
    <x v="4"/>
    <x v="9"/>
    <x v="1119"/>
    <x v="0"/>
    <x v="0"/>
    <x v="0"/>
    <x v="7"/>
  </r>
  <r>
    <x v="1189"/>
    <x v="76"/>
    <x v="1189"/>
    <x v="4"/>
    <x v="0"/>
    <x v="6"/>
    <x v="7"/>
    <x v="1120"/>
    <x v="0"/>
    <x v="0"/>
    <x v="0"/>
    <x v="13"/>
  </r>
  <r>
    <x v="1190"/>
    <x v="76"/>
    <x v="1190"/>
    <x v="0"/>
    <x v="4"/>
    <x v="11"/>
    <x v="5"/>
    <x v="1121"/>
    <x v="0"/>
    <x v="0"/>
    <x v="0"/>
    <x v="14"/>
  </r>
  <r>
    <x v="1191"/>
    <x v="77"/>
    <x v="1191"/>
    <x v="3"/>
    <x v="0"/>
    <x v="4"/>
    <x v="3"/>
    <x v="1122"/>
    <x v="0"/>
    <x v="0"/>
    <x v="0"/>
    <x v="11"/>
  </r>
  <r>
    <x v="1192"/>
    <x v="77"/>
    <x v="1192"/>
    <x v="3"/>
    <x v="0"/>
    <x v="4"/>
    <x v="4"/>
    <x v="1123"/>
    <x v="0"/>
    <x v="0"/>
    <x v="0"/>
    <x v="11"/>
  </r>
  <r>
    <x v="1193"/>
    <x v="77"/>
    <x v="1193"/>
    <x v="1"/>
    <x v="2"/>
    <x v="18"/>
    <x v="5"/>
    <x v="1124"/>
    <x v="0"/>
    <x v="0"/>
    <x v="0"/>
    <x v="12"/>
  </r>
  <r>
    <x v="1194"/>
    <x v="77"/>
    <x v="1194"/>
    <x v="0"/>
    <x v="0"/>
    <x v="0"/>
    <x v="7"/>
    <x v="1125"/>
    <x v="0"/>
    <x v="0"/>
    <x v="0"/>
    <x v="0"/>
  </r>
  <r>
    <x v="1195"/>
    <x v="77"/>
    <x v="1195"/>
    <x v="3"/>
    <x v="0"/>
    <x v="4"/>
    <x v="5"/>
    <x v="1126"/>
    <x v="0"/>
    <x v="0"/>
    <x v="0"/>
    <x v="0"/>
  </r>
  <r>
    <x v="1196"/>
    <x v="77"/>
    <x v="1196"/>
    <x v="10"/>
    <x v="0"/>
    <x v="48"/>
    <x v="8"/>
    <x v="1127"/>
    <x v="0"/>
    <x v="0"/>
    <x v="0"/>
    <x v="0"/>
  </r>
  <r>
    <x v="1197"/>
    <x v="77"/>
    <x v="1197"/>
    <x v="6"/>
    <x v="0"/>
    <x v="21"/>
    <x v="5"/>
    <x v="1128"/>
    <x v="0"/>
    <x v="0"/>
    <x v="0"/>
    <x v="1"/>
  </r>
  <r>
    <x v="1198"/>
    <x v="77"/>
    <x v="1198"/>
    <x v="6"/>
    <x v="2"/>
    <x v="44"/>
    <x v="5"/>
    <x v="1129"/>
    <x v="0"/>
    <x v="0"/>
    <x v="0"/>
    <x v="1"/>
  </r>
  <r>
    <x v="1199"/>
    <x v="77"/>
    <x v="1199"/>
    <x v="4"/>
    <x v="5"/>
    <x v="9"/>
    <x v="4"/>
    <x v="1130"/>
    <x v="0"/>
    <x v="0"/>
    <x v="0"/>
    <x v="2"/>
  </r>
  <r>
    <x v="1200"/>
    <x v="77"/>
    <x v="1200"/>
    <x v="0"/>
    <x v="0"/>
    <x v="0"/>
    <x v="3"/>
    <x v="1131"/>
    <x v="0"/>
    <x v="0"/>
    <x v="0"/>
    <x v="2"/>
  </r>
  <r>
    <x v="1201"/>
    <x v="77"/>
    <x v="1201"/>
    <x v="0"/>
    <x v="0"/>
    <x v="0"/>
    <x v="7"/>
    <x v="1132"/>
    <x v="0"/>
    <x v="0"/>
    <x v="0"/>
    <x v="2"/>
  </r>
  <r>
    <x v="1202"/>
    <x v="77"/>
    <x v="1202"/>
    <x v="4"/>
    <x v="2"/>
    <x v="20"/>
    <x v="4"/>
    <x v="1133"/>
    <x v="0"/>
    <x v="0"/>
    <x v="0"/>
    <x v="17"/>
  </r>
  <r>
    <x v="1203"/>
    <x v="77"/>
    <x v="1203"/>
    <x v="0"/>
    <x v="2"/>
    <x v="2"/>
    <x v="6"/>
    <x v="1134"/>
    <x v="0"/>
    <x v="0"/>
    <x v="0"/>
    <x v="5"/>
  </r>
  <r>
    <x v="1204"/>
    <x v="77"/>
    <x v="1204"/>
    <x v="0"/>
    <x v="0"/>
    <x v="0"/>
    <x v="1"/>
    <x v="1135"/>
    <x v="0"/>
    <x v="0"/>
    <x v="0"/>
    <x v="5"/>
  </r>
  <r>
    <x v="1205"/>
    <x v="77"/>
    <x v="1205"/>
    <x v="0"/>
    <x v="0"/>
    <x v="0"/>
    <x v="5"/>
    <x v="1136"/>
    <x v="0"/>
    <x v="0"/>
    <x v="0"/>
    <x v="5"/>
  </r>
  <r>
    <x v="1206"/>
    <x v="77"/>
    <x v="1206"/>
    <x v="3"/>
    <x v="0"/>
    <x v="4"/>
    <x v="1"/>
    <x v="1137"/>
    <x v="0"/>
    <x v="0"/>
    <x v="0"/>
    <x v="6"/>
  </r>
  <r>
    <x v="1207"/>
    <x v="77"/>
    <x v="1207"/>
    <x v="4"/>
    <x v="8"/>
    <x v="66"/>
    <x v="3"/>
    <x v="1138"/>
    <x v="0"/>
    <x v="0"/>
    <x v="0"/>
    <x v="6"/>
  </r>
  <r>
    <x v="1208"/>
    <x v="77"/>
    <x v="1208"/>
    <x v="0"/>
    <x v="0"/>
    <x v="0"/>
    <x v="4"/>
    <x v="1139"/>
    <x v="0"/>
    <x v="0"/>
    <x v="0"/>
    <x v="16"/>
  </r>
  <r>
    <x v="1209"/>
    <x v="77"/>
    <x v="1209"/>
    <x v="4"/>
    <x v="4"/>
    <x v="7"/>
    <x v="5"/>
    <x v="1140"/>
    <x v="0"/>
    <x v="0"/>
    <x v="0"/>
    <x v="13"/>
  </r>
  <r>
    <x v="1210"/>
    <x v="77"/>
    <x v="1210"/>
    <x v="4"/>
    <x v="4"/>
    <x v="7"/>
    <x v="3"/>
    <x v="1141"/>
    <x v="0"/>
    <x v="0"/>
    <x v="0"/>
    <x v="9"/>
  </r>
  <r>
    <x v="1211"/>
    <x v="77"/>
    <x v="1211"/>
    <x v="0"/>
    <x v="4"/>
    <x v="11"/>
    <x v="8"/>
    <x v="1142"/>
    <x v="0"/>
    <x v="0"/>
    <x v="0"/>
    <x v="9"/>
  </r>
  <r>
    <x v="1212"/>
    <x v="77"/>
    <x v="1212"/>
    <x v="4"/>
    <x v="0"/>
    <x v="6"/>
    <x v="2"/>
    <x v="1143"/>
    <x v="0"/>
    <x v="0"/>
    <x v="0"/>
    <x v="9"/>
  </r>
  <r>
    <x v="1213"/>
    <x v="78"/>
    <x v="1213"/>
    <x v="0"/>
    <x v="1"/>
    <x v="28"/>
    <x v="5"/>
    <x v="1144"/>
    <x v="0"/>
    <x v="0"/>
    <x v="0"/>
    <x v="11"/>
  </r>
  <r>
    <x v="1214"/>
    <x v="78"/>
    <x v="1214"/>
    <x v="4"/>
    <x v="3"/>
    <x v="55"/>
    <x v="5"/>
    <x v="1145"/>
    <x v="0"/>
    <x v="0"/>
    <x v="0"/>
    <x v="12"/>
  </r>
  <r>
    <x v="1215"/>
    <x v="78"/>
    <x v="1215"/>
    <x v="3"/>
    <x v="0"/>
    <x v="4"/>
    <x v="1"/>
    <x v="1146"/>
    <x v="0"/>
    <x v="0"/>
    <x v="0"/>
    <x v="0"/>
  </r>
  <r>
    <x v="1216"/>
    <x v="78"/>
    <x v="1216"/>
    <x v="0"/>
    <x v="0"/>
    <x v="0"/>
    <x v="6"/>
    <x v="1147"/>
    <x v="0"/>
    <x v="0"/>
    <x v="0"/>
    <x v="5"/>
  </r>
  <r>
    <x v="1217"/>
    <x v="78"/>
    <x v="1217"/>
    <x v="3"/>
    <x v="0"/>
    <x v="4"/>
    <x v="7"/>
    <x v="1148"/>
    <x v="0"/>
    <x v="0"/>
    <x v="0"/>
    <x v="7"/>
  </r>
  <r>
    <x v="1218"/>
    <x v="78"/>
    <x v="1218"/>
    <x v="4"/>
    <x v="9"/>
    <x v="26"/>
    <x v="5"/>
    <x v="1149"/>
    <x v="0"/>
    <x v="0"/>
    <x v="0"/>
    <x v="8"/>
  </r>
  <r>
    <x v="1219"/>
    <x v="78"/>
    <x v="1219"/>
    <x v="0"/>
    <x v="6"/>
    <x v="10"/>
    <x v="6"/>
    <x v="1150"/>
    <x v="0"/>
    <x v="0"/>
    <x v="10"/>
    <x v="13"/>
  </r>
  <r>
    <x v="1220"/>
    <x v="78"/>
    <x v="1220"/>
    <x v="3"/>
    <x v="0"/>
    <x v="4"/>
    <x v="1"/>
    <x v="1151"/>
    <x v="0"/>
    <x v="0"/>
    <x v="0"/>
    <x v="13"/>
  </r>
  <r>
    <x v="1221"/>
    <x v="78"/>
    <x v="1221"/>
    <x v="3"/>
    <x v="4"/>
    <x v="16"/>
    <x v="0"/>
    <x v="1152"/>
    <x v="0"/>
    <x v="0"/>
    <x v="0"/>
    <x v="9"/>
  </r>
  <r>
    <x v="1222"/>
    <x v="78"/>
    <x v="1222"/>
    <x v="4"/>
    <x v="0"/>
    <x v="6"/>
    <x v="1"/>
    <x v="1153"/>
    <x v="0"/>
    <x v="0"/>
    <x v="0"/>
    <x v="10"/>
  </r>
  <r>
    <x v="1223"/>
    <x v="78"/>
    <x v="1223"/>
    <x v="4"/>
    <x v="0"/>
    <x v="6"/>
    <x v="2"/>
    <x v="1154"/>
    <x v="0"/>
    <x v="0"/>
    <x v="0"/>
    <x v="10"/>
  </r>
  <r>
    <x v="1224"/>
    <x v="79"/>
    <x v="1224"/>
    <x v="4"/>
    <x v="0"/>
    <x v="6"/>
    <x v="4"/>
    <x v="1155"/>
    <x v="0"/>
    <x v="0"/>
    <x v="0"/>
    <x v="0"/>
  </r>
  <r>
    <x v="1225"/>
    <x v="79"/>
    <x v="1225"/>
    <x v="12"/>
    <x v="0"/>
    <x v="46"/>
    <x v="3"/>
    <x v="1156"/>
    <x v="0"/>
    <x v="0"/>
    <x v="0"/>
    <x v="1"/>
  </r>
  <r>
    <x v="1226"/>
    <x v="79"/>
    <x v="1226"/>
    <x v="0"/>
    <x v="0"/>
    <x v="0"/>
    <x v="2"/>
    <x v="1157"/>
    <x v="0"/>
    <x v="0"/>
    <x v="0"/>
    <x v="5"/>
  </r>
  <r>
    <x v="1227"/>
    <x v="79"/>
    <x v="1227"/>
    <x v="0"/>
    <x v="4"/>
    <x v="11"/>
    <x v="2"/>
    <x v="1158"/>
    <x v="0"/>
    <x v="0"/>
    <x v="0"/>
    <x v="6"/>
  </r>
  <r>
    <x v="1228"/>
    <x v="79"/>
    <x v="1228"/>
    <x v="3"/>
    <x v="0"/>
    <x v="4"/>
    <x v="4"/>
    <x v="1159"/>
    <x v="0"/>
    <x v="0"/>
    <x v="0"/>
    <x v="18"/>
  </r>
  <r>
    <x v="1229"/>
    <x v="79"/>
    <x v="1229"/>
    <x v="0"/>
    <x v="4"/>
    <x v="11"/>
    <x v="5"/>
    <x v="1160"/>
    <x v="0"/>
    <x v="0"/>
    <x v="0"/>
    <x v="18"/>
  </r>
  <r>
    <x v="1230"/>
    <x v="79"/>
    <x v="1230"/>
    <x v="3"/>
    <x v="1"/>
    <x v="13"/>
    <x v="7"/>
    <x v="1161"/>
    <x v="0"/>
    <x v="0"/>
    <x v="0"/>
    <x v="7"/>
  </r>
  <r>
    <x v="1231"/>
    <x v="79"/>
    <x v="1231"/>
    <x v="4"/>
    <x v="0"/>
    <x v="6"/>
    <x v="9"/>
    <x v="1162"/>
    <x v="0"/>
    <x v="0"/>
    <x v="0"/>
    <x v="9"/>
  </r>
  <r>
    <x v="1232"/>
    <x v="79"/>
    <x v="1232"/>
    <x v="0"/>
    <x v="0"/>
    <x v="0"/>
    <x v="5"/>
    <x v="1163"/>
    <x v="0"/>
    <x v="0"/>
    <x v="0"/>
    <x v="10"/>
  </r>
  <r>
    <x v="1233"/>
    <x v="79"/>
    <x v="1233"/>
    <x v="0"/>
    <x v="0"/>
    <x v="0"/>
    <x v="4"/>
    <x v="1164"/>
    <x v="0"/>
    <x v="0"/>
    <x v="0"/>
    <x v="14"/>
  </r>
  <r>
    <x v="1234"/>
    <x v="79"/>
    <x v="1234"/>
    <x v="0"/>
    <x v="4"/>
    <x v="11"/>
    <x v="6"/>
    <x v="1165"/>
    <x v="0"/>
    <x v="0"/>
    <x v="0"/>
    <x v="20"/>
  </r>
  <r>
    <x v="1235"/>
    <x v="80"/>
    <x v="1235"/>
    <x v="3"/>
    <x v="0"/>
    <x v="4"/>
    <x v="5"/>
    <x v="1166"/>
    <x v="0"/>
    <x v="0"/>
    <x v="0"/>
    <x v="11"/>
  </r>
  <r>
    <x v="1236"/>
    <x v="80"/>
    <x v="1236"/>
    <x v="3"/>
    <x v="0"/>
    <x v="4"/>
    <x v="8"/>
    <x v="1167"/>
    <x v="0"/>
    <x v="0"/>
    <x v="0"/>
    <x v="11"/>
  </r>
  <r>
    <x v="1237"/>
    <x v="80"/>
    <x v="1237"/>
    <x v="0"/>
    <x v="0"/>
    <x v="0"/>
    <x v="16"/>
    <x v="1168"/>
    <x v="0"/>
    <x v="0"/>
    <x v="0"/>
    <x v="0"/>
  </r>
  <r>
    <x v="1238"/>
    <x v="80"/>
    <x v="1238"/>
    <x v="0"/>
    <x v="0"/>
    <x v="0"/>
    <x v="5"/>
    <x v="1169"/>
    <x v="0"/>
    <x v="0"/>
    <x v="0"/>
    <x v="1"/>
  </r>
  <r>
    <x v="1239"/>
    <x v="80"/>
    <x v="1239"/>
    <x v="3"/>
    <x v="0"/>
    <x v="4"/>
    <x v="7"/>
    <x v="1170"/>
    <x v="0"/>
    <x v="0"/>
    <x v="0"/>
    <x v="2"/>
  </r>
  <r>
    <x v="1240"/>
    <x v="80"/>
    <x v="1240"/>
    <x v="7"/>
    <x v="4"/>
    <x v="68"/>
    <x v="8"/>
    <x v="1171"/>
    <x v="0"/>
    <x v="0"/>
    <x v="0"/>
    <x v="3"/>
  </r>
  <r>
    <x v="1241"/>
    <x v="80"/>
    <x v="1241"/>
    <x v="0"/>
    <x v="3"/>
    <x v="47"/>
    <x v="4"/>
    <x v="1172"/>
    <x v="0"/>
    <x v="0"/>
    <x v="0"/>
    <x v="3"/>
  </r>
  <r>
    <x v="1242"/>
    <x v="80"/>
    <x v="1242"/>
    <x v="0"/>
    <x v="0"/>
    <x v="0"/>
    <x v="0"/>
    <x v="1173"/>
    <x v="0"/>
    <x v="0"/>
    <x v="0"/>
    <x v="5"/>
  </r>
  <r>
    <x v="1243"/>
    <x v="80"/>
    <x v="1243"/>
    <x v="4"/>
    <x v="0"/>
    <x v="6"/>
    <x v="1"/>
    <x v="1174"/>
    <x v="0"/>
    <x v="0"/>
    <x v="0"/>
    <x v="6"/>
  </r>
  <r>
    <x v="1244"/>
    <x v="80"/>
    <x v="1244"/>
    <x v="3"/>
    <x v="0"/>
    <x v="4"/>
    <x v="6"/>
    <x v="1175"/>
    <x v="0"/>
    <x v="0"/>
    <x v="0"/>
    <x v="6"/>
  </r>
  <r>
    <x v="1245"/>
    <x v="80"/>
    <x v="1245"/>
    <x v="3"/>
    <x v="0"/>
    <x v="4"/>
    <x v="2"/>
    <x v="1176"/>
    <x v="0"/>
    <x v="0"/>
    <x v="0"/>
    <x v="7"/>
  </r>
  <r>
    <x v="1246"/>
    <x v="80"/>
    <x v="1246"/>
    <x v="3"/>
    <x v="0"/>
    <x v="4"/>
    <x v="6"/>
    <x v="1177"/>
    <x v="0"/>
    <x v="0"/>
    <x v="0"/>
    <x v="7"/>
  </r>
  <r>
    <x v="1247"/>
    <x v="80"/>
    <x v="1247"/>
    <x v="4"/>
    <x v="4"/>
    <x v="7"/>
    <x v="3"/>
    <x v="1178"/>
    <x v="0"/>
    <x v="0"/>
    <x v="0"/>
    <x v="9"/>
  </r>
  <r>
    <x v="1248"/>
    <x v="80"/>
    <x v="1248"/>
    <x v="4"/>
    <x v="0"/>
    <x v="6"/>
    <x v="5"/>
    <x v="1179"/>
    <x v="0"/>
    <x v="0"/>
    <x v="0"/>
    <x v="15"/>
  </r>
  <r>
    <x v="1249"/>
    <x v="81"/>
    <x v="1249"/>
    <x v="5"/>
    <x v="0"/>
    <x v="14"/>
    <x v="7"/>
    <x v="1180"/>
    <x v="0"/>
    <x v="0"/>
    <x v="0"/>
    <x v="11"/>
  </r>
  <r>
    <x v="1250"/>
    <x v="81"/>
    <x v="1250"/>
    <x v="1"/>
    <x v="1"/>
    <x v="1"/>
    <x v="7"/>
    <x v="1181"/>
    <x v="0"/>
    <x v="0"/>
    <x v="0"/>
    <x v="11"/>
  </r>
  <r>
    <x v="1251"/>
    <x v="81"/>
    <x v="1251"/>
    <x v="4"/>
    <x v="2"/>
    <x v="20"/>
    <x v="4"/>
    <x v="1182"/>
    <x v="0"/>
    <x v="0"/>
    <x v="0"/>
    <x v="12"/>
  </r>
  <r>
    <x v="1252"/>
    <x v="81"/>
    <x v="1252"/>
    <x v="0"/>
    <x v="0"/>
    <x v="0"/>
    <x v="4"/>
    <x v="1183"/>
    <x v="0"/>
    <x v="0"/>
    <x v="0"/>
    <x v="12"/>
  </r>
  <r>
    <x v="1253"/>
    <x v="81"/>
    <x v="1253"/>
    <x v="10"/>
    <x v="1"/>
    <x v="65"/>
    <x v="7"/>
    <x v="1184"/>
    <x v="0"/>
    <x v="0"/>
    <x v="0"/>
    <x v="1"/>
  </r>
  <r>
    <x v="1254"/>
    <x v="81"/>
    <x v="1254"/>
    <x v="4"/>
    <x v="5"/>
    <x v="9"/>
    <x v="8"/>
    <x v="1185"/>
    <x v="0"/>
    <x v="0"/>
    <x v="0"/>
    <x v="1"/>
  </r>
  <r>
    <x v="1255"/>
    <x v="81"/>
    <x v="1255"/>
    <x v="3"/>
    <x v="0"/>
    <x v="4"/>
    <x v="9"/>
    <x v="1186"/>
    <x v="0"/>
    <x v="0"/>
    <x v="0"/>
    <x v="4"/>
  </r>
  <r>
    <x v="1256"/>
    <x v="81"/>
    <x v="1256"/>
    <x v="4"/>
    <x v="4"/>
    <x v="7"/>
    <x v="2"/>
    <x v="1187"/>
    <x v="0"/>
    <x v="0"/>
    <x v="0"/>
    <x v="17"/>
  </r>
  <r>
    <x v="1257"/>
    <x v="81"/>
    <x v="1257"/>
    <x v="4"/>
    <x v="0"/>
    <x v="6"/>
    <x v="7"/>
    <x v="1188"/>
    <x v="0"/>
    <x v="0"/>
    <x v="0"/>
    <x v="22"/>
  </r>
  <r>
    <x v="1258"/>
    <x v="81"/>
    <x v="1258"/>
    <x v="0"/>
    <x v="14"/>
    <x v="64"/>
    <x v="3"/>
    <x v="1189"/>
    <x v="0"/>
    <x v="0"/>
    <x v="0"/>
    <x v="16"/>
  </r>
  <r>
    <x v="1259"/>
    <x v="81"/>
    <x v="1259"/>
    <x v="0"/>
    <x v="0"/>
    <x v="0"/>
    <x v="2"/>
    <x v="1190"/>
    <x v="0"/>
    <x v="0"/>
    <x v="0"/>
    <x v="9"/>
  </r>
  <r>
    <x v="1260"/>
    <x v="82"/>
    <x v="1260"/>
    <x v="6"/>
    <x v="4"/>
    <x v="39"/>
    <x v="3"/>
    <x v="1191"/>
    <x v="0"/>
    <x v="0"/>
    <x v="0"/>
    <x v="0"/>
  </r>
  <r>
    <x v="1261"/>
    <x v="82"/>
    <x v="1261"/>
    <x v="0"/>
    <x v="0"/>
    <x v="0"/>
    <x v="0"/>
    <x v="1192"/>
    <x v="0"/>
    <x v="0"/>
    <x v="0"/>
    <x v="0"/>
  </r>
  <r>
    <x v="1262"/>
    <x v="82"/>
    <x v="1262"/>
    <x v="0"/>
    <x v="0"/>
    <x v="0"/>
    <x v="4"/>
    <x v="1193"/>
    <x v="0"/>
    <x v="0"/>
    <x v="0"/>
    <x v="0"/>
  </r>
  <r>
    <x v="1263"/>
    <x v="82"/>
    <x v="1263"/>
    <x v="5"/>
    <x v="1"/>
    <x v="23"/>
    <x v="5"/>
    <x v="1194"/>
    <x v="0"/>
    <x v="0"/>
    <x v="0"/>
    <x v="2"/>
  </r>
  <r>
    <x v="1264"/>
    <x v="82"/>
    <x v="1264"/>
    <x v="0"/>
    <x v="0"/>
    <x v="0"/>
    <x v="9"/>
    <x v="1195"/>
    <x v="0"/>
    <x v="0"/>
    <x v="0"/>
    <x v="5"/>
  </r>
  <r>
    <x v="1265"/>
    <x v="82"/>
    <x v="1265"/>
    <x v="3"/>
    <x v="4"/>
    <x v="16"/>
    <x v="3"/>
    <x v="1196"/>
    <x v="0"/>
    <x v="0"/>
    <x v="0"/>
    <x v="22"/>
  </r>
  <r>
    <x v="1266"/>
    <x v="82"/>
    <x v="1266"/>
    <x v="3"/>
    <x v="0"/>
    <x v="4"/>
    <x v="2"/>
    <x v="1197"/>
    <x v="0"/>
    <x v="0"/>
    <x v="0"/>
    <x v="13"/>
  </r>
  <r>
    <x v="1267"/>
    <x v="82"/>
    <x v="1267"/>
    <x v="0"/>
    <x v="0"/>
    <x v="0"/>
    <x v="2"/>
    <x v="1198"/>
    <x v="0"/>
    <x v="0"/>
    <x v="0"/>
    <x v="13"/>
  </r>
  <r>
    <x v="1268"/>
    <x v="82"/>
    <x v="1268"/>
    <x v="4"/>
    <x v="1"/>
    <x v="5"/>
    <x v="6"/>
    <x v="1199"/>
    <x v="0"/>
    <x v="0"/>
    <x v="0"/>
    <x v="23"/>
  </r>
  <r>
    <x v="1269"/>
    <x v="82"/>
    <x v="1269"/>
    <x v="0"/>
    <x v="0"/>
    <x v="0"/>
    <x v="6"/>
    <x v="1200"/>
    <x v="0"/>
    <x v="0"/>
    <x v="0"/>
    <x v="23"/>
  </r>
  <r>
    <x v="1270"/>
    <x v="83"/>
    <x v="1270"/>
    <x v="6"/>
    <x v="0"/>
    <x v="21"/>
    <x v="4"/>
    <x v="1201"/>
    <x v="0"/>
    <x v="0"/>
    <x v="0"/>
    <x v="11"/>
  </r>
  <r>
    <x v="1271"/>
    <x v="83"/>
    <x v="1271"/>
    <x v="4"/>
    <x v="4"/>
    <x v="7"/>
    <x v="6"/>
    <x v="1202"/>
    <x v="0"/>
    <x v="0"/>
    <x v="0"/>
    <x v="12"/>
  </r>
  <r>
    <x v="1272"/>
    <x v="83"/>
    <x v="1272"/>
    <x v="1"/>
    <x v="0"/>
    <x v="24"/>
    <x v="5"/>
    <x v="1203"/>
    <x v="0"/>
    <x v="0"/>
    <x v="0"/>
    <x v="12"/>
  </r>
  <r>
    <x v="1273"/>
    <x v="83"/>
    <x v="1273"/>
    <x v="0"/>
    <x v="0"/>
    <x v="0"/>
    <x v="2"/>
    <x v="1204"/>
    <x v="0"/>
    <x v="0"/>
    <x v="0"/>
    <x v="0"/>
  </r>
  <r>
    <x v="1274"/>
    <x v="83"/>
    <x v="1274"/>
    <x v="4"/>
    <x v="0"/>
    <x v="6"/>
    <x v="5"/>
    <x v="1205"/>
    <x v="0"/>
    <x v="0"/>
    <x v="0"/>
    <x v="0"/>
  </r>
  <r>
    <x v="1275"/>
    <x v="83"/>
    <x v="1275"/>
    <x v="1"/>
    <x v="4"/>
    <x v="35"/>
    <x v="3"/>
    <x v="1206"/>
    <x v="0"/>
    <x v="0"/>
    <x v="0"/>
    <x v="0"/>
  </r>
  <r>
    <x v="1276"/>
    <x v="83"/>
    <x v="1276"/>
    <x v="1"/>
    <x v="1"/>
    <x v="1"/>
    <x v="0"/>
    <x v="1207"/>
    <x v="0"/>
    <x v="0"/>
    <x v="0"/>
    <x v="0"/>
  </r>
  <r>
    <x v="1277"/>
    <x v="83"/>
    <x v="1277"/>
    <x v="4"/>
    <x v="0"/>
    <x v="6"/>
    <x v="1"/>
    <x v="1208"/>
    <x v="0"/>
    <x v="0"/>
    <x v="0"/>
    <x v="1"/>
  </r>
  <r>
    <x v="1278"/>
    <x v="83"/>
    <x v="1278"/>
    <x v="0"/>
    <x v="0"/>
    <x v="0"/>
    <x v="2"/>
    <x v="1209"/>
    <x v="0"/>
    <x v="0"/>
    <x v="0"/>
    <x v="2"/>
  </r>
  <r>
    <x v="1279"/>
    <x v="83"/>
    <x v="1279"/>
    <x v="1"/>
    <x v="1"/>
    <x v="1"/>
    <x v="4"/>
    <x v="1210"/>
    <x v="0"/>
    <x v="0"/>
    <x v="0"/>
    <x v="2"/>
  </r>
  <r>
    <x v="1280"/>
    <x v="83"/>
    <x v="1280"/>
    <x v="0"/>
    <x v="3"/>
    <x v="47"/>
    <x v="5"/>
    <x v="1211"/>
    <x v="0"/>
    <x v="0"/>
    <x v="0"/>
    <x v="3"/>
  </r>
  <r>
    <x v="1281"/>
    <x v="83"/>
    <x v="1281"/>
    <x v="3"/>
    <x v="0"/>
    <x v="4"/>
    <x v="2"/>
    <x v="1212"/>
    <x v="0"/>
    <x v="0"/>
    <x v="0"/>
    <x v="3"/>
  </r>
  <r>
    <x v="1282"/>
    <x v="83"/>
    <x v="1282"/>
    <x v="0"/>
    <x v="0"/>
    <x v="0"/>
    <x v="9"/>
    <x v="1213"/>
    <x v="0"/>
    <x v="0"/>
    <x v="0"/>
    <x v="19"/>
  </r>
  <r>
    <x v="1283"/>
    <x v="83"/>
    <x v="1283"/>
    <x v="0"/>
    <x v="4"/>
    <x v="11"/>
    <x v="4"/>
    <x v="1214"/>
    <x v="0"/>
    <x v="0"/>
    <x v="0"/>
    <x v="24"/>
  </r>
  <r>
    <x v="1284"/>
    <x v="83"/>
    <x v="1284"/>
    <x v="0"/>
    <x v="0"/>
    <x v="0"/>
    <x v="6"/>
    <x v="1215"/>
    <x v="0"/>
    <x v="0"/>
    <x v="0"/>
    <x v="22"/>
  </r>
  <r>
    <x v="1285"/>
    <x v="83"/>
    <x v="1285"/>
    <x v="0"/>
    <x v="0"/>
    <x v="0"/>
    <x v="17"/>
    <x v="1216"/>
    <x v="0"/>
    <x v="0"/>
    <x v="0"/>
    <x v="16"/>
  </r>
  <r>
    <x v="1286"/>
    <x v="83"/>
    <x v="1286"/>
    <x v="0"/>
    <x v="0"/>
    <x v="0"/>
    <x v="6"/>
    <x v="1217"/>
    <x v="0"/>
    <x v="0"/>
    <x v="0"/>
    <x v="18"/>
  </r>
  <r>
    <x v="1287"/>
    <x v="83"/>
    <x v="1287"/>
    <x v="0"/>
    <x v="4"/>
    <x v="11"/>
    <x v="7"/>
    <x v="1218"/>
    <x v="0"/>
    <x v="0"/>
    <x v="0"/>
    <x v="18"/>
  </r>
  <r>
    <x v="1288"/>
    <x v="83"/>
    <x v="1288"/>
    <x v="0"/>
    <x v="1"/>
    <x v="28"/>
    <x v="5"/>
    <x v="1219"/>
    <x v="0"/>
    <x v="0"/>
    <x v="0"/>
    <x v="7"/>
  </r>
  <r>
    <x v="1289"/>
    <x v="83"/>
    <x v="1289"/>
    <x v="4"/>
    <x v="6"/>
    <x v="12"/>
    <x v="3"/>
    <x v="1220"/>
    <x v="0"/>
    <x v="0"/>
    <x v="0"/>
    <x v="8"/>
  </r>
  <r>
    <x v="1290"/>
    <x v="83"/>
    <x v="1290"/>
    <x v="4"/>
    <x v="6"/>
    <x v="12"/>
    <x v="5"/>
    <x v="1221"/>
    <x v="0"/>
    <x v="0"/>
    <x v="0"/>
    <x v="9"/>
  </r>
  <r>
    <x v="1291"/>
    <x v="84"/>
    <x v="1291"/>
    <x v="3"/>
    <x v="0"/>
    <x v="4"/>
    <x v="4"/>
    <x v="1222"/>
    <x v="0"/>
    <x v="0"/>
    <x v="0"/>
    <x v="11"/>
  </r>
  <r>
    <x v="1292"/>
    <x v="84"/>
    <x v="1292"/>
    <x v="6"/>
    <x v="0"/>
    <x v="21"/>
    <x v="7"/>
    <x v="1223"/>
    <x v="0"/>
    <x v="0"/>
    <x v="0"/>
    <x v="11"/>
  </r>
  <r>
    <x v="1293"/>
    <x v="84"/>
    <x v="1293"/>
    <x v="6"/>
    <x v="1"/>
    <x v="19"/>
    <x v="7"/>
    <x v="1224"/>
    <x v="0"/>
    <x v="0"/>
    <x v="0"/>
    <x v="0"/>
  </r>
  <r>
    <x v="1294"/>
    <x v="84"/>
    <x v="1294"/>
    <x v="4"/>
    <x v="3"/>
    <x v="55"/>
    <x v="3"/>
    <x v="1225"/>
    <x v="0"/>
    <x v="0"/>
    <x v="0"/>
    <x v="1"/>
  </r>
  <r>
    <x v="1295"/>
    <x v="84"/>
    <x v="1295"/>
    <x v="3"/>
    <x v="3"/>
    <x v="67"/>
    <x v="3"/>
    <x v="1226"/>
    <x v="0"/>
    <x v="0"/>
    <x v="0"/>
    <x v="1"/>
  </r>
  <r>
    <x v="1296"/>
    <x v="84"/>
    <x v="1296"/>
    <x v="0"/>
    <x v="0"/>
    <x v="0"/>
    <x v="7"/>
    <x v="1227"/>
    <x v="0"/>
    <x v="0"/>
    <x v="0"/>
    <x v="2"/>
  </r>
  <r>
    <x v="1297"/>
    <x v="84"/>
    <x v="1297"/>
    <x v="3"/>
    <x v="0"/>
    <x v="4"/>
    <x v="7"/>
    <x v="1228"/>
    <x v="0"/>
    <x v="0"/>
    <x v="0"/>
    <x v="3"/>
  </r>
  <r>
    <x v="1298"/>
    <x v="84"/>
    <x v="1298"/>
    <x v="4"/>
    <x v="0"/>
    <x v="6"/>
    <x v="6"/>
    <x v="1229"/>
    <x v="0"/>
    <x v="0"/>
    <x v="0"/>
    <x v="15"/>
  </r>
  <r>
    <x v="1299"/>
    <x v="85"/>
    <x v="1299"/>
    <x v="2"/>
    <x v="4"/>
    <x v="72"/>
    <x v="5"/>
    <x v="1230"/>
    <x v="0"/>
    <x v="0"/>
    <x v="0"/>
    <x v="2"/>
  </r>
  <r>
    <x v="1300"/>
    <x v="85"/>
    <x v="1300"/>
    <x v="0"/>
    <x v="0"/>
    <x v="0"/>
    <x v="2"/>
    <x v="1231"/>
    <x v="0"/>
    <x v="0"/>
    <x v="0"/>
    <x v="2"/>
  </r>
  <r>
    <x v="1301"/>
    <x v="85"/>
    <x v="1301"/>
    <x v="0"/>
    <x v="4"/>
    <x v="11"/>
    <x v="8"/>
    <x v="1232"/>
    <x v="0"/>
    <x v="0"/>
    <x v="0"/>
    <x v="4"/>
  </r>
  <r>
    <x v="1302"/>
    <x v="85"/>
    <x v="1302"/>
    <x v="0"/>
    <x v="0"/>
    <x v="0"/>
    <x v="13"/>
    <x v="1233"/>
    <x v="0"/>
    <x v="0"/>
    <x v="0"/>
    <x v="5"/>
  </r>
  <r>
    <x v="1303"/>
    <x v="85"/>
    <x v="1303"/>
    <x v="4"/>
    <x v="0"/>
    <x v="6"/>
    <x v="7"/>
    <x v="1234"/>
    <x v="0"/>
    <x v="0"/>
    <x v="0"/>
    <x v="6"/>
  </r>
  <r>
    <x v="1304"/>
    <x v="85"/>
    <x v="1304"/>
    <x v="4"/>
    <x v="4"/>
    <x v="7"/>
    <x v="4"/>
    <x v="1235"/>
    <x v="0"/>
    <x v="0"/>
    <x v="0"/>
    <x v="6"/>
  </r>
  <r>
    <x v="1305"/>
    <x v="85"/>
    <x v="1305"/>
    <x v="0"/>
    <x v="0"/>
    <x v="0"/>
    <x v="4"/>
    <x v="1236"/>
    <x v="0"/>
    <x v="0"/>
    <x v="0"/>
    <x v="6"/>
  </r>
  <r>
    <x v="1306"/>
    <x v="85"/>
    <x v="1306"/>
    <x v="4"/>
    <x v="0"/>
    <x v="6"/>
    <x v="5"/>
    <x v="1237"/>
    <x v="0"/>
    <x v="0"/>
    <x v="0"/>
    <x v="18"/>
  </r>
  <r>
    <x v="1307"/>
    <x v="85"/>
    <x v="1307"/>
    <x v="0"/>
    <x v="0"/>
    <x v="0"/>
    <x v="6"/>
    <x v="1238"/>
    <x v="0"/>
    <x v="0"/>
    <x v="0"/>
    <x v="18"/>
  </r>
  <r>
    <x v="1308"/>
    <x v="85"/>
    <x v="1308"/>
    <x v="0"/>
    <x v="4"/>
    <x v="11"/>
    <x v="8"/>
    <x v="1239"/>
    <x v="0"/>
    <x v="0"/>
    <x v="0"/>
    <x v="10"/>
  </r>
  <r>
    <x v="1309"/>
    <x v="85"/>
    <x v="1309"/>
    <x v="0"/>
    <x v="4"/>
    <x v="11"/>
    <x v="0"/>
    <x v="1240"/>
    <x v="0"/>
    <x v="0"/>
    <x v="0"/>
    <x v="14"/>
  </r>
  <r>
    <x v="1310"/>
    <x v="86"/>
    <x v="1310"/>
    <x v="3"/>
    <x v="0"/>
    <x v="4"/>
    <x v="4"/>
    <x v="1241"/>
    <x v="0"/>
    <x v="0"/>
    <x v="0"/>
    <x v="11"/>
  </r>
  <r>
    <x v="1311"/>
    <x v="86"/>
    <x v="1311"/>
    <x v="4"/>
    <x v="0"/>
    <x v="6"/>
    <x v="4"/>
    <x v="1242"/>
    <x v="0"/>
    <x v="0"/>
    <x v="0"/>
    <x v="11"/>
  </r>
  <r>
    <x v="1312"/>
    <x v="86"/>
    <x v="1312"/>
    <x v="0"/>
    <x v="1"/>
    <x v="28"/>
    <x v="1"/>
    <x v="1243"/>
    <x v="0"/>
    <x v="0"/>
    <x v="0"/>
    <x v="11"/>
  </r>
  <r>
    <x v="1313"/>
    <x v="86"/>
    <x v="1313"/>
    <x v="2"/>
    <x v="0"/>
    <x v="59"/>
    <x v="4"/>
    <x v="1244"/>
    <x v="0"/>
    <x v="0"/>
    <x v="0"/>
    <x v="11"/>
  </r>
  <r>
    <x v="1314"/>
    <x v="86"/>
    <x v="1314"/>
    <x v="6"/>
    <x v="0"/>
    <x v="21"/>
    <x v="4"/>
    <x v="1245"/>
    <x v="0"/>
    <x v="0"/>
    <x v="0"/>
    <x v="11"/>
  </r>
  <r>
    <x v="1315"/>
    <x v="86"/>
    <x v="1315"/>
    <x v="5"/>
    <x v="1"/>
    <x v="23"/>
    <x v="2"/>
    <x v="1246"/>
    <x v="0"/>
    <x v="0"/>
    <x v="0"/>
    <x v="11"/>
  </r>
  <r>
    <x v="1316"/>
    <x v="86"/>
    <x v="1316"/>
    <x v="2"/>
    <x v="4"/>
    <x v="72"/>
    <x v="6"/>
    <x v="1247"/>
    <x v="0"/>
    <x v="0"/>
    <x v="0"/>
    <x v="12"/>
  </r>
  <r>
    <x v="1317"/>
    <x v="86"/>
    <x v="1317"/>
    <x v="3"/>
    <x v="7"/>
    <x v="76"/>
    <x v="3"/>
    <x v="1248"/>
    <x v="0"/>
    <x v="0"/>
    <x v="0"/>
    <x v="0"/>
  </r>
  <r>
    <x v="1318"/>
    <x v="86"/>
    <x v="1318"/>
    <x v="4"/>
    <x v="0"/>
    <x v="6"/>
    <x v="9"/>
    <x v="1249"/>
    <x v="0"/>
    <x v="0"/>
    <x v="0"/>
    <x v="0"/>
  </r>
  <r>
    <x v="1319"/>
    <x v="86"/>
    <x v="1319"/>
    <x v="6"/>
    <x v="0"/>
    <x v="21"/>
    <x v="2"/>
    <x v="1250"/>
    <x v="0"/>
    <x v="0"/>
    <x v="0"/>
    <x v="1"/>
  </r>
  <r>
    <x v="1320"/>
    <x v="86"/>
    <x v="1320"/>
    <x v="4"/>
    <x v="0"/>
    <x v="6"/>
    <x v="7"/>
    <x v="1251"/>
    <x v="0"/>
    <x v="0"/>
    <x v="0"/>
    <x v="1"/>
  </r>
  <r>
    <x v="1321"/>
    <x v="86"/>
    <x v="1321"/>
    <x v="0"/>
    <x v="0"/>
    <x v="0"/>
    <x v="2"/>
    <x v="1252"/>
    <x v="0"/>
    <x v="0"/>
    <x v="0"/>
    <x v="2"/>
  </r>
  <r>
    <x v="1322"/>
    <x v="86"/>
    <x v="1322"/>
    <x v="0"/>
    <x v="0"/>
    <x v="0"/>
    <x v="4"/>
    <x v="1253"/>
    <x v="0"/>
    <x v="0"/>
    <x v="0"/>
    <x v="2"/>
  </r>
  <r>
    <x v="1323"/>
    <x v="86"/>
    <x v="1323"/>
    <x v="0"/>
    <x v="4"/>
    <x v="11"/>
    <x v="2"/>
    <x v="1254"/>
    <x v="0"/>
    <x v="0"/>
    <x v="0"/>
    <x v="3"/>
  </r>
  <r>
    <x v="1324"/>
    <x v="86"/>
    <x v="1324"/>
    <x v="0"/>
    <x v="0"/>
    <x v="0"/>
    <x v="7"/>
    <x v="1255"/>
    <x v="0"/>
    <x v="0"/>
    <x v="0"/>
    <x v="5"/>
  </r>
  <r>
    <x v="1325"/>
    <x v="86"/>
    <x v="1325"/>
    <x v="3"/>
    <x v="0"/>
    <x v="4"/>
    <x v="5"/>
    <x v="1256"/>
    <x v="0"/>
    <x v="0"/>
    <x v="0"/>
    <x v="22"/>
  </r>
  <r>
    <x v="1326"/>
    <x v="86"/>
    <x v="1326"/>
    <x v="4"/>
    <x v="0"/>
    <x v="6"/>
    <x v="7"/>
    <x v="1257"/>
    <x v="0"/>
    <x v="0"/>
    <x v="0"/>
    <x v="6"/>
  </r>
  <r>
    <x v="1327"/>
    <x v="86"/>
    <x v="1327"/>
    <x v="0"/>
    <x v="0"/>
    <x v="0"/>
    <x v="9"/>
    <x v="1258"/>
    <x v="0"/>
    <x v="0"/>
    <x v="0"/>
    <x v="6"/>
  </r>
  <r>
    <x v="1328"/>
    <x v="86"/>
    <x v="1328"/>
    <x v="4"/>
    <x v="6"/>
    <x v="12"/>
    <x v="3"/>
    <x v="1259"/>
    <x v="0"/>
    <x v="0"/>
    <x v="0"/>
    <x v="9"/>
  </r>
  <r>
    <x v="1329"/>
    <x v="87"/>
    <x v="1329"/>
    <x v="3"/>
    <x v="0"/>
    <x v="4"/>
    <x v="7"/>
    <x v="1260"/>
    <x v="0"/>
    <x v="0"/>
    <x v="0"/>
    <x v="11"/>
  </r>
  <r>
    <x v="1330"/>
    <x v="87"/>
    <x v="1330"/>
    <x v="4"/>
    <x v="0"/>
    <x v="6"/>
    <x v="2"/>
    <x v="1261"/>
    <x v="0"/>
    <x v="0"/>
    <x v="0"/>
    <x v="11"/>
  </r>
  <r>
    <x v="1331"/>
    <x v="87"/>
    <x v="1331"/>
    <x v="1"/>
    <x v="0"/>
    <x v="24"/>
    <x v="5"/>
    <x v="1262"/>
    <x v="0"/>
    <x v="0"/>
    <x v="0"/>
    <x v="0"/>
  </r>
  <r>
    <x v="1332"/>
    <x v="87"/>
    <x v="1332"/>
    <x v="0"/>
    <x v="0"/>
    <x v="0"/>
    <x v="1"/>
    <x v="1263"/>
    <x v="0"/>
    <x v="0"/>
    <x v="0"/>
    <x v="0"/>
  </r>
  <r>
    <x v="1333"/>
    <x v="87"/>
    <x v="1333"/>
    <x v="4"/>
    <x v="0"/>
    <x v="6"/>
    <x v="6"/>
    <x v="1264"/>
    <x v="0"/>
    <x v="0"/>
    <x v="0"/>
    <x v="1"/>
  </r>
  <r>
    <x v="1334"/>
    <x v="87"/>
    <x v="1334"/>
    <x v="0"/>
    <x v="0"/>
    <x v="0"/>
    <x v="4"/>
    <x v="1265"/>
    <x v="0"/>
    <x v="0"/>
    <x v="0"/>
    <x v="2"/>
  </r>
  <r>
    <x v="1335"/>
    <x v="87"/>
    <x v="1335"/>
    <x v="0"/>
    <x v="2"/>
    <x v="2"/>
    <x v="5"/>
    <x v="1266"/>
    <x v="0"/>
    <x v="0"/>
    <x v="0"/>
    <x v="2"/>
  </r>
  <r>
    <x v="1336"/>
    <x v="87"/>
    <x v="1336"/>
    <x v="4"/>
    <x v="0"/>
    <x v="6"/>
    <x v="5"/>
    <x v="1267"/>
    <x v="0"/>
    <x v="0"/>
    <x v="0"/>
    <x v="3"/>
  </r>
  <r>
    <x v="1337"/>
    <x v="87"/>
    <x v="1337"/>
    <x v="0"/>
    <x v="0"/>
    <x v="0"/>
    <x v="2"/>
    <x v="1268"/>
    <x v="0"/>
    <x v="0"/>
    <x v="0"/>
    <x v="5"/>
  </r>
  <r>
    <x v="1338"/>
    <x v="87"/>
    <x v="1338"/>
    <x v="0"/>
    <x v="0"/>
    <x v="0"/>
    <x v="14"/>
    <x v="1269"/>
    <x v="0"/>
    <x v="0"/>
    <x v="0"/>
    <x v="5"/>
  </r>
  <r>
    <x v="1339"/>
    <x v="87"/>
    <x v="1339"/>
    <x v="4"/>
    <x v="0"/>
    <x v="6"/>
    <x v="5"/>
    <x v="1270"/>
    <x v="0"/>
    <x v="0"/>
    <x v="0"/>
    <x v="5"/>
  </r>
  <r>
    <x v="1340"/>
    <x v="87"/>
    <x v="1340"/>
    <x v="4"/>
    <x v="0"/>
    <x v="6"/>
    <x v="7"/>
    <x v="1271"/>
    <x v="0"/>
    <x v="0"/>
    <x v="0"/>
    <x v="5"/>
  </r>
  <r>
    <x v="1341"/>
    <x v="87"/>
    <x v="1341"/>
    <x v="0"/>
    <x v="0"/>
    <x v="0"/>
    <x v="1"/>
    <x v="1272"/>
    <x v="0"/>
    <x v="0"/>
    <x v="0"/>
    <x v="5"/>
  </r>
  <r>
    <x v="1342"/>
    <x v="87"/>
    <x v="1342"/>
    <x v="4"/>
    <x v="5"/>
    <x v="9"/>
    <x v="4"/>
    <x v="1273"/>
    <x v="0"/>
    <x v="0"/>
    <x v="0"/>
    <x v="6"/>
  </r>
  <r>
    <x v="1343"/>
    <x v="87"/>
    <x v="1343"/>
    <x v="0"/>
    <x v="4"/>
    <x v="11"/>
    <x v="5"/>
    <x v="1274"/>
    <x v="0"/>
    <x v="0"/>
    <x v="0"/>
    <x v="18"/>
  </r>
  <r>
    <x v="1344"/>
    <x v="87"/>
    <x v="1344"/>
    <x v="3"/>
    <x v="0"/>
    <x v="4"/>
    <x v="6"/>
    <x v="1275"/>
    <x v="0"/>
    <x v="0"/>
    <x v="0"/>
    <x v="13"/>
  </r>
  <r>
    <x v="1345"/>
    <x v="87"/>
    <x v="1345"/>
    <x v="0"/>
    <x v="0"/>
    <x v="0"/>
    <x v="0"/>
    <x v="1276"/>
    <x v="0"/>
    <x v="0"/>
    <x v="0"/>
    <x v="13"/>
  </r>
  <r>
    <x v="1346"/>
    <x v="87"/>
    <x v="1346"/>
    <x v="3"/>
    <x v="0"/>
    <x v="4"/>
    <x v="2"/>
    <x v="1277"/>
    <x v="0"/>
    <x v="0"/>
    <x v="0"/>
    <x v="9"/>
  </r>
  <r>
    <x v="1347"/>
    <x v="87"/>
    <x v="1347"/>
    <x v="4"/>
    <x v="4"/>
    <x v="7"/>
    <x v="0"/>
    <x v="1278"/>
    <x v="0"/>
    <x v="0"/>
    <x v="0"/>
    <x v="14"/>
  </r>
  <r>
    <x v="1348"/>
    <x v="87"/>
    <x v="1348"/>
    <x v="0"/>
    <x v="2"/>
    <x v="2"/>
    <x v="9"/>
    <x v="1279"/>
    <x v="0"/>
    <x v="0"/>
    <x v="0"/>
    <x v="14"/>
  </r>
  <r>
    <x v="1349"/>
    <x v="87"/>
    <x v="1349"/>
    <x v="0"/>
    <x v="4"/>
    <x v="11"/>
    <x v="4"/>
    <x v="1280"/>
    <x v="0"/>
    <x v="0"/>
    <x v="0"/>
    <x v="20"/>
  </r>
  <r>
    <x v="1350"/>
    <x v="88"/>
    <x v="1350"/>
    <x v="5"/>
    <x v="0"/>
    <x v="14"/>
    <x v="7"/>
    <x v="1281"/>
    <x v="0"/>
    <x v="0"/>
    <x v="0"/>
    <x v="11"/>
  </r>
  <r>
    <x v="1351"/>
    <x v="88"/>
    <x v="1351"/>
    <x v="0"/>
    <x v="0"/>
    <x v="0"/>
    <x v="7"/>
    <x v="1282"/>
    <x v="0"/>
    <x v="0"/>
    <x v="0"/>
    <x v="11"/>
  </r>
  <r>
    <x v="1352"/>
    <x v="88"/>
    <x v="1352"/>
    <x v="1"/>
    <x v="3"/>
    <x v="57"/>
    <x v="4"/>
    <x v="1283"/>
    <x v="0"/>
    <x v="0"/>
    <x v="0"/>
    <x v="12"/>
  </r>
  <r>
    <x v="1353"/>
    <x v="88"/>
    <x v="1353"/>
    <x v="4"/>
    <x v="10"/>
    <x v="58"/>
    <x v="7"/>
    <x v="1284"/>
    <x v="0"/>
    <x v="0"/>
    <x v="0"/>
    <x v="0"/>
  </r>
  <r>
    <x v="1354"/>
    <x v="88"/>
    <x v="1354"/>
    <x v="0"/>
    <x v="0"/>
    <x v="0"/>
    <x v="4"/>
    <x v="545"/>
    <x v="0"/>
    <x v="0"/>
    <x v="0"/>
    <x v="1"/>
  </r>
  <r>
    <x v="1355"/>
    <x v="88"/>
    <x v="1355"/>
    <x v="10"/>
    <x v="0"/>
    <x v="48"/>
    <x v="7"/>
    <x v="1285"/>
    <x v="0"/>
    <x v="0"/>
    <x v="0"/>
    <x v="2"/>
  </r>
  <r>
    <x v="1356"/>
    <x v="88"/>
    <x v="1356"/>
    <x v="0"/>
    <x v="0"/>
    <x v="0"/>
    <x v="2"/>
    <x v="545"/>
    <x v="0"/>
    <x v="0"/>
    <x v="0"/>
    <x v="5"/>
  </r>
  <r>
    <x v="1357"/>
    <x v="88"/>
    <x v="1357"/>
    <x v="0"/>
    <x v="0"/>
    <x v="0"/>
    <x v="13"/>
    <x v="1286"/>
    <x v="0"/>
    <x v="0"/>
    <x v="0"/>
    <x v="5"/>
  </r>
  <r>
    <x v="1358"/>
    <x v="88"/>
    <x v="1358"/>
    <x v="0"/>
    <x v="2"/>
    <x v="2"/>
    <x v="7"/>
    <x v="1287"/>
    <x v="0"/>
    <x v="0"/>
    <x v="0"/>
    <x v="18"/>
  </r>
  <r>
    <x v="1359"/>
    <x v="88"/>
    <x v="1359"/>
    <x v="0"/>
    <x v="0"/>
    <x v="0"/>
    <x v="1"/>
    <x v="1288"/>
    <x v="0"/>
    <x v="0"/>
    <x v="0"/>
    <x v="18"/>
  </r>
  <r>
    <x v="1360"/>
    <x v="88"/>
    <x v="1360"/>
    <x v="3"/>
    <x v="2"/>
    <x v="27"/>
    <x v="3"/>
    <x v="1289"/>
    <x v="0"/>
    <x v="0"/>
    <x v="0"/>
    <x v="7"/>
  </r>
  <r>
    <x v="1361"/>
    <x v="88"/>
    <x v="1361"/>
    <x v="3"/>
    <x v="0"/>
    <x v="4"/>
    <x v="5"/>
    <x v="1290"/>
    <x v="0"/>
    <x v="0"/>
    <x v="0"/>
    <x v="7"/>
  </r>
  <r>
    <x v="1362"/>
    <x v="88"/>
    <x v="1362"/>
    <x v="3"/>
    <x v="2"/>
    <x v="27"/>
    <x v="6"/>
    <x v="545"/>
    <x v="0"/>
    <x v="0"/>
    <x v="0"/>
    <x v="13"/>
  </r>
  <r>
    <x v="1363"/>
    <x v="88"/>
    <x v="1363"/>
    <x v="4"/>
    <x v="4"/>
    <x v="7"/>
    <x v="7"/>
    <x v="1291"/>
    <x v="0"/>
    <x v="0"/>
    <x v="0"/>
    <x v="14"/>
  </r>
  <r>
    <x v="1364"/>
    <x v="89"/>
    <x v="1364"/>
    <x v="1"/>
    <x v="0"/>
    <x v="24"/>
    <x v="2"/>
    <x v="1292"/>
    <x v="0"/>
    <x v="0"/>
    <x v="0"/>
    <x v="11"/>
  </r>
  <r>
    <x v="1365"/>
    <x v="89"/>
    <x v="1365"/>
    <x v="0"/>
    <x v="1"/>
    <x v="28"/>
    <x v="1"/>
    <x v="1293"/>
    <x v="0"/>
    <x v="0"/>
    <x v="0"/>
    <x v="11"/>
  </r>
  <r>
    <x v="1366"/>
    <x v="89"/>
    <x v="1366"/>
    <x v="3"/>
    <x v="4"/>
    <x v="16"/>
    <x v="4"/>
    <x v="1294"/>
    <x v="0"/>
    <x v="0"/>
    <x v="0"/>
    <x v="11"/>
  </r>
  <r>
    <x v="1367"/>
    <x v="89"/>
    <x v="1367"/>
    <x v="10"/>
    <x v="0"/>
    <x v="48"/>
    <x v="5"/>
    <x v="1295"/>
    <x v="0"/>
    <x v="0"/>
    <x v="0"/>
    <x v="0"/>
  </r>
  <r>
    <x v="1368"/>
    <x v="89"/>
    <x v="1368"/>
    <x v="3"/>
    <x v="0"/>
    <x v="4"/>
    <x v="9"/>
    <x v="1296"/>
    <x v="0"/>
    <x v="0"/>
    <x v="0"/>
    <x v="0"/>
  </r>
  <r>
    <x v="1369"/>
    <x v="89"/>
    <x v="1369"/>
    <x v="0"/>
    <x v="0"/>
    <x v="0"/>
    <x v="0"/>
    <x v="1297"/>
    <x v="0"/>
    <x v="0"/>
    <x v="0"/>
    <x v="0"/>
  </r>
  <r>
    <x v="1370"/>
    <x v="89"/>
    <x v="1370"/>
    <x v="1"/>
    <x v="3"/>
    <x v="57"/>
    <x v="6"/>
    <x v="1298"/>
    <x v="0"/>
    <x v="0"/>
    <x v="0"/>
    <x v="1"/>
  </r>
  <r>
    <x v="1371"/>
    <x v="89"/>
    <x v="1371"/>
    <x v="4"/>
    <x v="0"/>
    <x v="6"/>
    <x v="5"/>
    <x v="1299"/>
    <x v="0"/>
    <x v="0"/>
    <x v="0"/>
    <x v="1"/>
  </r>
  <r>
    <x v="1372"/>
    <x v="89"/>
    <x v="1372"/>
    <x v="5"/>
    <x v="1"/>
    <x v="23"/>
    <x v="5"/>
    <x v="1300"/>
    <x v="0"/>
    <x v="0"/>
    <x v="0"/>
    <x v="1"/>
  </r>
  <r>
    <x v="1373"/>
    <x v="89"/>
    <x v="1373"/>
    <x v="6"/>
    <x v="1"/>
    <x v="19"/>
    <x v="5"/>
    <x v="1301"/>
    <x v="0"/>
    <x v="0"/>
    <x v="0"/>
    <x v="2"/>
  </r>
  <r>
    <x v="1374"/>
    <x v="89"/>
    <x v="1374"/>
    <x v="0"/>
    <x v="0"/>
    <x v="0"/>
    <x v="3"/>
    <x v="545"/>
    <x v="0"/>
    <x v="0"/>
    <x v="0"/>
    <x v="2"/>
  </r>
  <r>
    <x v="1375"/>
    <x v="89"/>
    <x v="1375"/>
    <x v="0"/>
    <x v="12"/>
    <x v="49"/>
    <x v="8"/>
    <x v="1302"/>
    <x v="0"/>
    <x v="0"/>
    <x v="0"/>
    <x v="6"/>
  </r>
  <r>
    <x v="1376"/>
    <x v="89"/>
    <x v="1376"/>
    <x v="0"/>
    <x v="0"/>
    <x v="0"/>
    <x v="6"/>
    <x v="1303"/>
    <x v="0"/>
    <x v="0"/>
    <x v="0"/>
    <x v="7"/>
  </r>
  <r>
    <x v="1377"/>
    <x v="89"/>
    <x v="1377"/>
    <x v="4"/>
    <x v="0"/>
    <x v="6"/>
    <x v="5"/>
    <x v="1304"/>
    <x v="0"/>
    <x v="0"/>
    <x v="0"/>
    <x v="7"/>
  </r>
  <r>
    <x v="1378"/>
    <x v="89"/>
    <x v="1378"/>
    <x v="0"/>
    <x v="0"/>
    <x v="0"/>
    <x v="1"/>
    <x v="1305"/>
    <x v="0"/>
    <x v="0"/>
    <x v="0"/>
    <x v="7"/>
  </r>
  <r>
    <x v="1379"/>
    <x v="89"/>
    <x v="1379"/>
    <x v="3"/>
    <x v="0"/>
    <x v="4"/>
    <x v="7"/>
    <x v="545"/>
    <x v="0"/>
    <x v="0"/>
    <x v="0"/>
    <x v="13"/>
  </r>
  <r>
    <x v="1380"/>
    <x v="89"/>
    <x v="1380"/>
    <x v="0"/>
    <x v="4"/>
    <x v="11"/>
    <x v="2"/>
    <x v="545"/>
    <x v="0"/>
    <x v="0"/>
    <x v="0"/>
    <x v="9"/>
  </r>
  <r>
    <x v="1381"/>
    <x v="89"/>
    <x v="1381"/>
    <x v="4"/>
    <x v="4"/>
    <x v="7"/>
    <x v="6"/>
    <x v="545"/>
    <x v="0"/>
    <x v="0"/>
    <x v="0"/>
    <x v="9"/>
  </r>
  <r>
    <x v="1382"/>
    <x v="89"/>
    <x v="1382"/>
    <x v="4"/>
    <x v="0"/>
    <x v="6"/>
    <x v="5"/>
    <x v="1306"/>
    <x v="0"/>
    <x v="0"/>
    <x v="0"/>
    <x v="9"/>
  </r>
  <r>
    <x v="1383"/>
    <x v="89"/>
    <x v="1383"/>
    <x v="4"/>
    <x v="0"/>
    <x v="6"/>
    <x v="6"/>
    <x v="1307"/>
    <x v="0"/>
    <x v="0"/>
    <x v="0"/>
    <x v="10"/>
  </r>
  <r>
    <x v="1384"/>
    <x v="90"/>
    <x v="1384"/>
    <x v="4"/>
    <x v="0"/>
    <x v="6"/>
    <x v="2"/>
    <x v="1308"/>
    <x v="0"/>
    <x v="0"/>
    <x v="0"/>
    <x v="11"/>
  </r>
  <r>
    <x v="1385"/>
    <x v="90"/>
    <x v="1385"/>
    <x v="6"/>
    <x v="0"/>
    <x v="21"/>
    <x v="6"/>
    <x v="1309"/>
    <x v="0"/>
    <x v="0"/>
    <x v="0"/>
    <x v="11"/>
  </r>
  <r>
    <x v="1386"/>
    <x v="90"/>
    <x v="1386"/>
    <x v="4"/>
    <x v="0"/>
    <x v="6"/>
    <x v="6"/>
    <x v="1310"/>
    <x v="0"/>
    <x v="0"/>
    <x v="0"/>
    <x v="1"/>
  </r>
  <r>
    <x v="1387"/>
    <x v="90"/>
    <x v="1387"/>
    <x v="0"/>
    <x v="0"/>
    <x v="0"/>
    <x v="7"/>
    <x v="545"/>
    <x v="0"/>
    <x v="0"/>
    <x v="0"/>
    <x v="1"/>
  </r>
  <r>
    <x v="1388"/>
    <x v="90"/>
    <x v="1388"/>
    <x v="0"/>
    <x v="0"/>
    <x v="0"/>
    <x v="6"/>
    <x v="545"/>
    <x v="0"/>
    <x v="0"/>
    <x v="0"/>
    <x v="3"/>
  </r>
  <r>
    <x v="1389"/>
    <x v="90"/>
    <x v="1389"/>
    <x v="3"/>
    <x v="4"/>
    <x v="16"/>
    <x v="5"/>
    <x v="545"/>
    <x v="0"/>
    <x v="0"/>
    <x v="0"/>
    <x v="3"/>
  </r>
  <r>
    <x v="1390"/>
    <x v="90"/>
    <x v="1390"/>
    <x v="7"/>
    <x v="0"/>
    <x v="53"/>
    <x v="7"/>
    <x v="1311"/>
    <x v="0"/>
    <x v="0"/>
    <x v="0"/>
    <x v="4"/>
  </r>
  <r>
    <x v="1391"/>
    <x v="90"/>
    <x v="1391"/>
    <x v="0"/>
    <x v="0"/>
    <x v="0"/>
    <x v="2"/>
    <x v="545"/>
    <x v="0"/>
    <x v="0"/>
    <x v="0"/>
    <x v="5"/>
  </r>
  <r>
    <x v="1392"/>
    <x v="90"/>
    <x v="1392"/>
    <x v="0"/>
    <x v="0"/>
    <x v="0"/>
    <x v="1"/>
    <x v="545"/>
    <x v="0"/>
    <x v="0"/>
    <x v="0"/>
    <x v="5"/>
  </r>
  <r>
    <x v="1393"/>
    <x v="90"/>
    <x v="1393"/>
    <x v="0"/>
    <x v="0"/>
    <x v="0"/>
    <x v="2"/>
    <x v="1312"/>
    <x v="0"/>
    <x v="0"/>
    <x v="0"/>
    <x v="7"/>
  </r>
  <r>
    <x v="1394"/>
    <x v="90"/>
    <x v="1394"/>
    <x v="3"/>
    <x v="2"/>
    <x v="27"/>
    <x v="4"/>
    <x v="1313"/>
    <x v="0"/>
    <x v="0"/>
    <x v="0"/>
    <x v="7"/>
  </r>
  <r>
    <x v="1395"/>
    <x v="90"/>
    <x v="1395"/>
    <x v="3"/>
    <x v="0"/>
    <x v="4"/>
    <x v="7"/>
    <x v="1314"/>
    <x v="0"/>
    <x v="0"/>
    <x v="0"/>
    <x v="9"/>
  </r>
  <r>
    <x v="1396"/>
    <x v="90"/>
    <x v="1396"/>
    <x v="4"/>
    <x v="0"/>
    <x v="6"/>
    <x v="1"/>
    <x v="1315"/>
    <x v="0"/>
    <x v="0"/>
    <x v="0"/>
    <x v="9"/>
  </r>
  <r>
    <x v="1397"/>
    <x v="90"/>
    <x v="1397"/>
    <x v="0"/>
    <x v="4"/>
    <x v="11"/>
    <x v="1"/>
    <x v="1316"/>
    <x v="0"/>
    <x v="0"/>
    <x v="0"/>
    <x v="14"/>
  </r>
  <r>
    <x v="1398"/>
    <x v="91"/>
    <x v="1398"/>
    <x v="5"/>
    <x v="0"/>
    <x v="14"/>
    <x v="7"/>
    <x v="1317"/>
    <x v="0"/>
    <x v="0"/>
    <x v="0"/>
    <x v="11"/>
  </r>
  <r>
    <x v="1399"/>
    <x v="91"/>
    <x v="1399"/>
    <x v="3"/>
    <x v="0"/>
    <x v="4"/>
    <x v="7"/>
    <x v="1318"/>
    <x v="0"/>
    <x v="0"/>
    <x v="0"/>
    <x v="0"/>
  </r>
  <r>
    <x v="1400"/>
    <x v="91"/>
    <x v="1400"/>
    <x v="4"/>
    <x v="0"/>
    <x v="6"/>
    <x v="5"/>
    <x v="1319"/>
    <x v="0"/>
    <x v="0"/>
    <x v="0"/>
    <x v="0"/>
  </r>
  <r>
    <x v="1401"/>
    <x v="91"/>
    <x v="1401"/>
    <x v="1"/>
    <x v="4"/>
    <x v="35"/>
    <x v="11"/>
    <x v="1320"/>
    <x v="0"/>
    <x v="0"/>
    <x v="0"/>
    <x v="0"/>
  </r>
  <r>
    <x v="1402"/>
    <x v="91"/>
    <x v="1402"/>
    <x v="0"/>
    <x v="1"/>
    <x v="28"/>
    <x v="7"/>
    <x v="1321"/>
    <x v="0"/>
    <x v="0"/>
    <x v="0"/>
    <x v="2"/>
  </r>
  <r>
    <x v="1403"/>
    <x v="91"/>
    <x v="1403"/>
    <x v="8"/>
    <x v="1"/>
    <x v="30"/>
    <x v="7"/>
    <x v="1322"/>
    <x v="0"/>
    <x v="0"/>
    <x v="11"/>
    <x v="2"/>
  </r>
  <r>
    <x v="1404"/>
    <x v="91"/>
    <x v="1404"/>
    <x v="0"/>
    <x v="2"/>
    <x v="2"/>
    <x v="1"/>
    <x v="1323"/>
    <x v="0"/>
    <x v="0"/>
    <x v="0"/>
    <x v="6"/>
  </r>
  <r>
    <x v="1405"/>
    <x v="91"/>
    <x v="1405"/>
    <x v="4"/>
    <x v="0"/>
    <x v="6"/>
    <x v="7"/>
    <x v="1324"/>
    <x v="0"/>
    <x v="0"/>
    <x v="0"/>
    <x v="6"/>
  </r>
  <r>
    <x v="1406"/>
    <x v="91"/>
    <x v="1406"/>
    <x v="3"/>
    <x v="4"/>
    <x v="16"/>
    <x v="2"/>
    <x v="1325"/>
    <x v="0"/>
    <x v="0"/>
    <x v="0"/>
    <x v="6"/>
  </r>
  <r>
    <x v="1407"/>
    <x v="91"/>
    <x v="1407"/>
    <x v="0"/>
    <x v="1"/>
    <x v="28"/>
    <x v="3"/>
    <x v="1326"/>
    <x v="0"/>
    <x v="0"/>
    <x v="0"/>
    <x v="6"/>
  </r>
  <r>
    <x v="1408"/>
    <x v="91"/>
    <x v="1408"/>
    <x v="4"/>
    <x v="0"/>
    <x v="6"/>
    <x v="2"/>
    <x v="1327"/>
    <x v="0"/>
    <x v="0"/>
    <x v="0"/>
    <x v="18"/>
  </r>
  <r>
    <x v="1409"/>
    <x v="91"/>
    <x v="1409"/>
    <x v="0"/>
    <x v="0"/>
    <x v="0"/>
    <x v="7"/>
    <x v="1328"/>
    <x v="0"/>
    <x v="0"/>
    <x v="0"/>
    <x v="13"/>
  </r>
  <r>
    <x v="1410"/>
    <x v="92"/>
    <x v="1410"/>
    <x v="1"/>
    <x v="4"/>
    <x v="35"/>
    <x v="4"/>
    <x v="1329"/>
    <x v="0"/>
    <x v="0"/>
    <x v="0"/>
    <x v="11"/>
  </r>
  <r>
    <x v="1411"/>
    <x v="92"/>
    <x v="1411"/>
    <x v="6"/>
    <x v="0"/>
    <x v="21"/>
    <x v="7"/>
    <x v="1330"/>
    <x v="0"/>
    <x v="0"/>
    <x v="0"/>
    <x v="11"/>
  </r>
  <r>
    <x v="1412"/>
    <x v="92"/>
    <x v="1412"/>
    <x v="9"/>
    <x v="0"/>
    <x v="31"/>
    <x v="2"/>
    <x v="1331"/>
    <x v="0"/>
    <x v="0"/>
    <x v="0"/>
    <x v="11"/>
  </r>
  <r>
    <x v="1413"/>
    <x v="92"/>
    <x v="1413"/>
    <x v="1"/>
    <x v="10"/>
    <x v="77"/>
    <x v="4"/>
    <x v="1332"/>
    <x v="0"/>
    <x v="0"/>
    <x v="0"/>
    <x v="12"/>
  </r>
  <r>
    <x v="1414"/>
    <x v="92"/>
    <x v="1414"/>
    <x v="3"/>
    <x v="5"/>
    <x v="8"/>
    <x v="6"/>
    <x v="1333"/>
    <x v="0"/>
    <x v="0"/>
    <x v="0"/>
    <x v="12"/>
  </r>
  <r>
    <x v="1415"/>
    <x v="92"/>
    <x v="1415"/>
    <x v="7"/>
    <x v="1"/>
    <x v="60"/>
    <x v="7"/>
    <x v="1334"/>
    <x v="0"/>
    <x v="0"/>
    <x v="0"/>
    <x v="12"/>
  </r>
  <r>
    <x v="1416"/>
    <x v="92"/>
    <x v="1416"/>
    <x v="5"/>
    <x v="0"/>
    <x v="14"/>
    <x v="1"/>
    <x v="1335"/>
    <x v="0"/>
    <x v="0"/>
    <x v="0"/>
    <x v="0"/>
  </r>
  <r>
    <x v="1417"/>
    <x v="92"/>
    <x v="1417"/>
    <x v="0"/>
    <x v="5"/>
    <x v="25"/>
    <x v="1"/>
    <x v="1336"/>
    <x v="0"/>
    <x v="0"/>
    <x v="0"/>
    <x v="0"/>
  </r>
  <r>
    <x v="1418"/>
    <x v="92"/>
    <x v="1418"/>
    <x v="4"/>
    <x v="1"/>
    <x v="5"/>
    <x v="4"/>
    <x v="1337"/>
    <x v="0"/>
    <x v="0"/>
    <x v="0"/>
    <x v="0"/>
  </r>
  <r>
    <x v="1419"/>
    <x v="92"/>
    <x v="1419"/>
    <x v="4"/>
    <x v="0"/>
    <x v="6"/>
    <x v="6"/>
    <x v="1338"/>
    <x v="0"/>
    <x v="0"/>
    <x v="0"/>
    <x v="1"/>
  </r>
  <r>
    <x v="1420"/>
    <x v="92"/>
    <x v="1420"/>
    <x v="2"/>
    <x v="4"/>
    <x v="72"/>
    <x v="8"/>
    <x v="1339"/>
    <x v="0"/>
    <x v="0"/>
    <x v="0"/>
    <x v="1"/>
  </r>
  <r>
    <x v="1421"/>
    <x v="92"/>
    <x v="1421"/>
    <x v="1"/>
    <x v="0"/>
    <x v="24"/>
    <x v="4"/>
    <x v="1340"/>
    <x v="0"/>
    <x v="0"/>
    <x v="0"/>
    <x v="1"/>
  </r>
  <r>
    <x v="1422"/>
    <x v="92"/>
    <x v="1422"/>
    <x v="12"/>
    <x v="0"/>
    <x v="46"/>
    <x v="5"/>
    <x v="1341"/>
    <x v="0"/>
    <x v="0"/>
    <x v="0"/>
    <x v="2"/>
  </r>
  <r>
    <x v="1423"/>
    <x v="92"/>
    <x v="1423"/>
    <x v="0"/>
    <x v="0"/>
    <x v="0"/>
    <x v="5"/>
    <x v="1342"/>
    <x v="0"/>
    <x v="0"/>
    <x v="0"/>
    <x v="5"/>
  </r>
  <r>
    <x v="1424"/>
    <x v="92"/>
    <x v="1424"/>
    <x v="4"/>
    <x v="0"/>
    <x v="6"/>
    <x v="6"/>
    <x v="1343"/>
    <x v="0"/>
    <x v="0"/>
    <x v="0"/>
    <x v="6"/>
  </r>
  <r>
    <x v="1425"/>
    <x v="92"/>
    <x v="1425"/>
    <x v="4"/>
    <x v="5"/>
    <x v="9"/>
    <x v="2"/>
    <x v="1344"/>
    <x v="0"/>
    <x v="0"/>
    <x v="0"/>
    <x v="16"/>
  </r>
  <r>
    <x v="1426"/>
    <x v="92"/>
    <x v="1426"/>
    <x v="4"/>
    <x v="0"/>
    <x v="6"/>
    <x v="4"/>
    <x v="1345"/>
    <x v="0"/>
    <x v="0"/>
    <x v="0"/>
    <x v="7"/>
  </r>
  <r>
    <x v="1427"/>
    <x v="92"/>
    <x v="1427"/>
    <x v="3"/>
    <x v="0"/>
    <x v="4"/>
    <x v="2"/>
    <x v="1346"/>
    <x v="0"/>
    <x v="0"/>
    <x v="0"/>
    <x v="13"/>
  </r>
  <r>
    <x v="1428"/>
    <x v="92"/>
    <x v="1428"/>
    <x v="0"/>
    <x v="0"/>
    <x v="0"/>
    <x v="6"/>
    <x v="1347"/>
    <x v="0"/>
    <x v="0"/>
    <x v="0"/>
    <x v="13"/>
  </r>
  <r>
    <x v="1429"/>
    <x v="92"/>
    <x v="1429"/>
    <x v="0"/>
    <x v="0"/>
    <x v="0"/>
    <x v="5"/>
    <x v="1348"/>
    <x v="0"/>
    <x v="0"/>
    <x v="0"/>
    <x v="13"/>
  </r>
  <r>
    <x v="1430"/>
    <x v="92"/>
    <x v="1430"/>
    <x v="0"/>
    <x v="1"/>
    <x v="28"/>
    <x v="2"/>
    <x v="1349"/>
    <x v="0"/>
    <x v="0"/>
    <x v="0"/>
    <x v="9"/>
  </r>
  <r>
    <x v="1431"/>
    <x v="93"/>
    <x v="1431"/>
    <x v="5"/>
    <x v="1"/>
    <x v="23"/>
    <x v="5"/>
    <x v="1350"/>
    <x v="0"/>
    <x v="0"/>
    <x v="0"/>
    <x v="11"/>
  </r>
  <r>
    <x v="1432"/>
    <x v="93"/>
    <x v="1432"/>
    <x v="6"/>
    <x v="0"/>
    <x v="21"/>
    <x v="0"/>
    <x v="1351"/>
    <x v="0"/>
    <x v="0"/>
    <x v="0"/>
    <x v="12"/>
  </r>
  <r>
    <x v="1433"/>
    <x v="93"/>
    <x v="1433"/>
    <x v="0"/>
    <x v="0"/>
    <x v="0"/>
    <x v="4"/>
    <x v="1352"/>
    <x v="0"/>
    <x v="0"/>
    <x v="0"/>
    <x v="0"/>
  </r>
  <r>
    <x v="1434"/>
    <x v="93"/>
    <x v="1434"/>
    <x v="0"/>
    <x v="16"/>
    <x v="78"/>
    <x v="5"/>
    <x v="1353"/>
    <x v="0"/>
    <x v="0"/>
    <x v="0"/>
    <x v="17"/>
  </r>
  <r>
    <x v="1435"/>
    <x v="93"/>
    <x v="1435"/>
    <x v="4"/>
    <x v="0"/>
    <x v="6"/>
    <x v="3"/>
    <x v="1354"/>
    <x v="0"/>
    <x v="0"/>
    <x v="0"/>
    <x v="5"/>
  </r>
  <r>
    <x v="1436"/>
    <x v="93"/>
    <x v="1436"/>
    <x v="0"/>
    <x v="0"/>
    <x v="0"/>
    <x v="5"/>
    <x v="1355"/>
    <x v="0"/>
    <x v="0"/>
    <x v="0"/>
    <x v="7"/>
  </r>
  <r>
    <x v="1437"/>
    <x v="93"/>
    <x v="1437"/>
    <x v="4"/>
    <x v="0"/>
    <x v="6"/>
    <x v="4"/>
    <x v="1356"/>
    <x v="0"/>
    <x v="0"/>
    <x v="0"/>
    <x v="7"/>
  </r>
  <r>
    <x v="1438"/>
    <x v="93"/>
    <x v="1438"/>
    <x v="0"/>
    <x v="1"/>
    <x v="28"/>
    <x v="4"/>
    <x v="1357"/>
    <x v="0"/>
    <x v="0"/>
    <x v="0"/>
    <x v="7"/>
  </r>
  <r>
    <x v="1439"/>
    <x v="93"/>
    <x v="1439"/>
    <x v="0"/>
    <x v="0"/>
    <x v="0"/>
    <x v="7"/>
    <x v="1358"/>
    <x v="0"/>
    <x v="14"/>
    <x v="0"/>
    <x v="8"/>
  </r>
  <r>
    <x v="1440"/>
    <x v="93"/>
    <x v="1440"/>
    <x v="0"/>
    <x v="0"/>
    <x v="0"/>
    <x v="5"/>
    <x v="1359"/>
    <x v="0"/>
    <x v="0"/>
    <x v="0"/>
    <x v="9"/>
  </r>
  <r>
    <x v="1441"/>
    <x v="93"/>
    <x v="1441"/>
    <x v="0"/>
    <x v="6"/>
    <x v="10"/>
    <x v="4"/>
    <x v="1360"/>
    <x v="0"/>
    <x v="0"/>
    <x v="0"/>
    <x v="9"/>
  </r>
  <r>
    <x v="1442"/>
    <x v="93"/>
    <x v="1442"/>
    <x v="0"/>
    <x v="4"/>
    <x v="11"/>
    <x v="8"/>
    <x v="545"/>
    <x v="0"/>
    <x v="0"/>
    <x v="0"/>
    <x v="9"/>
  </r>
  <r>
    <x v="1443"/>
    <x v="93"/>
    <x v="1443"/>
    <x v="4"/>
    <x v="0"/>
    <x v="6"/>
    <x v="6"/>
    <x v="545"/>
    <x v="0"/>
    <x v="0"/>
    <x v="0"/>
    <x v="9"/>
  </r>
  <r>
    <x v="1444"/>
    <x v="93"/>
    <x v="1444"/>
    <x v="4"/>
    <x v="4"/>
    <x v="7"/>
    <x v="5"/>
    <x v="1361"/>
    <x v="0"/>
    <x v="0"/>
    <x v="0"/>
    <x v="10"/>
  </r>
  <r>
    <x v="1445"/>
    <x v="93"/>
    <x v="1445"/>
    <x v="0"/>
    <x v="0"/>
    <x v="0"/>
    <x v="2"/>
    <x v="1362"/>
    <x v="0"/>
    <x v="0"/>
    <x v="0"/>
    <x v="10"/>
  </r>
  <r>
    <x v="1446"/>
    <x v="93"/>
    <x v="1446"/>
    <x v="3"/>
    <x v="0"/>
    <x v="4"/>
    <x v="5"/>
    <x v="1363"/>
    <x v="0"/>
    <x v="0"/>
    <x v="0"/>
    <x v="10"/>
  </r>
  <r>
    <x v="1447"/>
    <x v="93"/>
    <x v="1447"/>
    <x v="4"/>
    <x v="0"/>
    <x v="6"/>
    <x v="1"/>
    <x v="1364"/>
    <x v="0"/>
    <x v="0"/>
    <x v="0"/>
    <x v="10"/>
  </r>
  <r>
    <x v="1448"/>
    <x v="93"/>
    <x v="1448"/>
    <x v="3"/>
    <x v="0"/>
    <x v="4"/>
    <x v="5"/>
    <x v="1365"/>
    <x v="0"/>
    <x v="0"/>
    <x v="0"/>
    <x v="10"/>
  </r>
  <r>
    <x v="1449"/>
    <x v="93"/>
    <x v="1449"/>
    <x v="4"/>
    <x v="0"/>
    <x v="6"/>
    <x v="6"/>
    <x v="1366"/>
    <x v="0"/>
    <x v="0"/>
    <x v="0"/>
    <x v="10"/>
  </r>
  <r>
    <x v="1450"/>
    <x v="93"/>
    <x v="1450"/>
    <x v="0"/>
    <x v="0"/>
    <x v="0"/>
    <x v="2"/>
    <x v="1367"/>
    <x v="0"/>
    <x v="0"/>
    <x v="0"/>
    <x v="10"/>
  </r>
  <r>
    <x v="1451"/>
    <x v="93"/>
    <x v="1451"/>
    <x v="0"/>
    <x v="0"/>
    <x v="0"/>
    <x v="7"/>
    <x v="1368"/>
    <x v="0"/>
    <x v="0"/>
    <x v="0"/>
    <x v="15"/>
  </r>
  <r>
    <x v="1452"/>
    <x v="94"/>
    <x v="1452"/>
    <x v="6"/>
    <x v="1"/>
    <x v="19"/>
    <x v="0"/>
    <x v="1369"/>
    <x v="0"/>
    <x v="0"/>
    <x v="0"/>
    <x v="11"/>
  </r>
  <r>
    <x v="1453"/>
    <x v="94"/>
    <x v="1453"/>
    <x v="5"/>
    <x v="0"/>
    <x v="14"/>
    <x v="5"/>
    <x v="1370"/>
    <x v="0"/>
    <x v="0"/>
    <x v="0"/>
    <x v="11"/>
  </r>
  <r>
    <x v="1454"/>
    <x v="94"/>
    <x v="1454"/>
    <x v="6"/>
    <x v="10"/>
    <x v="32"/>
    <x v="4"/>
    <x v="1371"/>
    <x v="0"/>
    <x v="0"/>
    <x v="0"/>
    <x v="12"/>
  </r>
  <r>
    <x v="1455"/>
    <x v="94"/>
    <x v="1455"/>
    <x v="3"/>
    <x v="0"/>
    <x v="4"/>
    <x v="6"/>
    <x v="1372"/>
    <x v="0"/>
    <x v="0"/>
    <x v="0"/>
    <x v="0"/>
  </r>
  <r>
    <x v="1456"/>
    <x v="94"/>
    <x v="1456"/>
    <x v="6"/>
    <x v="0"/>
    <x v="21"/>
    <x v="2"/>
    <x v="1373"/>
    <x v="0"/>
    <x v="0"/>
    <x v="0"/>
    <x v="0"/>
  </r>
  <r>
    <x v="1457"/>
    <x v="94"/>
    <x v="1457"/>
    <x v="0"/>
    <x v="9"/>
    <x v="79"/>
    <x v="4"/>
    <x v="1374"/>
    <x v="0"/>
    <x v="0"/>
    <x v="0"/>
    <x v="2"/>
  </r>
  <r>
    <x v="1458"/>
    <x v="94"/>
    <x v="1458"/>
    <x v="0"/>
    <x v="0"/>
    <x v="0"/>
    <x v="7"/>
    <x v="545"/>
    <x v="0"/>
    <x v="0"/>
    <x v="0"/>
    <x v="2"/>
  </r>
  <r>
    <x v="1459"/>
    <x v="94"/>
    <x v="1459"/>
    <x v="0"/>
    <x v="0"/>
    <x v="0"/>
    <x v="2"/>
    <x v="1375"/>
    <x v="0"/>
    <x v="0"/>
    <x v="0"/>
    <x v="5"/>
  </r>
  <r>
    <x v="1460"/>
    <x v="94"/>
    <x v="1460"/>
    <x v="3"/>
    <x v="0"/>
    <x v="4"/>
    <x v="2"/>
    <x v="1376"/>
    <x v="0"/>
    <x v="0"/>
    <x v="0"/>
    <x v="7"/>
  </r>
  <r>
    <x v="1461"/>
    <x v="94"/>
    <x v="1461"/>
    <x v="4"/>
    <x v="4"/>
    <x v="7"/>
    <x v="3"/>
    <x v="545"/>
    <x v="0"/>
    <x v="0"/>
    <x v="0"/>
    <x v="9"/>
  </r>
  <r>
    <x v="1462"/>
    <x v="94"/>
    <x v="1462"/>
    <x v="0"/>
    <x v="4"/>
    <x v="11"/>
    <x v="8"/>
    <x v="1377"/>
    <x v="0"/>
    <x v="0"/>
    <x v="0"/>
    <x v="14"/>
  </r>
  <r>
    <x v="1463"/>
    <x v="94"/>
    <x v="1463"/>
    <x v="0"/>
    <x v="0"/>
    <x v="0"/>
    <x v="13"/>
    <x v="1378"/>
    <x v="0"/>
    <x v="0"/>
    <x v="0"/>
    <x v="14"/>
  </r>
  <r>
    <x v="1464"/>
    <x v="94"/>
    <x v="1464"/>
    <x v="3"/>
    <x v="1"/>
    <x v="13"/>
    <x v="8"/>
    <x v="1379"/>
    <x v="0"/>
    <x v="0"/>
    <x v="0"/>
    <x v="23"/>
  </r>
  <r>
    <x v="1465"/>
    <x v="95"/>
    <x v="1465"/>
    <x v="2"/>
    <x v="0"/>
    <x v="59"/>
    <x v="7"/>
    <x v="1380"/>
    <x v="0"/>
    <x v="0"/>
    <x v="0"/>
    <x v="11"/>
  </r>
  <r>
    <x v="1466"/>
    <x v="95"/>
    <x v="1466"/>
    <x v="1"/>
    <x v="4"/>
    <x v="35"/>
    <x v="4"/>
    <x v="1381"/>
    <x v="0"/>
    <x v="0"/>
    <x v="0"/>
    <x v="12"/>
  </r>
  <r>
    <x v="1467"/>
    <x v="95"/>
    <x v="1467"/>
    <x v="5"/>
    <x v="1"/>
    <x v="23"/>
    <x v="8"/>
    <x v="1382"/>
    <x v="0"/>
    <x v="0"/>
    <x v="0"/>
    <x v="12"/>
  </r>
  <r>
    <x v="1468"/>
    <x v="95"/>
    <x v="1468"/>
    <x v="1"/>
    <x v="2"/>
    <x v="18"/>
    <x v="4"/>
    <x v="1383"/>
    <x v="0"/>
    <x v="0"/>
    <x v="0"/>
    <x v="12"/>
  </r>
  <r>
    <x v="1469"/>
    <x v="95"/>
    <x v="1469"/>
    <x v="7"/>
    <x v="0"/>
    <x v="53"/>
    <x v="4"/>
    <x v="1384"/>
    <x v="0"/>
    <x v="0"/>
    <x v="0"/>
    <x v="1"/>
  </r>
  <r>
    <x v="1470"/>
    <x v="95"/>
    <x v="1470"/>
    <x v="0"/>
    <x v="0"/>
    <x v="0"/>
    <x v="5"/>
    <x v="1385"/>
    <x v="0"/>
    <x v="0"/>
    <x v="0"/>
    <x v="1"/>
  </r>
  <r>
    <x v="1471"/>
    <x v="95"/>
    <x v="1471"/>
    <x v="0"/>
    <x v="3"/>
    <x v="47"/>
    <x v="5"/>
    <x v="545"/>
    <x v="0"/>
    <x v="0"/>
    <x v="0"/>
    <x v="3"/>
  </r>
  <r>
    <x v="1472"/>
    <x v="95"/>
    <x v="1472"/>
    <x v="6"/>
    <x v="0"/>
    <x v="21"/>
    <x v="5"/>
    <x v="545"/>
    <x v="0"/>
    <x v="0"/>
    <x v="0"/>
    <x v="3"/>
  </r>
  <r>
    <x v="1473"/>
    <x v="95"/>
    <x v="1473"/>
    <x v="0"/>
    <x v="0"/>
    <x v="0"/>
    <x v="5"/>
    <x v="545"/>
    <x v="0"/>
    <x v="0"/>
    <x v="0"/>
    <x v="5"/>
  </r>
  <r>
    <x v="1474"/>
    <x v="95"/>
    <x v="1474"/>
    <x v="0"/>
    <x v="0"/>
    <x v="0"/>
    <x v="5"/>
    <x v="1386"/>
    <x v="0"/>
    <x v="0"/>
    <x v="0"/>
    <x v="7"/>
  </r>
  <r>
    <x v="1475"/>
    <x v="95"/>
    <x v="1475"/>
    <x v="3"/>
    <x v="0"/>
    <x v="4"/>
    <x v="0"/>
    <x v="1387"/>
    <x v="0"/>
    <x v="0"/>
    <x v="0"/>
    <x v="7"/>
  </r>
  <r>
    <x v="1476"/>
    <x v="95"/>
    <x v="1476"/>
    <x v="3"/>
    <x v="0"/>
    <x v="4"/>
    <x v="7"/>
    <x v="1388"/>
    <x v="0"/>
    <x v="0"/>
    <x v="0"/>
    <x v="15"/>
  </r>
  <r>
    <x v="1477"/>
    <x v="96"/>
    <x v="1477"/>
    <x v="0"/>
    <x v="0"/>
    <x v="0"/>
    <x v="3"/>
    <x v="1389"/>
    <x v="0"/>
    <x v="0"/>
    <x v="0"/>
    <x v="11"/>
  </r>
  <r>
    <x v="1478"/>
    <x v="96"/>
    <x v="1478"/>
    <x v="2"/>
    <x v="0"/>
    <x v="59"/>
    <x v="6"/>
    <x v="1390"/>
    <x v="0"/>
    <x v="0"/>
    <x v="0"/>
    <x v="11"/>
  </r>
  <r>
    <x v="1479"/>
    <x v="96"/>
    <x v="1479"/>
    <x v="2"/>
    <x v="3"/>
    <x v="3"/>
    <x v="6"/>
    <x v="1391"/>
    <x v="0"/>
    <x v="0"/>
    <x v="0"/>
    <x v="0"/>
  </r>
  <r>
    <x v="1480"/>
    <x v="96"/>
    <x v="1480"/>
    <x v="3"/>
    <x v="0"/>
    <x v="4"/>
    <x v="6"/>
    <x v="1392"/>
    <x v="0"/>
    <x v="0"/>
    <x v="0"/>
    <x v="0"/>
  </r>
  <r>
    <x v="1481"/>
    <x v="96"/>
    <x v="1481"/>
    <x v="4"/>
    <x v="0"/>
    <x v="6"/>
    <x v="1"/>
    <x v="1393"/>
    <x v="0"/>
    <x v="0"/>
    <x v="0"/>
    <x v="0"/>
  </r>
  <r>
    <x v="1482"/>
    <x v="96"/>
    <x v="1482"/>
    <x v="0"/>
    <x v="0"/>
    <x v="0"/>
    <x v="3"/>
    <x v="545"/>
    <x v="0"/>
    <x v="0"/>
    <x v="0"/>
    <x v="1"/>
  </r>
  <r>
    <x v="1483"/>
    <x v="96"/>
    <x v="1483"/>
    <x v="0"/>
    <x v="2"/>
    <x v="2"/>
    <x v="3"/>
    <x v="545"/>
    <x v="0"/>
    <x v="0"/>
    <x v="0"/>
    <x v="2"/>
  </r>
  <r>
    <x v="1484"/>
    <x v="96"/>
    <x v="1484"/>
    <x v="4"/>
    <x v="7"/>
    <x v="80"/>
    <x v="5"/>
    <x v="1394"/>
    <x v="0"/>
    <x v="0"/>
    <x v="0"/>
    <x v="3"/>
  </r>
  <r>
    <x v="1485"/>
    <x v="96"/>
    <x v="1485"/>
    <x v="0"/>
    <x v="0"/>
    <x v="0"/>
    <x v="2"/>
    <x v="1395"/>
    <x v="0"/>
    <x v="0"/>
    <x v="0"/>
    <x v="7"/>
  </r>
  <r>
    <x v="1486"/>
    <x v="96"/>
    <x v="1486"/>
    <x v="4"/>
    <x v="0"/>
    <x v="6"/>
    <x v="3"/>
    <x v="1396"/>
    <x v="0"/>
    <x v="0"/>
    <x v="0"/>
    <x v="13"/>
  </r>
  <r>
    <x v="1487"/>
    <x v="96"/>
    <x v="1487"/>
    <x v="0"/>
    <x v="6"/>
    <x v="10"/>
    <x v="6"/>
    <x v="1397"/>
    <x v="0"/>
    <x v="15"/>
    <x v="0"/>
    <x v="10"/>
  </r>
  <r>
    <x v="1488"/>
    <x v="96"/>
    <x v="1488"/>
    <x v="4"/>
    <x v="0"/>
    <x v="6"/>
    <x v="0"/>
    <x v="1398"/>
    <x v="0"/>
    <x v="0"/>
    <x v="0"/>
    <x v="14"/>
  </r>
  <r>
    <x v="1489"/>
    <x v="96"/>
    <x v="1489"/>
    <x v="3"/>
    <x v="0"/>
    <x v="4"/>
    <x v="3"/>
    <x v="1399"/>
    <x v="0"/>
    <x v="0"/>
    <x v="0"/>
    <x v="15"/>
  </r>
  <r>
    <x v="1490"/>
    <x v="96"/>
    <x v="1490"/>
    <x v="4"/>
    <x v="0"/>
    <x v="6"/>
    <x v="2"/>
    <x v="1400"/>
    <x v="0"/>
    <x v="0"/>
    <x v="0"/>
    <x v="15"/>
  </r>
  <r>
    <x v="1491"/>
    <x v="97"/>
    <x v="1491"/>
    <x v="5"/>
    <x v="0"/>
    <x v="14"/>
    <x v="5"/>
    <x v="1401"/>
    <x v="0"/>
    <x v="0"/>
    <x v="0"/>
    <x v="11"/>
  </r>
  <r>
    <x v="1492"/>
    <x v="97"/>
    <x v="1492"/>
    <x v="0"/>
    <x v="1"/>
    <x v="28"/>
    <x v="9"/>
    <x v="1402"/>
    <x v="0"/>
    <x v="0"/>
    <x v="0"/>
    <x v="11"/>
  </r>
  <r>
    <x v="1493"/>
    <x v="97"/>
    <x v="1493"/>
    <x v="6"/>
    <x v="0"/>
    <x v="21"/>
    <x v="7"/>
    <x v="1403"/>
    <x v="0"/>
    <x v="0"/>
    <x v="0"/>
    <x v="11"/>
  </r>
  <r>
    <x v="1494"/>
    <x v="97"/>
    <x v="1494"/>
    <x v="5"/>
    <x v="0"/>
    <x v="14"/>
    <x v="8"/>
    <x v="1404"/>
    <x v="0"/>
    <x v="0"/>
    <x v="0"/>
    <x v="11"/>
  </r>
  <r>
    <x v="1495"/>
    <x v="97"/>
    <x v="1495"/>
    <x v="10"/>
    <x v="0"/>
    <x v="48"/>
    <x v="6"/>
    <x v="1405"/>
    <x v="0"/>
    <x v="0"/>
    <x v="0"/>
    <x v="0"/>
  </r>
  <r>
    <x v="1496"/>
    <x v="97"/>
    <x v="1496"/>
    <x v="0"/>
    <x v="0"/>
    <x v="0"/>
    <x v="1"/>
    <x v="1406"/>
    <x v="0"/>
    <x v="0"/>
    <x v="0"/>
    <x v="0"/>
  </r>
  <r>
    <x v="1497"/>
    <x v="97"/>
    <x v="1497"/>
    <x v="4"/>
    <x v="0"/>
    <x v="6"/>
    <x v="4"/>
    <x v="1407"/>
    <x v="0"/>
    <x v="0"/>
    <x v="0"/>
    <x v="0"/>
  </r>
  <r>
    <x v="1498"/>
    <x v="97"/>
    <x v="1498"/>
    <x v="0"/>
    <x v="0"/>
    <x v="0"/>
    <x v="6"/>
    <x v="545"/>
    <x v="0"/>
    <x v="0"/>
    <x v="0"/>
    <x v="3"/>
  </r>
  <r>
    <x v="1499"/>
    <x v="97"/>
    <x v="1499"/>
    <x v="0"/>
    <x v="0"/>
    <x v="0"/>
    <x v="4"/>
    <x v="1408"/>
    <x v="0"/>
    <x v="0"/>
    <x v="0"/>
    <x v="6"/>
  </r>
  <r>
    <x v="1500"/>
    <x v="97"/>
    <x v="1500"/>
    <x v="4"/>
    <x v="0"/>
    <x v="6"/>
    <x v="2"/>
    <x v="1409"/>
    <x v="0"/>
    <x v="0"/>
    <x v="0"/>
    <x v="18"/>
  </r>
  <r>
    <x v="1501"/>
    <x v="97"/>
    <x v="1501"/>
    <x v="0"/>
    <x v="2"/>
    <x v="2"/>
    <x v="3"/>
    <x v="1410"/>
    <x v="0"/>
    <x v="0"/>
    <x v="0"/>
    <x v="8"/>
  </r>
  <r>
    <x v="1502"/>
    <x v="97"/>
    <x v="1502"/>
    <x v="0"/>
    <x v="5"/>
    <x v="25"/>
    <x v="9"/>
    <x v="1411"/>
    <x v="0"/>
    <x v="0"/>
    <x v="0"/>
    <x v="13"/>
  </r>
  <r>
    <x v="1503"/>
    <x v="97"/>
    <x v="1503"/>
    <x v="0"/>
    <x v="1"/>
    <x v="28"/>
    <x v="3"/>
    <x v="1412"/>
    <x v="0"/>
    <x v="0"/>
    <x v="0"/>
    <x v="9"/>
  </r>
  <r>
    <x v="1504"/>
    <x v="97"/>
    <x v="1504"/>
    <x v="4"/>
    <x v="0"/>
    <x v="6"/>
    <x v="6"/>
    <x v="545"/>
    <x v="0"/>
    <x v="0"/>
    <x v="0"/>
    <x v="9"/>
  </r>
  <r>
    <x v="1505"/>
    <x v="97"/>
    <x v="1505"/>
    <x v="0"/>
    <x v="0"/>
    <x v="0"/>
    <x v="5"/>
    <x v="1413"/>
    <x v="0"/>
    <x v="0"/>
    <x v="0"/>
    <x v="10"/>
  </r>
  <r>
    <x v="1506"/>
    <x v="97"/>
    <x v="1506"/>
    <x v="4"/>
    <x v="0"/>
    <x v="6"/>
    <x v="5"/>
    <x v="1414"/>
    <x v="0"/>
    <x v="0"/>
    <x v="0"/>
    <x v="10"/>
  </r>
  <r>
    <x v="1507"/>
    <x v="97"/>
    <x v="1507"/>
    <x v="0"/>
    <x v="4"/>
    <x v="11"/>
    <x v="10"/>
    <x v="1415"/>
    <x v="0"/>
    <x v="0"/>
    <x v="0"/>
    <x v="14"/>
  </r>
  <r>
    <x v="1508"/>
    <x v="98"/>
    <x v="1508"/>
    <x v="6"/>
    <x v="3"/>
    <x v="40"/>
    <x v="3"/>
    <x v="1416"/>
    <x v="0"/>
    <x v="0"/>
    <x v="0"/>
    <x v="11"/>
  </r>
  <r>
    <x v="1509"/>
    <x v="98"/>
    <x v="1509"/>
    <x v="6"/>
    <x v="4"/>
    <x v="39"/>
    <x v="5"/>
    <x v="1417"/>
    <x v="0"/>
    <x v="0"/>
    <x v="0"/>
    <x v="11"/>
  </r>
  <r>
    <x v="1510"/>
    <x v="98"/>
    <x v="1510"/>
    <x v="2"/>
    <x v="3"/>
    <x v="3"/>
    <x v="5"/>
    <x v="1418"/>
    <x v="0"/>
    <x v="0"/>
    <x v="0"/>
    <x v="12"/>
  </r>
  <r>
    <x v="1511"/>
    <x v="98"/>
    <x v="1511"/>
    <x v="0"/>
    <x v="0"/>
    <x v="0"/>
    <x v="2"/>
    <x v="1419"/>
    <x v="0"/>
    <x v="0"/>
    <x v="0"/>
    <x v="0"/>
  </r>
  <r>
    <x v="1512"/>
    <x v="98"/>
    <x v="1512"/>
    <x v="10"/>
    <x v="0"/>
    <x v="48"/>
    <x v="7"/>
    <x v="1420"/>
    <x v="0"/>
    <x v="0"/>
    <x v="0"/>
    <x v="1"/>
  </r>
  <r>
    <x v="1513"/>
    <x v="98"/>
    <x v="1513"/>
    <x v="0"/>
    <x v="1"/>
    <x v="28"/>
    <x v="4"/>
    <x v="1421"/>
    <x v="0"/>
    <x v="0"/>
    <x v="0"/>
    <x v="1"/>
  </r>
  <r>
    <x v="1514"/>
    <x v="98"/>
    <x v="1514"/>
    <x v="0"/>
    <x v="0"/>
    <x v="0"/>
    <x v="5"/>
    <x v="1422"/>
    <x v="0"/>
    <x v="0"/>
    <x v="0"/>
    <x v="1"/>
  </r>
  <r>
    <x v="1515"/>
    <x v="98"/>
    <x v="1515"/>
    <x v="1"/>
    <x v="0"/>
    <x v="24"/>
    <x v="3"/>
    <x v="1423"/>
    <x v="0"/>
    <x v="0"/>
    <x v="0"/>
    <x v="2"/>
  </r>
  <r>
    <x v="1516"/>
    <x v="98"/>
    <x v="1516"/>
    <x v="0"/>
    <x v="0"/>
    <x v="0"/>
    <x v="7"/>
    <x v="1424"/>
    <x v="0"/>
    <x v="0"/>
    <x v="0"/>
    <x v="3"/>
  </r>
  <r>
    <x v="1517"/>
    <x v="98"/>
    <x v="1517"/>
    <x v="0"/>
    <x v="4"/>
    <x v="11"/>
    <x v="6"/>
    <x v="1425"/>
    <x v="0"/>
    <x v="0"/>
    <x v="0"/>
    <x v="17"/>
  </r>
  <r>
    <x v="1518"/>
    <x v="98"/>
    <x v="1518"/>
    <x v="0"/>
    <x v="0"/>
    <x v="0"/>
    <x v="2"/>
    <x v="1426"/>
    <x v="0"/>
    <x v="0"/>
    <x v="0"/>
    <x v="5"/>
  </r>
  <r>
    <x v="1519"/>
    <x v="98"/>
    <x v="1519"/>
    <x v="3"/>
    <x v="0"/>
    <x v="4"/>
    <x v="5"/>
    <x v="545"/>
    <x v="0"/>
    <x v="0"/>
    <x v="0"/>
    <x v="9"/>
  </r>
  <r>
    <x v="1520"/>
    <x v="98"/>
    <x v="1520"/>
    <x v="4"/>
    <x v="4"/>
    <x v="7"/>
    <x v="3"/>
    <x v="545"/>
    <x v="0"/>
    <x v="0"/>
    <x v="0"/>
    <x v="9"/>
  </r>
  <r>
    <x v="1521"/>
    <x v="98"/>
    <x v="1521"/>
    <x v="4"/>
    <x v="6"/>
    <x v="12"/>
    <x v="0"/>
    <x v="1427"/>
    <x v="0"/>
    <x v="0"/>
    <x v="0"/>
    <x v="9"/>
  </r>
  <r>
    <x v="1522"/>
    <x v="98"/>
    <x v="1522"/>
    <x v="4"/>
    <x v="0"/>
    <x v="6"/>
    <x v="7"/>
    <x v="545"/>
    <x v="0"/>
    <x v="0"/>
    <x v="0"/>
    <x v="9"/>
  </r>
  <r>
    <x v="1523"/>
    <x v="98"/>
    <x v="1523"/>
    <x v="3"/>
    <x v="1"/>
    <x v="13"/>
    <x v="7"/>
    <x v="1428"/>
    <x v="0"/>
    <x v="0"/>
    <x v="0"/>
    <x v="9"/>
  </r>
  <r>
    <x v="1524"/>
    <x v="99"/>
    <x v="1524"/>
    <x v="3"/>
    <x v="0"/>
    <x v="4"/>
    <x v="5"/>
    <x v="1429"/>
    <x v="0"/>
    <x v="0"/>
    <x v="0"/>
    <x v="11"/>
  </r>
  <r>
    <x v="1525"/>
    <x v="99"/>
    <x v="1525"/>
    <x v="6"/>
    <x v="4"/>
    <x v="39"/>
    <x v="6"/>
    <x v="1430"/>
    <x v="0"/>
    <x v="0"/>
    <x v="0"/>
    <x v="11"/>
  </r>
  <r>
    <x v="1526"/>
    <x v="99"/>
    <x v="1526"/>
    <x v="4"/>
    <x v="13"/>
    <x v="81"/>
    <x v="3"/>
    <x v="1431"/>
    <x v="0"/>
    <x v="0"/>
    <x v="0"/>
    <x v="12"/>
  </r>
  <r>
    <x v="1527"/>
    <x v="99"/>
    <x v="1527"/>
    <x v="5"/>
    <x v="0"/>
    <x v="14"/>
    <x v="1"/>
    <x v="1432"/>
    <x v="0"/>
    <x v="0"/>
    <x v="0"/>
    <x v="0"/>
  </r>
  <r>
    <x v="1528"/>
    <x v="99"/>
    <x v="1528"/>
    <x v="0"/>
    <x v="0"/>
    <x v="0"/>
    <x v="6"/>
    <x v="1433"/>
    <x v="0"/>
    <x v="0"/>
    <x v="0"/>
    <x v="1"/>
  </r>
  <r>
    <x v="1529"/>
    <x v="99"/>
    <x v="1529"/>
    <x v="5"/>
    <x v="1"/>
    <x v="23"/>
    <x v="7"/>
    <x v="1434"/>
    <x v="0"/>
    <x v="0"/>
    <x v="0"/>
    <x v="1"/>
  </r>
  <r>
    <x v="1530"/>
    <x v="99"/>
    <x v="1530"/>
    <x v="5"/>
    <x v="0"/>
    <x v="14"/>
    <x v="1"/>
    <x v="1435"/>
    <x v="0"/>
    <x v="0"/>
    <x v="0"/>
    <x v="1"/>
  </r>
  <r>
    <x v="1531"/>
    <x v="99"/>
    <x v="1531"/>
    <x v="10"/>
    <x v="1"/>
    <x v="65"/>
    <x v="5"/>
    <x v="1436"/>
    <x v="0"/>
    <x v="0"/>
    <x v="0"/>
    <x v="2"/>
  </r>
  <r>
    <x v="1532"/>
    <x v="99"/>
    <x v="1532"/>
    <x v="0"/>
    <x v="4"/>
    <x v="11"/>
    <x v="7"/>
    <x v="1437"/>
    <x v="0"/>
    <x v="0"/>
    <x v="0"/>
    <x v="3"/>
  </r>
  <r>
    <x v="1533"/>
    <x v="99"/>
    <x v="1533"/>
    <x v="0"/>
    <x v="0"/>
    <x v="0"/>
    <x v="9"/>
    <x v="1438"/>
    <x v="0"/>
    <x v="0"/>
    <x v="0"/>
    <x v="5"/>
  </r>
  <r>
    <x v="1534"/>
    <x v="99"/>
    <x v="1534"/>
    <x v="4"/>
    <x v="0"/>
    <x v="6"/>
    <x v="2"/>
    <x v="1439"/>
    <x v="0"/>
    <x v="0"/>
    <x v="0"/>
    <x v="16"/>
  </r>
  <r>
    <x v="1535"/>
    <x v="99"/>
    <x v="1535"/>
    <x v="4"/>
    <x v="0"/>
    <x v="6"/>
    <x v="4"/>
    <x v="1440"/>
    <x v="0"/>
    <x v="0"/>
    <x v="0"/>
    <x v="16"/>
  </r>
  <r>
    <x v="1536"/>
    <x v="99"/>
    <x v="1536"/>
    <x v="4"/>
    <x v="0"/>
    <x v="6"/>
    <x v="2"/>
    <x v="1441"/>
    <x v="0"/>
    <x v="0"/>
    <x v="0"/>
    <x v="7"/>
  </r>
  <r>
    <x v="1537"/>
    <x v="99"/>
    <x v="1537"/>
    <x v="3"/>
    <x v="0"/>
    <x v="4"/>
    <x v="2"/>
    <x v="1442"/>
    <x v="0"/>
    <x v="0"/>
    <x v="0"/>
    <x v="7"/>
  </r>
  <r>
    <x v="1538"/>
    <x v="99"/>
    <x v="1538"/>
    <x v="4"/>
    <x v="0"/>
    <x v="6"/>
    <x v="6"/>
    <x v="1443"/>
    <x v="0"/>
    <x v="0"/>
    <x v="0"/>
    <x v="7"/>
  </r>
  <r>
    <x v="1539"/>
    <x v="99"/>
    <x v="1539"/>
    <x v="0"/>
    <x v="0"/>
    <x v="0"/>
    <x v="2"/>
    <x v="1444"/>
    <x v="0"/>
    <x v="0"/>
    <x v="0"/>
    <x v="7"/>
  </r>
  <r>
    <x v="1540"/>
    <x v="99"/>
    <x v="1540"/>
    <x v="0"/>
    <x v="0"/>
    <x v="0"/>
    <x v="0"/>
    <x v="545"/>
    <x v="0"/>
    <x v="0"/>
    <x v="0"/>
    <x v="13"/>
  </r>
  <r>
    <x v="1541"/>
    <x v="99"/>
    <x v="1541"/>
    <x v="0"/>
    <x v="0"/>
    <x v="0"/>
    <x v="6"/>
    <x v="545"/>
    <x v="0"/>
    <x v="0"/>
    <x v="0"/>
    <x v="13"/>
  </r>
  <r>
    <x v="1542"/>
    <x v="99"/>
    <x v="1542"/>
    <x v="4"/>
    <x v="4"/>
    <x v="7"/>
    <x v="5"/>
    <x v="545"/>
    <x v="0"/>
    <x v="0"/>
    <x v="0"/>
    <x v="9"/>
  </r>
  <r>
    <x v="1543"/>
    <x v="99"/>
    <x v="1543"/>
    <x v="4"/>
    <x v="0"/>
    <x v="6"/>
    <x v="3"/>
    <x v="1445"/>
    <x v="0"/>
    <x v="0"/>
    <x v="0"/>
    <x v="10"/>
  </r>
  <r>
    <x v="1544"/>
    <x v="100"/>
    <x v="1544"/>
    <x v="14"/>
    <x v="17"/>
    <x v="82"/>
    <x v="15"/>
    <x v="545"/>
    <x v="0"/>
    <x v="0"/>
    <x v="0"/>
    <x v="26"/>
  </r>
</pivotCacheRecords>
</file>

<file path=xl/pivotCache/pivotCacheRecords2.xml><?xml version="1.0" encoding="utf-8"?>
<pivotCacheRecords xmlns="http://schemas.openxmlformats.org/spreadsheetml/2006/main" xmlns:r="http://schemas.openxmlformats.org/officeDocument/2006/relationships" count="1544">
  <r>
    <x v="0"/>
    <x v="0"/>
    <x v="0"/>
    <x v="0"/>
    <x v="0"/>
    <x v="0"/>
    <x v="0"/>
    <x v="0"/>
    <x v="0"/>
    <x v="0"/>
    <x v="0"/>
    <x v="0"/>
    <x v="0"/>
  </r>
  <r>
    <x v="1"/>
    <x v="0"/>
    <x v="1"/>
    <x v="0"/>
    <x v="0"/>
    <x v="0"/>
    <x v="1"/>
    <x v="1"/>
    <x v="0"/>
    <x v="0"/>
    <x v="0"/>
    <x v="1"/>
    <x v="1"/>
  </r>
  <r>
    <x v="2"/>
    <x v="0"/>
    <x v="2"/>
    <x v="1"/>
    <x v="1"/>
    <x v="1"/>
    <x v="2"/>
    <x v="2"/>
    <x v="0"/>
    <x v="0"/>
    <x v="0"/>
    <x v="2"/>
    <x v="2"/>
  </r>
  <r>
    <x v="3"/>
    <x v="0"/>
    <x v="3"/>
    <x v="0"/>
    <x v="0"/>
    <x v="0"/>
    <x v="3"/>
    <x v="3"/>
    <x v="0"/>
    <x v="0"/>
    <x v="0"/>
    <x v="2"/>
    <x v="3"/>
  </r>
  <r>
    <x v="4"/>
    <x v="0"/>
    <x v="4"/>
    <x v="0"/>
    <x v="2"/>
    <x v="2"/>
    <x v="3"/>
    <x v="4"/>
    <x v="0"/>
    <x v="0"/>
    <x v="0"/>
    <x v="3"/>
    <x v="4"/>
  </r>
  <r>
    <x v="5"/>
    <x v="0"/>
    <x v="5"/>
    <x v="2"/>
    <x v="3"/>
    <x v="3"/>
    <x v="4"/>
    <x v="5"/>
    <x v="0"/>
    <x v="0"/>
    <x v="0"/>
    <x v="3"/>
    <x v="5"/>
  </r>
  <r>
    <x v="6"/>
    <x v="0"/>
    <x v="6"/>
    <x v="3"/>
    <x v="0"/>
    <x v="4"/>
    <x v="5"/>
    <x v="6"/>
    <x v="0"/>
    <x v="0"/>
    <x v="0"/>
    <x v="4"/>
    <x v="6"/>
  </r>
  <r>
    <x v="7"/>
    <x v="0"/>
    <x v="7"/>
    <x v="0"/>
    <x v="0"/>
    <x v="0"/>
    <x v="2"/>
    <x v="7"/>
    <x v="0"/>
    <x v="0"/>
    <x v="0"/>
    <x v="5"/>
    <x v="7"/>
  </r>
  <r>
    <x v="8"/>
    <x v="0"/>
    <x v="8"/>
    <x v="4"/>
    <x v="1"/>
    <x v="5"/>
    <x v="0"/>
    <x v="8"/>
    <x v="0"/>
    <x v="0"/>
    <x v="0"/>
    <x v="6"/>
    <x v="8"/>
  </r>
  <r>
    <x v="9"/>
    <x v="0"/>
    <x v="9"/>
    <x v="0"/>
    <x v="0"/>
    <x v="0"/>
    <x v="4"/>
    <x v="9"/>
    <x v="0"/>
    <x v="0"/>
    <x v="0"/>
    <x v="6"/>
    <x v="9"/>
  </r>
  <r>
    <x v="10"/>
    <x v="0"/>
    <x v="10"/>
    <x v="0"/>
    <x v="0"/>
    <x v="0"/>
    <x v="2"/>
    <x v="10"/>
    <x v="0"/>
    <x v="0"/>
    <x v="0"/>
    <x v="7"/>
    <x v="10"/>
  </r>
  <r>
    <x v="11"/>
    <x v="0"/>
    <x v="11"/>
    <x v="4"/>
    <x v="0"/>
    <x v="6"/>
    <x v="2"/>
    <x v="11"/>
    <x v="0"/>
    <x v="0"/>
    <x v="0"/>
    <x v="7"/>
    <x v="11"/>
  </r>
  <r>
    <x v="12"/>
    <x v="0"/>
    <x v="12"/>
    <x v="4"/>
    <x v="0"/>
    <x v="6"/>
    <x v="5"/>
    <x v="12"/>
    <x v="0"/>
    <x v="0"/>
    <x v="0"/>
    <x v="8"/>
    <x v="12"/>
  </r>
  <r>
    <x v="13"/>
    <x v="0"/>
    <x v="13"/>
    <x v="4"/>
    <x v="4"/>
    <x v="7"/>
    <x v="5"/>
    <x v="13"/>
    <x v="0"/>
    <x v="0"/>
    <x v="0"/>
    <x v="9"/>
    <x v="13"/>
  </r>
  <r>
    <x v="14"/>
    <x v="0"/>
    <x v="14"/>
    <x v="0"/>
    <x v="0"/>
    <x v="0"/>
    <x v="6"/>
    <x v="14"/>
    <x v="0"/>
    <x v="0"/>
    <x v="0"/>
    <x v="10"/>
    <x v="14"/>
  </r>
  <r>
    <x v="15"/>
    <x v="1"/>
    <x v="15"/>
    <x v="3"/>
    <x v="5"/>
    <x v="8"/>
    <x v="6"/>
    <x v="15"/>
    <x v="0"/>
    <x v="0"/>
    <x v="0"/>
    <x v="11"/>
    <x v="15"/>
  </r>
  <r>
    <x v="16"/>
    <x v="1"/>
    <x v="16"/>
    <x v="3"/>
    <x v="0"/>
    <x v="4"/>
    <x v="5"/>
    <x v="16"/>
    <x v="0"/>
    <x v="0"/>
    <x v="0"/>
    <x v="11"/>
    <x v="16"/>
  </r>
  <r>
    <x v="17"/>
    <x v="1"/>
    <x v="17"/>
    <x v="4"/>
    <x v="0"/>
    <x v="6"/>
    <x v="4"/>
    <x v="17"/>
    <x v="0"/>
    <x v="1"/>
    <x v="0"/>
    <x v="0"/>
    <x v="17"/>
  </r>
  <r>
    <x v="18"/>
    <x v="1"/>
    <x v="18"/>
    <x v="4"/>
    <x v="5"/>
    <x v="9"/>
    <x v="0"/>
    <x v="18"/>
    <x v="0"/>
    <x v="2"/>
    <x v="0"/>
    <x v="0"/>
    <x v="18"/>
  </r>
  <r>
    <x v="19"/>
    <x v="1"/>
    <x v="19"/>
    <x v="0"/>
    <x v="0"/>
    <x v="0"/>
    <x v="2"/>
    <x v="19"/>
    <x v="0"/>
    <x v="0"/>
    <x v="0"/>
    <x v="0"/>
    <x v="19"/>
  </r>
  <r>
    <x v="20"/>
    <x v="1"/>
    <x v="20"/>
    <x v="3"/>
    <x v="0"/>
    <x v="4"/>
    <x v="1"/>
    <x v="20"/>
    <x v="0"/>
    <x v="0"/>
    <x v="0"/>
    <x v="1"/>
    <x v="20"/>
  </r>
  <r>
    <x v="21"/>
    <x v="1"/>
    <x v="21"/>
    <x v="0"/>
    <x v="0"/>
    <x v="0"/>
    <x v="4"/>
    <x v="21"/>
    <x v="0"/>
    <x v="0"/>
    <x v="0"/>
    <x v="1"/>
    <x v="21"/>
  </r>
  <r>
    <x v="22"/>
    <x v="1"/>
    <x v="22"/>
    <x v="0"/>
    <x v="6"/>
    <x v="10"/>
    <x v="7"/>
    <x v="22"/>
    <x v="0"/>
    <x v="0"/>
    <x v="0"/>
    <x v="3"/>
    <x v="22"/>
  </r>
  <r>
    <x v="23"/>
    <x v="1"/>
    <x v="23"/>
    <x v="0"/>
    <x v="4"/>
    <x v="11"/>
    <x v="3"/>
    <x v="23"/>
    <x v="0"/>
    <x v="0"/>
    <x v="0"/>
    <x v="3"/>
    <x v="23"/>
  </r>
  <r>
    <x v="24"/>
    <x v="1"/>
    <x v="24"/>
    <x v="4"/>
    <x v="0"/>
    <x v="6"/>
    <x v="5"/>
    <x v="24"/>
    <x v="0"/>
    <x v="0"/>
    <x v="0"/>
    <x v="7"/>
    <x v="24"/>
  </r>
  <r>
    <x v="25"/>
    <x v="1"/>
    <x v="25"/>
    <x v="3"/>
    <x v="0"/>
    <x v="4"/>
    <x v="0"/>
    <x v="25"/>
    <x v="0"/>
    <x v="0"/>
    <x v="0"/>
    <x v="7"/>
    <x v="25"/>
  </r>
  <r>
    <x v="26"/>
    <x v="1"/>
    <x v="26"/>
    <x v="4"/>
    <x v="6"/>
    <x v="12"/>
    <x v="3"/>
    <x v="26"/>
    <x v="0"/>
    <x v="0"/>
    <x v="0"/>
    <x v="7"/>
    <x v="26"/>
  </r>
  <r>
    <x v="27"/>
    <x v="1"/>
    <x v="27"/>
    <x v="3"/>
    <x v="1"/>
    <x v="13"/>
    <x v="2"/>
    <x v="27"/>
    <x v="0"/>
    <x v="0"/>
    <x v="0"/>
    <x v="7"/>
    <x v="27"/>
  </r>
  <r>
    <x v="28"/>
    <x v="2"/>
    <x v="28"/>
    <x v="5"/>
    <x v="0"/>
    <x v="14"/>
    <x v="6"/>
    <x v="28"/>
    <x v="0"/>
    <x v="0"/>
    <x v="0"/>
    <x v="11"/>
    <x v="28"/>
  </r>
  <r>
    <x v="29"/>
    <x v="2"/>
    <x v="29"/>
    <x v="5"/>
    <x v="0"/>
    <x v="14"/>
    <x v="1"/>
    <x v="29"/>
    <x v="0"/>
    <x v="0"/>
    <x v="0"/>
    <x v="11"/>
    <x v="29"/>
  </r>
  <r>
    <x v="30"/>
    <x v="2"/>
    <x v="30"/>
    <x v="3"/>
    <x v="0"/>
    <x v="4"/>
    <x v="2"/>
    <x v="30"/>
    <x v="0"/>
    <x v="0"/>
    <x v="0"/>
    <x v="11"/>
    <x v="30"/>
  </r>
  <r>
    <x v="31"/>
    <x v="2"/>
    <x v="31"/>
    <x v="1"/>
    <x v="5"/>
    <x v="15"/>
    <x v="4"/>
    <x v="31"/>
    <x v="0"/>
    <x v="0"/>
    <x v="0"/>
    <x v="12"/>
    <x v="31"/>
  </r>
  <r>
    <x v="32"/>
    <x v="2"/>
    <x v="32"/>
    <x v="3"/>
    <x v="4"/>
    <x v="16"/>
    <x v="4"/>
    <x v="32"/>
    <x v="0"/>
    <x v="0"/>
    <x v="0"/>
    <x v="0"/>
    <x v="32"/>
  </r>
  <r>
    <x v="33"/>
    <x v="2"/>
    <x v="33"/>
    <x v="0"/>
    <x v="0"/>
    <x v="0"/>
    <x v="2"/>
    <x v="33"/>
    <x v="0"/>
    <x v="0"/>
    <x v="0"/>
    <x v="0"/>
    <x v="33"/>
  </r>
  <r>
    <x v="34"/>
    <x v="2"/>
    <x v="34"/>
    <x v="0"/>
    <x v="0"/>
    <x v="0"/>
    <x v="3"/>
    <x v="34"/>
    <x v="0"/>
    <x v="0"/>
    <x v="0"/>
    <x v="2"/>
    <x v="34"/>
  </r>
  <r>
    <x v="35"/>
    <x v="2"/>
    <x v="35"/>
    <x v="0"/>
    <x v="0"/>
    <x v="0"/>
    <x v="7"/>
    <x v="35"/>
    <x v="0"/>
    <x v="0"/>
    <x v="0"/>
    <x v="3"/>
    <x v="35"/>
  </r>
  <r>
    <x v="36"/>
    <x v="2"/>
    <x v="36"/>
    <x v="3"/>
    <x v="5"/>
    <x v="8"/>
    <x v="2"/>
    <x v="36"/>
    <x v="0"/>
    <x v="0"/>
    <x v="0"/>
    <x v="3"/>
    <x v="36"/>
  </r>
  <r>
    <x v="37"/>
    <x v="2"/>
    <x v="37"/>
    <x v="0"/>
    <x v="0"/>
    <x v="0"/>
    <x v="7"/>
    <x v="37"/>
    <x v="0"/>
    <x v="0"/>
    <x v="0"/>
    <x v="6"/>
    <x v="37"/>
  </r>
  <r>
    <x v="38"/>
    <x v="2"/>
    <x v="38"/>
    <x v="0"/>
    <x v="0"/>
    <x v="0"/>
    <x v="4"/>
    <x v="38"/>
    <x v="0"/>
    <x v="0"/>
    <x v="0"/>
    <x v="7"/>
    <x v="38"/>
  </r>
  <r>
    <x v="39"/>
    <x v="2"/>
    <x v="39"/>
    <x v="3"/>
    <x v="0"/>
    <x v="4"/>
    <x v="3"/>
    <x v="39"/>
    <x v="0"/>
    <x v="0"/>
    <x v="0"/>
    <x v="7"/>
    <x v="39"/>
  </r>
  <r>
    <x v="40"/>
    <x v="2"/>
    <x v="40"/>
    <x v="0"/>
    <x v="0"/>
    <x v="0"/>
    <x v="5"/>
    <x v="40"/>
    <x v="0"/>
    <x v="0"/>
    <x v="0"/>
    <x v="13"/>
    <x v="40"/>
  </r>
  <r>
    <x v="41"/>
    <x v="2"/>
    <x v="41"/>
    <x v="0"/>
    <x v="4"/>
    <x v="11"/>
    <x v="7"/>
    <x v="41"/>
    <x v="0"/>
    <x v="0"/>
    <x v="0"/>
    <x v="9"/>
    <x v="41"/>
  </r>
  <r>
    <x v="42"/>
    <x v="2"/>
    <x v="42"/>
    <x v="0"/>
    <x v="4"/>
    <x v="11"/>
    <x v="4"/>
    <x v="42"/>
    <x v="0"/>
    <x v="0"/>
    <x v="0"/>
    <x v="14"/>
    <x v="42"/>
  </r>
  <r>
    <x v="43"/>
    <x v="2"/>
    <x v="43"/>
    <x v="3"/>
    <x v="0"/>
    <x v="4"/>
    <x v="6"/>
    <x v="43"/>
    <x v="0"/>
    <x v="0"/>
    <x v="0"/>
    <x v="15"/>
    <x v="43"/>
  </r>
  <r>
    <x v="44"/>
    <x v="3"/>
    <x v="44"/>
    <x v="5"/>
    <x v="0"/>
    <x v="14"/>
    <x v="5"/>
    <x v="44"/>
    <x v="0"/>
    <x v="0"/>
    <x v="0"/>
    <x v="11"/>
    <x v="44"/>
  </r>
  <r>
    <x v="45"/>
    <x v="3"/>
    <x v="45"/>
    <x v="6"/>
    <x v="7"/>
    <x v="17"/>
    <x v="5"/>
    <x v="45"/>
    <x v="0"/>
    <x v="0"/>
    <x v="0"/>
    <x v="12"/>
    <x v="45"/>
  </r>
  <r>
    <x v="46"/>
    <x v="3"/>
    <x v="46"/>
    <x v="0"/>
    <x v="0"/>
    <x v="0"/>
    <x v="3"/>
    <x v="46"/>
    <x v="0"/>
    <x v="0"/>
    <x v="0"/>
    <x v="0"/>
    <x v="46"/>
  </r>
  <r>
    <x v="47"/>
    <x v="3"/>
    <x v="47"/>
    <x v="1"/>
    <x v="2"/>
    <x v="18"/>
    <x v="3"/>
    <x v="47"/>
    <x v="0"/>
    <x v="0"/>
    <x v="0"/>
    <x v="0"/>
    <x v="47"/>
  </r>
  <r>
    <x v="48"/>
    <x v="3"/>
    <x v="48"/>
    <x v="4"/>
    <x v="0"/>
    <x v="6"/>
    <x v="7"/>
    <x v="48"/>
    <x v="0"/>
    <x v="0"/>
    <x v="0"/>
    <x v="1"/>
    <x v="48"/>
  </r>
  <r>
    <x v="49"/>
    <x v="3"/>
    <x v="49"/>
    <x v="6"/>
    <x v="1"/>
    <x v="19"/>
    <x v="5"/>
    <x v="49"/>
    <x v="0"/>
    <x v="0"/>
    <x v="0"/>
    <x v="2"/>
    <x v="49"/>
  </r>
  <r>
    <x v="50"/>
    <x v="3"/>
    <x v="50"/>
    <x v="4"/>
    <x v="2"/>
    <x v="20"/>
    <x v="6"/>
    <x v="50"/>
    <x v="0"/>
    <x v="0"/>
    <x v="0"/>
    <x v="2"/>
    <x v="50"/>
  </r>
  <r>
    <x v="51"/>
    <x v="3"/>
    <x v="51"/>
    <x v="1"/>
    <x v="1"/>
    <x v="1"/>
    <x v="6"/>
    <x v="51"/>
    <x v="0"/>
    <x v="0"/>
    <x v="0"/>
    <x v="2"/>
    <x v="51"/>
  </r>
  <r>
    <x v="52"/>
    <x v="3"/>
    <x v="52"/>
    <x v="0"/>
    <x v="0"/>
    <x v="0"/>
    <x v="2"/>
    <x v="52"/>
    <x v="0"/>
    <x v="0"/>
    <x v="0"/>
    <x v="5"/>
    <x v="52"/>
  </r>
  <r>
    <x v="53"/>
    <x v="3"/>
    <x v="53"/>
    <x v="0"/>
    <x v="0"/>
    <x v="0"/>
    <x v="0"/>
    <x v="53"/>
    <x v="0"/>
    <x v="0"/>
    <x v="0"/>
    <x v="5"/>
    <x v="53"/>
  </r>
  <r>
    <x v="54"/>
    <x v="3"/>
    <x v="54"/>
    <x v="0"/>
    <x v="0"/>
    <x v="0"/>
    <x v="1"/>
    <x v="54"/>
    <x v="0"/>
    <x v="0"/>
    <x v="0"/>
    <x v="5"/>
    <x v="54"/>
  </r>
  <r>
    <x v="55"/>
    <x v="3"/>
    <x v="55"/>
    <x v="6"/>
    <x v="0"/>
    <x v="21"/>
    <x v="5"/>
    <x v="55"/>
    <x v="0"/>
    <x v="0"/>
    <x v="0"/>
    <x v="5"/>
    <x v="55"/>
  </r>
  <r>
    <x v="56"/>
    <x v="3"/>
    <x v="56"/>
    <x v="0"/>
    <x v="0"/>
    <x v="0"/>
    <x v="1"/>
    <x v="56"/>
    <x v="0"/>
    <x v="0"/>
    <x v="0"/>
    <x v="5"/>
    <x v="56"/>
  </r>
  <r>
    <x v="57"/>
    <x v="3"/>
    <x v="57"/>
    <x v="3"/>
    <x v="0"/>
    <x v="4"/>
    <x v="7"/>
    <x v="57"/>
    <x v="0"/>
    <x v="0"/>
    <x v="0"/>
    <x v="5"/>
    <x v="57"/>
  </r>
  <r>
    <x v="58"/>
    <x v="3"/>
    <x v="58"/>
    <x v="0"/>
    <x v="4"/>
    <x v="11"/>
    <x v="5"/>
    <x v="58"/>
    <x v="0"/>
    <x v="0"/>
    <x v="0"/>
    <x v="5"/>
    <x v="58"/>
  </r>
  <r>
    <x v="59"/>
    <x v="3"/>
    <x v="59"/>
    <x v="4"/>
    <x v="0"/>
    <x v="6"/>
    <x v="2"/>
    <x v="59"/>
    <x v="0"/>
    <x v="0"/>
    <x v="0"/>
    <x v="7"/>
    <x v="59"/>
  </r>
  <r>
    <x v="60"/>
    <x v="3"/>
    <x v="60"/>
    <x v="4"/>
    <x v="0"/>
    <x v="6"/>
    <x v="1"/>
    <x v="60"/>
    <x v="0"/>
    <x v="0"/>
    <x v="0"/>
    <x v="7"/>
    <x v="60"/>
  </r>
  <r>
    <x v="61"/>
    <x v="3"/>
    <x v="61"/>
    <x v="4"/>
    <x v="0"/>
    <x v="6"/>
    <x v="1"/>
    <x v="61"/>
    <x v="0"/>
    <x v="0"/>
    <x v="0"/>
    <x v="7"/>
    <x v="61"/>
  </r>
  <r>
    <x v="62"/>
    <x v="3"/>
    <x v="62"/>
    <x v="4"/>
    <x v="0"/>
    <x v="6"/>
    <x v="2"/>
    <x v="62"/>
    <x v="0"/>
    <x v="0"/>
    <x v="0"/>
    <x v="7"/>
    <x v="62"/>
  </r>
  <r>
    <x v="63"/>
    <x v="3"/>
    <x v="63"/>
    <x v="4"/>
    <x v="0"/>
    <x v="6"/>
    <x v="7"/>
    <x v="63"/>
    <x v="0"/>
    <x v="0"/>
    <x v="0"/>
    <x v="13"/>
    <x v="63"/>
  </r>
  <r>
    <x v="64"/>
    <x v="3"/>
    <x v="64"/>
    <x v="4"/>
    <x v="0"/>
    <x v="6"/>
    <x v="4"/>
    <x v="64"/>
    <x v="0"/>
    <x v="0"/>
    <x v="0"/>
    <x v="13"/>
    <x v="64"/>
  </r>
  <r>
    <x v="65"/>
    <x v="3"/>
    <x v="65"/>
    <x v="4"/>
    <x v="4"/>
    <x v="7"/>
    <x v="1"/>
    <x v="65"/>
    <x v="0"/>
    <x v="0"/>
    <x v="0"/>
    <x v="9"/>
    <x v="65"/>
  </r>
  <r>
    <x v="66"/>
    <x v="3"/>
    <x v="66"/>
    <x v="0"/>
    <x v="8"/>
    <x v="22"/>
    <x v="5"/>
    <x v="66"/>
    <x v="0"/>
    <x v="3"/>
    <x v="0"/>
    <x v="10"/>
    <x v="66"/>
  </r>
  <r>
    <x v="67"/>
    <x v="3"/>
    <x v="67"/>
    <x v="0"/>
    <x v="0"/>
    <x v="0"/>
    <x v="5"/>
    <x v="67"/>
    <x v="0"/>
    <x v="0"/>
    <x v="0"/>
    <x v="15"/>
    <x v="67"/>
  </r>
  <r>
    <x v="68"/>
    <x v="4"/>
    <x v="68"/>
    <x v="3"/>
    <x v="0"/>
    <x v="4"/>
    <x v="2"/>
    <x v="68"/>
    <x v="0"/>
    <x v="0"/>
    <x v="0"/>
    <x v="11"/>
    <x v="68"/>
  </r>
  <r>
    <x v="69"/>
    <x v="4"/>
    <x v="69"/>
    <x v="3"/>
    <x v="0"/>
    <x v="4"/>
    <x v="4"/>
    <x v="69"/>
    <x v="0"/>
    <x v="0"/>
    <x v="0"/>
    <x v="11"/>
    <x v="69"/>
  </r>
  <r>
    <x v="70"/>
    <x v="4"/>
    <x v="70"/>
    <x v="5"/>
    <x v="1"/>
    <x v="23"/>
    <x v="2"/>
    <x v="70"/>
    <x v="0"/>
    <x v="0"/>
    <x v="0"/>
    <x v="11"/>
    <x v="70"/>
  </r>
  <r>
    <x v="71"/>
    <x v="4"/>
    <x v="71"/>
    <x v="5"/>
    <x v="1"/>
    <x v="23"/>
    <x v="4"/>
    <x v="71"/>
    <x v="0"/>
    <x v="0"/>
    <x v="0"/>
    <x v="11"/>
    <x v="71"/>
  </r>
  <r>
    <x v="72"/>
    <x v="4"/>
    <x v="72"/>
    <x v="3"/>
    <x v="0"/>
    <x v="4"/>
    <x v="2"/>
    <x v="72"/>
    <x v="0"/>
    <x v="0"/>
    <x v="0"/>
    <x v="12"/>
    <x v="72"/>
  </r>
  <r>
    <x v="73"/>
    <x v="4"/>
    <x v="73"/>
    <x v="1"/>
    <x v="0"/>
    <x v="24"/>
    <x v="0"/>
    <x v="73"/>
    <x v="0"/>
    <x v="0"/>
    <x v="0"/>
    <x v="0"/>
    <x v="73"/>
  </r>
  <r>
    <x v="74"/>
    <x v="4"/>
    <x v="74"/>
    <x v="3"/>
    <x v="0"/>
    <x v="4"/>
    <x v="1"/>
    <x v="74"/>
    <x v="0"/>
    <x v="0"/>
    <x v="1"/>
    <x v="0"/>
    <x v="74"/>
  </r>
  <r>
    <x v="75"/>
    <x v="4"/>
    <x v="75"/>
    <x v="6"/>
    <x v="0"/>
    <x v="21"/>
    <x v="5"/>
    <x v="75"/>
    <x v="0"/>
    <x v="0"/>
    <x v="0"/>
    <x v="0"/>
    <x v="75"/>
  </r>
  <r>
    <x v="76"/>
    <x v="4"/>
    <x v="76"/>
    <x v="0"/>
    <x v="5"/>
    <x v="25"/>
    <x v="4"/>
    <x v="76"/>
    <x v="0"/>
    <x v="0"/>
    <x v="0"/>
    <x v="1"/>
    <x v="76"/>
  </r>
  <r>
    <x v="77"/>
    <x v="4"/>
    <x v="77"/>
    <x v="4"/>
    <x v="0"/>
    <x v="6"/>
    <x v="2"/>
    <x v="77"/>
    <x v="0"/>
    <x v="4"/>
    <x v="0"/>
    <x v="4"/>
    <x v="77"/>
  </r>
  <r>
    <x v="78"/>
    <x v="4"/>
    <x v="78"/>
    <x v="0"/>
    <x v="0"/>
    <x v="0"/>
    <x v="0"/>
    <x v="78"/>
    <x v="0"/>
    <x v="0"/>
    <x v="0"/>
    <x v="5"/>
    <x v="78"/>
  </r>
  <r>
    <x v="79"/>
    <x v="4"/>
    <x v="79"/>
    <x v="0"/>
    <x v="4"/>
    <x v="11"/>
    <x v="2"/>
    <x v="79"/>
    <x v="0"/>
    <x v="0"/>
    <x v="0"/>
    <x v="16"/>
    <x v="79"/>
  </r>
  <r>
    <x v="80"/>
    <x v="4"/>
    <x v="80"/>
    <x v="4"/>
    <x v="9"/>
    <x v="26"/>
    <x v="2"/>
    <x v="80"/>
    <x v="0"/>
    <x v="0"/>
    <x v="0"/>
    <x v="7"/>
    <x v="80"/>
  </r>
  <r>
    <x v="81"/>
    <x v="4"/>
    <x v="81"/>
    <x v="3"/>
    <x v="0"/>
    <x v="4"/>
    <x v="4"/>
    <x v="81"/>
    <x v="0"/>
    <x v="0"/>
    <x v="0"/>
    <x v="7"/>
    <x v="81"/>
  </r>
  <r>
    <x v="82"/>
    <x v="4"/>
    <x v="82"/>
    <x v="0"/>
    <x v="0"/>
    <x v="0"/>
    <x v="5"/>
    <x v="82"/>
    <x v="0"/>
    <x v="0"/>
    <x v="0"/>
    <x v="9"/>
    <x v="82"/>
  </r>
  <r>
    <x v="83"/>
    <x v="4"/>
    <x v="83"/>
    <x v="3"/>
    <x v="0"/>
    <x v="4"/>
    <x v="6"/>
    <x v="83"/>
    <x v="0"/>
    <x v="0"/>
    <x v="0"/>
    <x v="9"/>
    <x v="83"/>
  </r>
  <r>
    <x v="84"/>
    <x v="4"/>
    <x v="84"/>
    <x v="4"/>
    <x v="0"/>
    <x v="6"/>
    <x v="7"/>
    <x v="84"/>
    <x v="0"/>
    <x v="5"/>
    <x v="0"/>
    <x v="10"/>
    <x v="84"/>
  </r>
  <r>
    <x v="85"/>
    <x v="5"/>
    <x v="85"/>
    <x v="3"/>
    <x v="2"/>
    <x v="27"/>
    <x v="8"/>
    <x v="85"/>
    <x v="0"/>
    <x v="0"/>
    <x v="0"/>
    <x v="11"/>
    <x v="85"/>
  </r>
  <r>
    <x v="86"/>
    <x v="5"/>
    <x v="86"/>
    <x v="6"/>
    <x v="0"/>
    <x v="21"/>
    <x v="4"/>
    <x v="86"/>
    <x v="0"/>
    <x v="0"/>
    <x v="0"/>
    <x v="11"/>
    <x v="86"/>
  </r>
  <r>
    <x v="87"/>
    <x v="5"/>
    <x v="87"/>
    <x v="3"/>
    <x v="0"/>
    <x v="4"/>
    <x v="0"/>
    <x v="87"/>
    <x v="0"/>
    <x v="0"/>
    <x v="0"/>
    <x v="0"/>
    <x v="87"/>
  </r>
  <r>
    <x v="88"/>
    <x v="5"/>
    <x v="88"/>
    <x v="6"/>
    <x v="0"/>
    <x v="21"/>
    <x v="5"/>
    <x v="88"/>
    <x v="0"/>
    <x v="0"/>
    <x v="0"/>
    <x v="1"/>
    <x v="88"/>
  </r>
  <r>
    <x v="89"/>
    <x v="5"/>
    <x v="89"/>
    <x v="1"/>
    <x v="0"/>
    <x v="24"/>
    <x v="1"/>
    <x v="89"/>
    <x v="0"/>
    <x v="0"/>
    <x v="0"/>
    <x v="1"/>
    <x v="89"/>
  </r>
  <r>
    <x v="90"/>
    <x v="5"/>
    <x v="90"/>
    <x v="3"/>
    <x v="0"/>
    <x v="4"/>
    <x v="6"/>
    <x v="90"/>
    <x v="0"/>
    <x v="0"/>
    <x v="0"/>
    <x v="2"/>
    <x v="90"/>
  </r>
  <r>
    <x v="91"/>
    <x v="5"/>
    <x v="91"/>
    <x v="0"/>
    <x v="1"/>
    <x v="28"/>
    <x v="7"/>
    <x v="91"/>
    <x v="0"/>
    <x v="0"/>
    <x v="0"/>
    <x v="4"/>
    <x v="91"/>
  </r>
  <r>
    <x v="92"/>
    <x v="5"/>
    <x v="92"/>
    <x v="7"/>
    <x v="6"/>
    <x v="29"/>
    <x v="4"/>
    <x v="92"/>
    <x v="0"/>
    <x v="0"/>
    <x v="0"/>
    <x v="4"/>
    <x v="92"/>
  </r>
  <r>
    <x v="93"/>
    <x v="5"/>
    <x v="93"/>
    <x v="4"/>
    <x v="6"/>
    <x v="12"/>
    <x v="5"/>
    <x v="93"/>
    <x v="0"/>
    <x v="0"/>
    <x v="0"/>
    <x v="4"/>
    <x v="93"/>
  </r>
  <r>
    <x v="94"/>
    <x v="5"/>
    <x v="94"/>
    <x v="8"/>
    <x v="1"/>
    <x v="30"/>
    <x v="7"/>
    <x v="94"/>
    <x v="0"/>
    <x v="0"/>
    <x v="2"/>
    <x v="17"/>
    <x v="94"/>
  </r>
  <r>
    <x v="95"/>
    <x v="5"/>
    <x v="95"/>
    <x v="3"/>
    <x v="0"/>
    <x v="4"/>
    <x v="1"/>
    <x v="95"/>
    <x v="0"/>
    <x v="0"/>
    <x v="0"/>
    <x v="6"/>
    <x v="95"/>
  </r>
  <r>
    <x v="96"/>
    <x v="5"/>
    <x v="96"/>
    <x v="0"/>
    <x v="0"/>
    <x v="0"/>
    <x v="5"/>
    <x v="96"/>
    <x v="0"/>
    <x v="0"/>
    <x v="0"/>
    <x v="18"/>
    <x v="96"/>
  </r>
  <r>
    <x v="97"/>
    <x v="5"/>
    <x v="97"/>
    <x v="0"/>
    <x v="0"/>
    <x v="0"/>
    <x v="4"/>
    <x v="97"/>
    <x v="0"/>
    <x v="0"/>
    <x v="0"/>
    <x v="18"/>
    <x v="97"/>
  </r>
  <r>
    <x v="98"/>
    <x v="5"/>
    <x v="98"/>
    <x v="0"/>
    <x v="0"/>
    <x v="0"/>
    <x v="2"/>
    <x v="98"/>
    <x v="0"/>
    <x v="0"/>
    <x v="0"/>
    <x v="18"/>
    <x v="98"/>
  </r>
  <r>
    <x v="99"/>
    <x v="5"/>
    <x v="99"/>
    <x v="3"/>
    <x v="4"/>
    <x v="16"/>
    <x v="1"/>
    <x v="99"/>
    <x v="0"/>
    <x v="0"/>
    <x v="0"/>
    <x v="7"/>
    <x v="99"/>
  </r>
  <r>
    <x v="100"/>
    <x v="5"/>
    <x v="100"/>
    <x v="0"/>
    <x v="0"/>
    <x v="0"/>
    <x v="4"/>
    <x v="100"/>
    <x v="0"/>
    <x v="0"/>
    <x v="0"/>
    <x v="7"/>
    <x v="100"/>
  </r>
  <r>
    <x v="101"/>
    <x v="5"/>
    <x v="101"/>
    <x v="0"/>
    <x v="0"/>
    <x v="0"/>
    <x v="5"/>
    <x v="101"/>
    <x v="0"/>
    <x v="0"/>
    <x v="0"/>
    <x v="7"/>
    <x v="101"/>
  </r>
  <r>
    <x v="102"/>
    <x v="5"/>
    <x v="102"/>
    <x v="0"/>
    <x v="0"/>
    <x v="0"/>
    <x v="4"/>
    <x v="102"/>
    <x v="0"/>
    <x v="0"/>
    <x v="0"/>
    <x v="7"/>
    <x v="102"/>
  </r>
  <r>
    <x v="103"/>
    <x v="5"/>
    <x v="103"/>
    <x v="0"/>
    <x v="5"/>
    <x v="25"/>
    <x v="5"/>
    <x v="103"/>
    <x v="0"/>
    <x v="0"/>
    <x v="0"/>
    <x v="13"/>
    <x v="103"/>
  </r>
  <r>
    <x v="104"/>
    <x v="6"/>
    <x v="104"/>
    <x v="5"/>
    <x v="0"/>
    <x v="14"/>
    <x v="5"/>
    <x v="104"/>
    <x v="0"/>
    <x v="0"/>
    <x v="0"/>
    <x v="11"/>
    <x v="104"/>
  </r>
  <r>
    <x v="105"/>
    <x v="6"/>
    <x v="105"/>
    <x v="9"/>
    <x v="0"/>
    <x v="31"/>
    <x v="4"/>
    <x v="105"/>
    <x v="0"/>
    <x v="0"/>
    <x v="0"/>
    <x v="11"/>
    <x v="105"/>
  </r>
  <r>
    <x v="106"/>
    <x v="6"/>
    <x v="106"/>
    <x v="0"/>
    <x v="1"/>
    <x v="28"/>
    <x v="6"/>
    <x v="106"/>
    <x v="0"/>
    <x v="0"/>
    <x v="0"/>
    <x v="11"/>
    <x v="106"/>
  </r>
  <r>
    <x v="107"/>
    <x v="6"/>
    <x v="107"/>
    <x v="6"/>
    <x v="10"/>
    <x v="32"/>
    <x v="4"/>
    <x v="107"/>
    <x v="0"/>
    <x v="0"/>
    <x v="0"/>
    <x v="0"/>
    <x v="107"/>
  </r>
  <r>
    <x v="108"/>
    <x v="6"/>
    <x v="108"/>
    <x v="0"/>
    <x v="0"/>
    <x v="0"/>
    <x v="5"/>
    <x v="108"/>
    <x v="0"/>
    <x v="0"/>
    <x v="0"/>
    <x v="0"/>
    <x v="108"/>
  </r>
  <r>
    <x v="109"/>
    <x v="6"/>
    <x v="109"/>
    <x v="10"/>
    <x v="4"/>
    <x v="33"/>
    <x v="7"/>
    <x v="109"/>
    <x v="0"/>
    <x v="0"/>
    <x v="0"/>
    <x v="2"/>
    <x v="109"/>
  </r>
  <r>
    <x v="110"/>
    <x v="6"/>
    <x v="110"/>
    <x v="8"/>
    <x v="5"/>
    <x v="34"/>
    <x v="3"/>
    <x v="110"/>
    <x v="0"/>
    <x v="0"/>
    <x v="3"/>
    <x v="4"/>
    <x v="110"/>
  </r>
  <r>
    <x v="111"/>
    <x v="6"/>
    <x v="111"/>
    <x v="0"/>
    <x v="1"/>
    <x v="28"/>
    <x v="0"/>
    <x v="111"/>
    <x v="0"/>
    <x v="0"/>
    <x v="0"/>
    <x v="5"/>
    <x v="111"/>
  </r>
  <r>
    <x v="112"/>
    <x v="6"/>
    <x v="112"/>
    <x v="0"/>
    <x v="6"/>
    <x v="10"/>
    <x v="4"/>
    <x v="112"/>
    <x v="0"/>
    <x v="0"/>
    <x v="0"/>
    <x v="5"/>
    <x v="112"/>
  </r>
  <r>
    <x v="113"/>
    <x v="6"/>
    <x v="113"/>
    <x v="0"/>
    <x v="0"/>
    <x v="0"/>
    <x v="7"/>
    <x v="113"/>
    <x v="0"/>
    <x v="0"/>
    <x v="0"/>
    <x v="5"/>
    <x v="113"/>
  </r>
  <r>
    <x v="114"/>
    <x v="6"/>
    <x v="114"/>
    <x v="3"/>
    <x v="0"/>
    <x v="4"/>
    <x v="5"/>
    <x v="114"/>
    <x v="0"/>
    <x v="0"/>
    <x v="0"/>
    <x v="5"/>
    <x v="114"/>
  </r>
  <r>
    <x v="115"/>
    <x v="6"/>
    <x v="115"/>
    <x v="0"/>
    <x v="0"/>
    <x v="0"/>
    <x v="1"/>
    <x v="115"/>
    <x v="0"/>
    <x v="0"/>
    <x v="0"/>
    <x v="6"/>
    <x v="115"/>
  </r>
  <r>
    <x v="116"/>
    <x v="6"/>
    <x v="116"/>
    <x v="0"/>
    <x v="0"/>
    <x v="0"/>
    <x v="4"/>
    <x v="116"/>
    <x v="0"/>
    <x v="0"/>
    <x v="0"/>
    <x v="18"/>
    <x v="116"/>
  </r>
  <r>
    <x v="117"/>
    <x v="6"/>
    <x v="117"/>
    <x v="0"/>
    <x v="2"/>
    <x v="2"/>
    <x v="8"/>
    <x v="117"/>
    <x v="0"/>
    <x v="0"/>
    <x v="0"/>
    <x v="18"/>
    <x v="117"/>
  </r>
  <r>
    <x v="118"/>
    <x v="6"/>
    <x v="118"/>
    <x v="4"/>
    <x v="0"/>
    <x v="6"/>
    <x v="7"/>
    <x v="118"/>
    <x v="0"/>
    <x v="0"/>
    <x v="0"/>
    <x v="7"/>
    <x v="118"/>
  </r>
  <r>
    <x v="119"/>
    <x v="6"/>
    <x v="119"/>
    <x v="4"/>
    <x v="4"/>
    <x v="7"/>
    <x v="6"/>
    <x v="119"/>
    <x v="0"/>
    <x v="0"/>
    <x v="0"/>
    <x v="9"/>
    <x v="119"/>
  </r>
  <r>
    <x v="120"/>
    <x v="6"/>
    <x v="120"/>
    <x v="4"/>
    <x v="0"/>
    <x v="6"/>
    <x v="4"/>
    <x v="120"/>
    <x v="0"/>
    <x v="0"/>
    <x v="0"/>
    <x v="9"/>
    <x v="120"/>
  </r>
  <r>
    <x v="121"/>
    <x v="6"/>
    <x v="121"/>
    <x v="3"/>
    <x v="0"/>
    <x v="4"/>
    <x v="7"/>
    <x v="121"/>
    <x v="0"/>
    <x v="0"/>
    <x v="0"/>
    <x v="10"/>
    <x v="121"/>
  </r>
  <r>
    <x v="122"/>
    <x v="7"/>
    <x v="122"/>
    <x v="3"/>
    <x v="2"/>
    <x v="27"/>
    <x v="6"/>
    <x v="122"/>
    <x v="0"/>
    <x v="0"/>
    <x v="0"/>
    <x v="11"/>
    <x v="122"/>
  </r>
  <r>
    <x v="123"/>
    <x v="7"/>
    <x v="123"/>
    <x v="5"/>
    <x v="0"/>
    <x v="14"/>
    <x v="5"/>
    <x v="123"/>
    <x v="0"/>
    <x v="0"/>
    <x v="0"/>
    <x v="11"/>
    <x v="123"/>
  </r>
  <r>
    <x v="124"/>
    <x v="7"/>
    <x v="124"/>
    <x v="3"/>
    <x v="5"/>
    <x v="8"/>
    <x v="9"/>
    <x v="124"/>
    <x v="0"/>
    <x v="0"/>
    <x v="0"/>
    <x v="0"/>
    <x v="83"/>
  </r>
  <r>
    <x v="125"/>
    <x v="7"/>
    <x v="125"/>
    <x v="1"/>
    <x v="4"/>
    <x v="35"/>
    <x v="3"/>
    <x v="125"/>
    <x v="0"/>
    <x v="0"/>
    <x v="0"/>
    <x v="0"/>
    <x v="124"/>
  </r>
  <r>
    <x v="126"/>
    <x v="7"/>
    <x v="126"/>
    <x v="4"/>
    <x v="0"/>
    <x v="6"/>
    <x v="0"/>
    <x v="126"/>
    <x v="0"/>
    <x v="0"/>
    <x v="0"/>
    <x v="1"/>
    <x v="125"/>
  </r>
  <r>
    <x v="127"/>
    <x v="7"/>
    <x v="127"/>
    <x v="0"/>
    <x v="5"/>
    <x v="25"/>
    <x v="6"/>
    <x v="127"/>
    <x v="0"/>
    <x v="6"/>
    <x v="0"/>
    <x v="4"/>
    <x v="126"/>
  </r>
  <r>
    <x v="128"/>
    <x v="7"/>
    <x v="128"/>
    <x v="3"/>
    <x v="0"/>
    <x v="4"/>
    <x v="7"/>
    <x v="128"/>
    <x v="0"/>
    <x v="0"/>
    <x v="4"/>
    <x v="19"/>
    <x v="127"/>
  </r>
  <r>
    <x v="129"/>
    <x v="7"/>
    <x v="129"/>
    <x v="0"/>
    <x v="0"/>
    <x v="0"/>
    <x v="1"/>
    <x v="129"/>
    <x v="0"/>
    <x v="0"/>
    <x v="0"/>
    <x v="6"/>
    <x v="128"/>
  </r>
  <r>
    <x v="130"/>
    <x v="7"/>
    <x v="130"/>
    <x v="0"/>
    <x v="0"/>
    <x v="0"/>
    <x v="7"/>
    <x v="130"/>
    <x v="0"/>
    <x v="0"/>
    <x v="0"/>
    <x v="7"/>
    <x v="129"/>
  </r>
  <r>
    <x v="131"/>
    <x v="7"/>
    <x v="131"/>
    <x v="3"/>
    <x v="0"/>
    <x v="4"/>
    <x v="2"/>
    <x v="131"/>
    <x v="0"/>
    <x v="0"/>
    <x v="0"/>
    <x v="7"/>
    <x v="130"/>
  </r>
  <r>
    <x v="132"/>
    <x v="7"/>
    <x v="132"/>
    <x v="0"/>
    <x v="0"/>
    <x v="0"/>
    <x v="5"/>
    <x v="132"/>
    <x v="0"/>
    <x v="0"/>
    <x v="0"/>
    <x v="13"/>
    <x v="28"/>
  </r>
  <r>
    <x v="133"/>
    <x v="7"/>
    <x v="133"/>
    <x v="3"/>
    <x v="6"/>
    <x v="36"/>
    <x v="9"/>
    <x v="133"/>
    <x v="0"/>
    <x v="0"/>
    <x v="0"/>
    <x v="9"/>
    <x v="131"/>
  </r>
  <r>
    <x v="134"/>
    <x v="7"/>
    <x v="134"/>
    <x v="4"/>
    <x v="0"/>
    <x v="6"/>
    <x v="1"/>
    <x v="134"/>
    <x v="0"/>
    <x v="0"/>
    <x v="0"/>
    <x v="9"/>
    <x v="132"/>
  </r>
  <r>
    <x v="135"/>
    <x v="7"/>
    <x v="135"/>
    <x v="0"/>
    <x v="2"/>
    <x v="2"/>
    <x v="4"/>
    <x v="135"/>
    <x v="0"/>
    <x v="0"/>
    <x v="0"/>
    <x v="9"/>
    <x v="133"/>
  </r>
  <r>
    <x v="136"/>
    <x v="7"/>
    <x v="136"/>
    <x v="4"/>
    <x v="0"/>
    <x v="6"/>
    <x v="6"/>
    <x v="136"/>
    <x v="0"/>
    <x v="0"/>
    <x v="0"/>
    <x v="10"/>
    <x v="134"/>
  </r>
  <r>
    <x v="137"/>
    <x v="7"/>
    <x v="137"/>
    <x v="3"/>
    <x v="0"/>
    <x v="4"/>
    <x v="5"/>
    <x v="137"/>
    <x v="0"/>
    <x v="0"/>
    <x v="0"/>
    <x v="15"/>
    <x v="135"/>
  </r>
  <r>
    <x v="138"/>
    <x v="8"/>
    <x v="138"/>
    <x v="6"/>
    <x v="0"/>
    <x v="21"/>
    <x v="1"/>
    <x v="138"/>
    <x v="0"/>
    <x v="0"/>
    <x v="0"/>
    <x v="11"/>
    <x v="136"/>
  </r>
  <r>
    <x v="139"/>
    <x v="8"/>
    <x v="139"/>
    <x v="3"/>
    <x v="0"/>
    <x v="4"/>
    <x v="5"/>
    <x v="139"/>
    <x v="0"/>
    <x v="0"/>
    <x v="0"/>
    <x v="11"/>
    <x v="69"/>
  </r>
  <r>
    <x v="140"/>
    <x v="8"/>
    <x v="140"/>
    <x v="3"/>
    <x v="0"/>
    <x v="4"/>
    <x v="7"/>
    <x v="140"/>
    <x v="0"/>
    <x v="0"/>
    <x v="0"/>
    <x v="1"/>
    <x v="137"/>
  </r>
  <r>
    <x v="141"/>
    <x v="8"/>
    <x v="141"/>
    <x v="0"/>
    <x v="0"/>
    <x v="0"/>
    <x v="4"/>
    <x v="141"/>
    <x v="0"/>
    <x v="0"/>
    <x v="0"/>
    <x v="1"/>
    <x v="138"/>
  </r>
  <r>
    <x v="142"/>
    <x v="8"/>
    <x v="142"/>
    <x v="0"/>
    <x v="4"/>
    <x v="11"/>
    <x v="3"/>
    <x v="142"/>
    <x v="0"/>
    <x v="0"/>
    <x v="0"/>
    <x v="2"/>
    <x v="139"/>
  </r>
  <r>
    <x v="143"/>
    <x v="8"/>
    <x v="143"/>
    <x v="0"/>
    <x v="0"/>
    <x v="0"/>
    <x v="4"/>
    <x v="143"/>
    <x v="0"/>
    <x v="0"/>
    <x v="0"/>
    <x v="5"/>
    <x v="140"/>
  </r>
  <r>
    <x v="144"/>
    <x v="8"/>
    <x v="144"/>
    <x v="0"/>
    <x v="0"/>
    <x v="0"/>
    <x v="7"/>
    <x v="144"/>
    <x v="0"/>
    <x v="0"/>
    <x v="0"/>
    <x v="5"/>
    <x v="141"/>
  </r>
  <r>
    <x v="145"/>
    <x v="8"/>
    <x v="145"/>
    <x v="0"/>
    <x v="2"/>
    <x v="2"/>
    <x v="2"/>
    <x v="145"/>
    <x v="0"/>
    <x v="0"/>
    <x v="0"/>
    <x v="19"/>
    <x v="142"/>
  </r>
  <r>
    <x v="146"/>
    <x v="8"/>
    <x v="146"/>
    <x v="3"/>
    <x v="0"/>
    <x v="4"/>
    <x v="1"/>
    <x v="146"/>
    <x v="0"/>
    <x v="0"/>
    <x v="0"/>
    <x v="6"/>
    <x v="143"/>
  </r>
  <r>
    <x v="147"/>
    <x v="8"/>
    <x v="147"/>
    <x v="0"/>
    <x v="10"/>
    <x v="37"/>
    <x v="2"/>
    <x v="147"/>
    <x v="0"/>
    <x v="0"/>
    <x v="0"/>
    <x v="8"/>
    <x v="144"/>
  </r>
  <r>
    <x v="148"/>
    <x v="8"/>
    <x v="148"/>
    <x v="0"/>
    <x v="0"/>
    <x v="0"/>
    <x v="4"/>
    <x v="148"/>
    <x v="0"/>
    <x v="0"/>
    <x v="0"/>
    <x v="13"/>
    <x v="145"/>
  </r>
  <r>
    <x v="149"/>
    <x v="8"/>
    <x v="149"/>
    <x v="0"/>
    <x v="0"/>
    <x v="0"/>
    <x v="0"/>
    <x v="149"/>
    <x v="0"/>
    <x v="0"/>
    <x v="0"/>
    <x v="9"/>
    <x v="146"/>
  </r>
  <r>
    <x v="150"/>
    <x v="8"/>
    <x v="150"/>
    <x v="0"/>
    <x v="0"/>
    <x v="0"/>
    <x v="7"/>
    <x v="150"/>
    <x v="0"/>
    <x v="0"/>
    <x v="0"/>
    <x v="9"/>
    <x v="147"/>
  </r>
  <r>
    <x v="151"/>
    <x v="8"/>
    <x v="151"/>
    <x v="0"/>
    <x v="4"/>
    <x v="11"/>
    <x v="5"/>
    <x v="151"/>
    <x v="0"/>
    <x v="0"/>
    <x v="0"/>
    <x v="10"/>
    <x v="148"/>
  </r>
  <r>
    <x v="152"/>
    <x v="8"/>
    <x v="152"/>
    <x v="0"/>
    <x v="4"/>
    <x v="11"/>
    <x v="4"/>
    <x v="152"/>
    <x v="0"/>
    <x v="0"/>
    <x v="0"/>
    <x v="14"/>
    <x v="149"/>
  </r>
  <r>
    <x v="153"/>
    <x v="8"/>
    <x v="153"/>
    <x v="0"/>
    <x v="0"/>
    <x v="0"/>
    <x v="7"/>
    <x v="153"/>
    <x v="0"/>
    <x v="0"/>
    <x v="0"/>
    <x v="15"/>
    <x v="150"/>
  </r>
  <r>
    <x v="154"/>
    <x v="9"/>
    <x v="154"/>
    <x v="5"/>
    <x v="0"/>
    <x v="14"/>
    <x v="7"/>
    <x v="154"/>
    <x v="0"/>
    <x v="0"/>
    <x v="0"/>
    <x v="11"/>
    <x v="151"/>
  </r>
  <r>
    <x v="155"/>
    <x v="9"/>
    <x v="155"/>
    <x v="4"/>
    <x v="5"/>
    <x v="9"/>
    <x v="3"/>
    <x v="155"/>
    <x v="0"/>
    <x v="0"/>
    <x v="0"/>
    <x v="12"/>
    <x v="152"/>
  </r>
  <r>
    <x v="156"/>
    <x v="9"/>
    <x v="156"/>
    <x v="4"/>
    <x v="0"/>
    <x v="6"/>
    <x v="4"/>
    <x v="156"/>
    <x v="0"/>
    <x v="0"/>
    <x v="0"/>
    <x v="0"/>
    <x v="153"/>
  </r>
  <r>
    <x v="157"/>
    <x v="9"/>
    <x v="157"/>
    <x v="4"/>
    <x v="0"/>
    <x v="6"/>
    <x v="3"/>
    <x v="157"/>
    <x v="0"/>
    <x v="0"/>
    <x v="0"/>
    <x v="1"/>
    <x v="154"/>
  </r>
  <r>
    <x v="158"/>
    <x v="9"/>
    <x v="158"/>
    <x v="1"/>
    <x v="0"/>
    <x v="24"/>
    <x v="4"/>
    <x v="158"/>
    <x v="0"/>
    <x v="0"/>
    <x v="0"/>
    <x v="2"/>
    <x v="155"/>
  </r>
  <r>
    <x v="159"/>
    <x v="9"/>
    <x v="159"/>
    <x v="4"/>
    <x v="0"/>
    <x v="6"/>
    <x v="6"/>
    <x v="159"/>
    <x v="0"/>
    <x v="0"/>
    <x v="0"/>
    <x v="2"/>
    <x v="156"/>
  </r>
  <r>
    <x v="160"/>
    <x v="9"/>
    <x v="160"/>
    <x v="3"/>
    <x v="0"/>
    <x v="4"/>
    <x v="0"/>
    <x v="160"/>
    <x v="0"/>
    <x v="0"/>
    <x v="0"/>
    <x v="2"/>
    <x v="157"/>
  </r>
  <r>
    <x v="161"/>
    <x v="9"/>
    <x v="161"/>
    <x v="6"/>
    <x v="0"/>
    <x v="21"/>
    <x v="1"/>
    <x v="161"/>
    <x v="0"/>
    <x v="0"/>
    <x v="0"/>
    <x v="5"/>
    <x v="158"/>
  </r>
  <r>
    <x v="162"/>
    <x v="9"/>
    <x v="162"/>
    <x v="0"/>
    <x v="0"/>
    <x v="0"/>
    <x v="9"/>
    <x v="162"/>
    <x v="0"/>
    <x v="0"/>
    <x v="0"/>
    <x v="5"/>
    <x v="54"/>
  </r>
  <r>
    <x v="163"/>
    <x v="9"/>
    <x v="163"/>
    <x v="0"/>
    <x v="0"/>
    <x v="0"/>
    <x v="1"/>
    <x v="163"/>
    <x v="0"/>
    <x v="0"/>
    <x v="0"/>
    <x v="5"/>
    <x v="159"/>
  </r>
  <r>
    <x v="164"/>
    <x v="9"/>
    <x v="164"/>
    <x v="4"/>
    <x v="0"/>
    <x v="6"/>
    <x v="7"/>
    <x v="164"/>
    <x v="0"/>
    <x v="0"/>
    <x v="0"/>
    <x v="5"/>
    <x v="160"/>
  </r>
  <r>
    <x v="165"/>
    <x v="9"/>
    <x v="165"/>
    <x v="0"/>
    <x v="0"/>
    <x v="0"/>
    <x v="5"/>
    <x v="165"/>
    <x v="0"/>
    <x v="0"/>
    <x v="0"/>
    <x v="5"/>
    <x v="161"/>
  </r>
  <r>
    <x v="166"/>
    <x v="9"/>
    <x v="166"/>
    <x v="4"/>
    <x v="0"/>
    <x v="6"/>
    <x v="1"/>
    <x v="166"/>
    <x v="0"/>
    <x v="0"/>
    <x v="0"/>
    <x v="7"/>
    <x v="162"/>
  </r>
  <r>
    <x v="167"/>
    <x v="9"/>
    <x v="167"/>
    <x v="4"/>
    <x v="6"/>
    <x v="12"/>
    <x v="6"/>
    <x v="167"/>
    <x v="0"/>
    <x v="0"/>
    <x v="0"/>
    <x v="8"/>
    <x v="163"/>
  </r>
  <r>
    <x v="168"/>
    <x v="9"/>
    <x v="168"/>
    <x v="3"/>
    <x v="0"/>
    <x v="4"/>
    <x v="1"/>
    <x v="168"/>
    <x v="0"/>
    <x v="0"/>
    <x v="0"/>
    <x v="13"/>
    <x v="164"/>
  </r>
  <r>
    <x v="169"/>
    <x v="9"/>
    <x v="169"/>
    <x v="0"/>
    <x v="0"/>
    <x v="0"/>
    <x v="6"/>
    <x v="169"/>
    <x v="0"/>
    <x v="0"/>
    <x v="0"/>
    <x v="13"/>
    <x v="63"/>
  </r>
  <r>
    <x v="170"/>
    <x v="9"/>
    <x v="170"/>
    <x v="4"/>
    <x v="0"/>
    <x v="6"/>
    <x v="7"/>
    <x v="170"/>
    <x v="0"/>
    <x v="0"/>
    <x v="0"/>
    <x v="13"/>
    <x v="63"/>
  </r>
  <r>
    <x v="171"/>
    <x v="9"/>
    <x v="171"/>
    <x v="0"/>
    <x v="0"/>
    <x v="0"/>
    <x v="1"/>
    <x v="171"/>
    <x v="0"/>
    <x v="0"/>
    <x v="0"/>
    <x v="9"/>
    <x v="132"/>
  </r>
  <r>
    <x v="172"/>
    <x v="9"/>
    <x v="172"/>
    <x v="4"/>
    <x v="4"/>
    <x v="7"/>
    <x v="10"/>
    <x v="172"/>
    <x v="0"/>
    <x v="0"/>
    <x v="0"/>
    <x v="14"/>
    <x v="165"/>
  </r>
  <r>
    <x v="173"/>
    <x v="10"/>
    <x v="173"/>
    <x v="4"/>
    <x v="0"/>
    <x v="6"/>
    <x v="0"/>
    <x v="173"/>
    <x v="0"/>
    <x v="0"/>
    <x v="0"/>
    <x v="0"/>
    <x v="59"/>
  </r>
  <r>
    <x v="174"/>
    <x v="10"/>
    <x v="174"/>
    <x v="0"/>
    <x v="4"/>
    <x v="11"/>
    <x v="6"/>
    <x v="174"/>
    <x v="0"/>
    <x v="0"/>
    <x v="0"/>
    <x v="3"/>
    <x v="166"/>
  </r>
  <r>
    <x v="175"/>
    <x v="10"/>
    <x v="175"/>
    <x v="0"/>
    <x v="0"/>
    <x v="0"/>
    <x v="5"/>
    <x v="175"/>
    <x v="0"/>
    <x v="0"/>
    <x v="0"/>
    <x v="5"/>
    <x v="167"/>
  </r>
  <r>
    <x v="176"/>
    <x v="10"/>
    <x v="176"/>
    <x v="4"/>
    <x v="0"/>
    <x v="6"/>
    <x v="11"/>
    <x v="176"/>
    <x v="0"/>
    <x v="0"/>
    <x v="0"/>
    <x v="5"/>
    <x v="168"/>
  </r>
  <r>
    <x v="177"/>
    <x v="10"/>
    <x v="177"/>
    <x v="4"/>
    <x v="1"/>
    <x v="5"/>
    <x v="6"/>
    <x v="177"/>
    <x v="0"/>
    <x v="0"/>
    <x v="0"/>
    <x v="6"/>
    <x v="169"/>
  </r>
  <r>
    <x v="178"/>
    <x v="10"/>
    <x v="178"/>
    <x v="3"/>
    <x v="0"/>
    <x v="4"/>
    <x v="0"/>
    <x v="178"/>
    <x v="0"/>
    <x v="0"/>
    <x v="0"/>
    <x v="7"/>
    <x v="170"/>
  </r>
  <r>
    <x v="179"/>
    <x v="10"/>
    <x v="179"/>
    <x v="3"/>
    <x v="0"/>
    <x v="4"/>
    <x v="7"/>
    <x v="179"/>
    <x v="0"/>
    <x v="0"/>
    <x v="0"/>
    <x v="13"/>
    <x v="171"/>
  </r>
  <r>
    <x v="180"/>
    <x v="10"/>
    <x v="180"/>
    <x v="0"/>
    <x v="0"/>
    <x v="0"/>
    <x v="7"/>
    <x v="180"/>
    <x v="0"/>
    <x v="0"/>
    <x v="0"/>
    <x v="9"/>
    <x v="172"/>
  </r>
  <r>
    <x v="181"/>
    <x v="10"/>
    <x v="181"/>
    <x v="3"/>
    <x v="0"/>
    <x v="4"/>
    <x v="5"/>
    <x v="181"/>
    <x v="0"/>
    <x v="0"/>
    <x v="0"/>
    <x v="10"/>
    <x v="173"/>
  </r>
  <r>
    <x v="182"/>
    <x v="10"/>
    <x v="182"/>
    <x v="0"/>
    <x v="1"/>
    <x v="28"/>
    <x v="1"/>
    <x v="182"/>
    <x v="0"/>
    <x v="0"/>
    <x v="0"/>
    <x v="10"/>
    <x v="174"/>
  </r>
  <r>
    <x v="183"/>
    <x v="10"/>
    <x v="183"/>
    <x v="3"/>
    <x v="0"/>
    <x v="4"/>
    <x v="5"/>
    <x v="183"/>
    <x v="0"/>
    <x v="0"/>
    <x v="0"/>
    <x v="15"/>
    <x v="175"/>
  </r>
  <r>
    <x v="184"/>
    <x v="11"/>
    <x v="184"/>
    <x v="6"/>
    <x v="1"/>
    <x v="19"/>
    <x v="7"/>
    <x v="184"/>
    <x v="0"/>
    <x v="0"/>
    <x v="0"/>
    <x v="11"/>
    <x v="70"/>
  </r>
  <r>
    <x v="185"/>
    <x v="11"/>
    <x v="185"/>
    <x v="0"/>
    <x v="0"/>
    <x v="0"/>
    <x v="7"/>
    <x v="185"/>
    <x v="0"/>
    <x v="0"/>
    <x v="0"/>
    <x v="0"/>
    <x v="176"/>
  </r>
  <r>
    <x v="186"/>
    <x v="11"/>
    <x v="186"/>
    <x v="0"/>
    <x v="0"/>
    <x v="0"/>
    <x v="4"/>
    <x v="186"/>
    <x v="0"/>
    <x v="0"/>
    <x v="0"/>
    <x v="1"/>
    <x v="177"/>
  </r>
  <r>
    <x v="187"/>
    <x v="11"/>
    <x v="187"/>
    <x v="0"/>
    <x v="0"/>
    <x v="0"/>
    <x v="2"/>
    <x v="187"/>
    <x v="0"/>
    <x v="0"/>
    <x v="0"/>
    <x v="2"/>
    <x v="178"/>
  </r>
  <r>
    <x v="188"/>
    <x v="11"/>
    <x v="188"/>
    <x v="0"/>
    <x v="5"/>
    <x v="25"/>
    <x v="7"/>
    <x v="188"/>
    <x v="0"/>
    <x v="0"/>
    <x v="0"/>
    <x v="5"/>
    <x v="179"/>
  </r>
  <r>
    <x v="189"/>
    <x v="11"/>
    <x v="189"/>
    <x v="0"/>
    <x v="0"/>
    <x v="0"/>
    <x v="5"/>
    <x v="189"/>
    <x v="0"/>
    <x v="0"/>
    <x v="0"/>
    <x v="16"/>
    <x v="180"/>
  </r>
  <r>
    <x v="190"/>
    <x v="11"/>
    <x v="190"/>
    <x v="4"/>
    <x v="2"/>
    <x v="20"/>
    <x v="6"/>
    <x v="190"/>
    <x v="0"/>
    <x v="0"/>
    <x v="0"/>
    <x v="18"/>
    <x v="181"/>
  </r>
  <r>
    <x v="191"/>
    <x v="11"/>
    <x v="191"/>
    <x v="4"/>
    <x v="0"/>
    <x v="6"/>
    <x v="1"/>
    <x v="191"/>
    <x v="0"/>
    <x v="0"/>
    <x v="0"/>
    <x v="9"/>
    <x v="182"/>
  </r>
  <r>
    <x v="192"/>
    <x v="11"/>
    <x v="192"/>
    <x v="4"/>
    <x v="4"/>
    <x v="7"/>
    <x v="1"/>
    <x v="192"/>
    <x v="0"/>
    <x v="0"/>
    <x v="0"/>
    <x v="14"/>
    <x v="77"/>
  </r>
  <r>
    <x v="193"/>
    <x v="11"/>
    <x v="193"/>
    <x v="0"/>
    <x v="4"/>
    <x v="11"/>
    <x v="2"/>
    <x v="193"/>
    <x v="0"/>
    <x v="0"/>
    <x v="0"/>
    <x v="14"/>
    <x v="183"/>
  </r>
  <r>
    <x v="194"/>
    <x v="11"/>
    <x v="194"/>
    <x v="3"/>
    <x v="0"/>
    <x v="4"/>
    <x v="5"/>
    <x v="194"/>
    <x v="0"/>
    <x v="0"/>
    <x v="0"/>
    <x v="15"/>
    <x v="184"/>
  </r>
  <r>
    <x v="195"/>
    <x v="11"/>
    <x v="195"/>
    <x v="4"/>
    <x v="4"/>
    <x v="7"/>
    <x v="7"/>
    <x v="195"/>
    <x v="0"/>
    <x v="0"/>
    <x v="0"/>
    <x v="20"/>
    <x v="185"/>
  </r>
  <r>
    <x v="196"/>
    <x v="12"/>
    <x v="196"/>
    <x v="5"/>
    <x v="1"/>
    <x v="23"/>
    <x v="7"/>
    <x v="196"/>
    <x v="0"/>
    <x v="0"/>
    <x v="0"/>
    <x v="11"/>
    <x v="186"/>
  </r>
  <r>
    <x v="197"/>
    <x v="12"/>
    <x v="197"/>
    <x v="1"/>
    <x v="4"/>
    <x v="35"/>
    <x v="3"/>
    <x v="197"/>
    <x v="0"/>
    <x v="0"/>
    <x v="0"/>
    <x v="12"/>
    <x v="187"/>
  </r>
  <r>
    <x v="198"/>
    <x v="12"/>
    <x v="198"/>
    <x v="5"/>
    <x v="0"/>
    <x v="14"/>
    <x v="2"/>
    <x v="198"/>
    <x v="0"/>
    <x v="0"/>
    <x v="0"/>
    <x v="0"/>
    <x v="188"/>
  </r>
  <r>
    <x v="199"/>
    <x v="12"/>
    <x v="199"/>
    <x v="1"/>
    <x v="2"/>
    <x v="18"/>
    <x v="2"/>
    <x v="199"/>
    <x v="0"/>
    <x v="0"/>
    <x v="0"/>
    <x v="1"/>
    <x v="189"/>
  </r>
  <r>
    <x v="200"/>
    <x v="12"/>
    <x v="200"/>
    <x v="0"/>
    <x v="0"/>
    <x v="0"/>
    <x v="4"/>
    <x v="200"/>
    <x v="0"/>
    <x v="0"/>
    <x v="0"/>
    <x v="2"/>
    <x v="190"/>
  </r>
  <r>
    <x v="201"/>
    <x v="12"/>
    <x v="201"/>
    <x v="0"/>
    <x v="2"/>
    <x v="2"/>
    <x v="5"/>
    <x v="201"/>
    <x v="0"/>
    <x v="0"/>
    <x v="0"/>
    <x v="2"/>
    <x v="191"/>
  </r>
  <r>
    <x v="202"/>
    <x v="12"/>
    <x v="202"/>
    <x v="0"/>
    <x v="0"/>
    <x v="0"/>
    <x v="4"/>
    <x v="202"/>
    <x v="0"/>
    <x v="0"/>
    <x v="0"/>
    <x v="2"/>
    <x v="192"/>
  </r>
  <r>
    <x v="203"/>
    <x v="12"/>
    <x v="203"/>
    <x v="4"/>
    <x v="0"/>
    <x v="6"/>
    <x v="7"/>
    <x v="203"/>
    <x v="0"/>
    <x v="0"/>
    <x v="0"/>
    <x v="3"/>
    <x v="193"/>
  </r>
  <r>
    <x v="204"/>
    <x v="12"/>
    <x v="204"/>
    <x v="0"/>
    <x v="0"/>
    <x v="0"/>
    <x v="7"/>
    <x v="204"/>
    <x v="0"/>
    <x v="0"/>
    <x v="0"/>
    <x v="16"/>
    <x v="194"/>
  </r>
  <r>
    <x v="205"/>
    <x v="12"/>
    <x v="205"/>
    <x v="0"/>
    <x v="0"/>
    <x v="0"/>
    <x v="4"/>
    <x v="205"/>
    <x v="0"/>
    <x v="0"/>
    <x v="0"/>
    <x v="7"/>
    <x v="70"/>
  </r>
  <r>
    <x v="206"/>
    <x v="12"/>
    <x v="206"/>
    <x v="3"/>
    <x v="0"/>
    <x v="4"/>
    <x v="6"/>
    <x v="206"/>
    <x v="0"/>
    <x v="0"/>
    <x v="0"/>
    <x v="7"/>
    <x v="195"/>
  </r>
  <r>
    <x v="207"/>
    <x v="12"/>
    <x v="207"/>
    <x v="3"/>
    <x v="8"/>
    <x v="38"/>
    <x v="6"/>
    <x v="207"/>
    <x v="0"/>
    <x v="0"/>
    <x v="0"/>
    <x v="10"/>
    <x v="196"/>
  </r>
  <r>
    <x v="208"/>
    <x v="12"/>
    <x v="208"/>
    <x v="0"/>
    <x v="0"/>
    <x v="0"/>
    <x v="2"/>
    <x v="208"/>
    <x v="0"/>
    <x v="0"/>
    <x v="0"/>
    <x v="14"/>
    <x v="197"/>
  </r>
  <r>
    <x v="209"/>
    <x v="12"/>
    <x v="209"/>
    <x v="4"/>
    <x v="1"/>
    <x v="5"/>
    <x v="2"/>
    <x v="209"/>
    <x v="0"/>
    <x v="0"/>
    <x v="0"/>
    <x v="21"/>
    <x v="198"/>
  </r>
  <r>
    <x v="210"/>
    <x v="13"/>
    <x v="210"/>
    <x v="3"/>
    <x v="5"/>
    <x v="8"/>
    <x v="2"/>
    <x v="210"/>
    <x v="0"/>
    <x v="0"/>
    <x v="0"/>
    <x v="11"/>
    <x v="72"/>
  </r>
  <r>
    <x v="211"/>
    <x v="13"/>
    <x v="211"/>
    <x v="6"/>
    <x v="1"/>
    <x v="19"/>
    <x v="2"/>
    <x v="211"/>
    <x v="0"/>
    <x v="0"/>
    <x v="0"/>
    <x v="11"/>
    <x v="199"/>
  </r>
  <r>
    <x v="212"/>
    <x v="13"/>
    <x v="212"/>
    <x v="0"/>
    <x v="5"/>
    <x v="25"/>
    <x v="4"/>
    <x v="212"/>
    <x v="0"/>
    <x v="0"/>
    <x v="0"/>
    <x v="11"/>
    <x v="200"/>
  </r>
  <r>
    <x v="213"/>
    <x v="13"/>
    <x v="213"/>
    <x v="3"/>
    <x v="4"/>
    <x v="16"/>
    <x v="5"/>
    <x v="213"/>
    <x v="0"/>
    <x v="0"/>
    <x v="0"/>
    <x v="12"/>
    <x v="201"/>
  </r>
  <r>
    <x v="214"/>
    <x v="13"/>
    <x v="214"/>
    <x v="6"/>
    <x v="4"/>
    <x v="39"/>
    <x v="6"/>
    <x v="214"/>
    <x v="0"/>
    <x v="0"/>
    <x v="0"/>
    <x v="12"/>
    <x v="202"/>
  </r>
  <r>
    <x v="215"/>
    <x v="13"/>
    <x v="215"/>
    <x v="4"/>
    <x v="0"/>
    <x v="6"/>
    <x v="2"/>
    <x v="215"/>
    <x v="0"/>
    <x v="0"/>
    <x v="0"/>
    <x v="0"/>
    <x v="203"/>
  </r>
  <r>
    <x v="216"/>
    <x v="13"/>
    <x v="216"/>
    <x v="4"/>
    <x v="0"/>
    <x v="6"/>
    <x v="2"/>
    <x v="216"/>
    <x v="0"/>
    <x v="0"/>
    <x v="0"/>
    <x v="1"/>
    <x v="204"/>
  </r>
  <r>
    <x v="217"/>
    <x v="13"/>
    <x v="217"/>
    <x v="4"/>
    <x v="0"/>
    <x v="6"/>
    <x v="1"/>
    <x v="217"/>
    <x v="0"/>
    <x v="0"/>
    <x v="0"/>
    <x v="1"/>
    <x v="205"/>
  </r>
  <r>
    <x v="218"/>
    <x v="13"/>
    <x v="218"/>
    <x v="0"/>
    <x v="0"/>
    <x v="0"/>
    <x v="2"/>
    <x v="218"/>
    <x v="0"/>
    <x v="0"/>
    <x v="0"/>
    <x v="1"/>
    <x v="206"/>
  </r>
  <r>
    <x v="219"/>
    <x v="13"/>
    <x v="219"/>
    <x v="0"/>
    <x v="0"/>
    <x v="0"/>
    <x v="5"/>
    <x v="219"/>
    <x v="0"/>
    <x v="0"/>
    <x v="0"/>
    <x v="2"/>
    <x v="207"/>
  </r>
  <r>
    <x v="220"/>
    <x v="13"/>
    <x v="220"/>
    <x v="6"/>
    <x v="4"/>
    <x v="39"/>
    <x v="6"/>
    <x v="220"/>
    <x v="0"/>
    <x v="0"/>
    <x v="0"/>
    <x v="3"/>
    <x v="208"/>
  </r>
  <r>
    <x v="221"/>
    <x v="13"/>
    <x v="221"/>
    <x v="4"/>
    <x v="6"/>
    <x v="12"/>
    <x v="7"/>
    <x v="221"/>
    <x v="0"/>
    <x v="0"/>
    <x v="0"/>
    <x v="3"/>
    <x v="209"/>
  </r>
  <r>
    <x v="222"/>
    <x v="13"/>
    <x v="222"/>
    <x v="0"/>
    <x v="0"/>
    <x v="0"/>
    <x v="0"/>
    <x v="222"/>
    <x v="0"/>
    <x v="0"/>
    <x v="0"/>
    <x v="6"/>
    <x v="210"/>
  </r>
  <r>
    <x v="223"/>
    <x v="13"/>
    <x v="223"/>
    <x v="4"/>
    <x v="0"/>
    <x v="6"/>
    <x v="7"/>
    <x v="223"/>
    <x v="0"/>
    <x v="0"/>
    <x v="0"/>
    <x v="16"/>
    <x v="211"/>
  </r>
  <r>
    <x v="224"/>
    <x v="13"/>
    <x v="224"/>
    <x v="4"/>
    <x v="0"/>
    <x v="6"/>
    <x v="7"/>
    <x v="224"/>
    <x v="0"/>
    <x v="0"/>
    <x v="0"/>
    <x v="18"/>
    <x v="212"/>
  </r>
  <r>
    <x v="225"/>
    <x v="13"/>
    <x v="225"/>
    <x v="0"/>
    <x v="0"/>
    <x v="0"/>
    <x v="6"/>
    <x v="225"/>
    <x v="0"/>
    <x v="0"/>
    <x v="0"/>
    <x v="7"/>
    <x v="213"/>
  </r>
  <r>
    <x v="226"/>
    <x v="13"/>
    <x v="226"/>
    <x v="0"/>
    <x v="0"/>
    <x v="0"/>
    <x v="5"/>
    <x v="226"/>
    <x v="0"/>
    <x v="0"/>
    <x v="0"/>
    <x v="13"/>
    <x v="214"/>
  </r>
  <r>
    <x v="227"/>
    <x v="13"/>
    <x v="227"/>
    <x v="3"/>
    <x v="0"/>
    <x v="4"/>
    <x v="2"/>
    <x v="227"/>
    <x v="0"/>
    <x v="0"/>
    <x v="0"/>
    <x v="13"/>
    <x v="215"/>
  </r>
  <r>
    <x v="228"/>
    <x v="13"/>
    <x v="228"/>
    <x v="0"/>
    <x v="4"/>
    <x v="11"/>
    <x v="5"/>
    <x v="228"/>
    <x v="0"/>
    <x v="0"/>
    <x v="0"/>
    <x v="9"/>
    <x v="216"/>
  </r>
  <r>
    <x v="229"/>
    <x v="13"/>
    <x v="229"/>
    <x v="0"/>
    <x v="4"/>
    <x v="11"/>
    <x v="12"/>
    <x v="229"/>
    <x v="0"/>
    <x v="0"/>
    <x v="0"/>
    <x v="14"/>
    <x v="217"/>
  </r>
  <r>
    <x v="230"/>
    <x v="13"/>
    <x v="230"/>
    <x v="3"/>
    <x v="4"/>
    <x v="16"/>
    <x v="3"/>
    <x v="230"/>
    <x v="0"/>
    <x v="0"/>
    <x v="0"/>
    <x v="20"/>
    <x v="218"/>
  </r>
  <r>
    <x v="231"/>
    <x v="14"/>
    <x v="231"/>
    <x v="3"/>
    <x v="0"/>
    <x v="4"/>
    <x v="1"/>
    <x v="231"/>
    <x v="0"/>
    <x v="0"/>
    <x v="0"/>
    <x v="11"/>
    <x v="219"/>
  </r>
  <r>
    <x v="232"/>
    <x v="14"/>
    <x v="232"/>
    <x v="4"/>
    <x v="0"/>
    <x v="6"/>
    <x v="5"/>
    <x v="232"/>
    <x v="0"/>
    <x v="0"/>
    <x v="0"/>
    <x v="0"/>
    <x v="220"/>
  </r>
  <r>
    <x v="233"/>
    <x v="14"/>
    <x v="233"/>
    <x v="1"/>
    <x v="0"/>
    <x v="24"/>
    <x v="1"/>
    <x v="233"/>
    <x v="0"/>
    <x v="0"/>
    <x v="0"/>
    <x v="0"/>
    <x v="221"/>
  </r>
  <r>
    <x v="234"/>
    <x v="14"/>
    <x v="234"/>
    <x v="0"/>
    <x v="6"/>
    <x v="10"/>
    <x v="2"/>
    <x v="234"/>
    <x v="0"/>
    <x v="0"/>
    <x v="0"/>
    <x v="17"/>
    <x v="222"/>
  </r>
  <r>
    <x v="235"/>
    <x v="14"/>
    <x v="235"/>
    <x v="0"/>
    <x v="0"/>
    <x v="0"/>
    <x v="1"/>
    <x v="235"/>
    <x v="0"/>
    <x v="0"/>
    <x v="0"/>
    <x v="5"/>
    <x v="223"/>
  </r>
  <r>
    <x v="236"/>
    <x v="14"/>
    <x v="236"/>
    <x v="0"/>
    <x v="4"/>
    <x v="11"/>
    <x v="1"/>
    <x v="236"/>
    <x v="0"/>
    <x v="0"/>
    <x v="0"/>
    <x v="22"/>
    <x v="224"/>
  </r>
  <r>
    <x v="237"/>
    <x v="14"/>
    <x v="237"/>
    <x v="0"/>
    <x v="4"/>
    <x v="11"/>
    <x v="4"/>
    <x v="237"/>
    <x v="0"/>
    <x v="0"/>
    <x v="0"/>
    <x v="18"/>
    <x v="225"/>
  </r>
  <r>
    <x v="238"/>
    <x v="14"/>
    <x v="238"/>
    <x v="3"/>
    <x v="0"/>
    <x v="4"/>
    <x v="7"/>
    <x v="238"/>
    <x v="0"/>
    <x v="0"/>
    <x v="0"/>
    <x v="7"/>
    <x v="226"/>
  </r>
  <r>
    <x v="239"/>
    <x v="14"/>
    <x v="239"/>
    <x v="0"/>
    <x v="0"/>
    <x v="0"/>
    <x v="4"/>
    <x v="239"/>
    <x v="0"/>
    <x v="0"/>
    <x v="0"/>
    <x v="13"/>
    <x v="103"/>
  </r>
  <r>
    <x v="240"/>
    <x v="14"/>
    <x v="240"/>
    <x v="3"/>
    <x v="0"/>
    <x v="4"/>
    <x v="7"/>
    <x v="240"/>
    <x v="0"/>
    <x v="0"/>
    <x v="0"/>
    <x v="9"/>
    <x v="227"/>
  </r>
  <r>
    <x v="241"/>
    <x v="14"/>
    <x v="241"/>
    <x v="4"/>
    <x v="4"/>
    <x v="7"/>
    <x v="0"/>
    <x v="241"/>
    <x v="0"/>
    <x v="0"/>
    <x v="0"/>
    <x v="9"/>
    <x v="228"/>
  </r>
  <r>
    <x v="242"/>
    <x v="14"/>
    <x v="242"/>
    <x v="0"/>
    <x v="0"/>
    <x v="0"/>
    <x v="5"/>
    <x v="242"/>
    <x v="0"/>
    <x v="0"/>
    <x v="0"/>
    <x v="9"/>
    <x v="229"/>
  </r>
  <r>
    <x v="243"/>
    <x v="14"/>
    <x v="243"/>
    <x v="0"/>
    <x v="0"/>
    <x v="0"/>
    <x v="4"/>
    <x v="243"/>
    <x v="0"/>
    <x v="0"/>
    <x v="0"/>
    <x v="10"/>
    <x v="230"/>
  </r>
  <r>
    <x v="244"/>
    <x v="14"/>
    <x v="244"/>
    <x v="0"/>
    <x v="4"/>
    <x v="11"/>
    <x v="11"/>
    <x v="244"/>
    <x v="0"/>
    <x v="0"/>
    <x v="0"/>
    <x v="20"/>
    <x v="231"/>
  </r>
  <r>
    <x v="245"/>
    <x v="15"/>
    <x v="245"/>
    <x v="6"/>
    <x v="3"/>
    <x v="40"/>
    <x v="3"/>
    <x v="245"/>
    <x v="0"/>
    <x v="0"/>
    <x v="0"/>
    <x v="12"/>
    <x v="232"/>
  </r>
  <r>
    <x v="246"/>
    <x v="15"/>
    <x v="246"/>
    <x v="3"/>
    <x v="0"/>
    <x v="4"/>
    <x v="4"/>
    <x v="246"/>
    <x v="0"/>
    <x v="0"/>
    <x v="0"/>
    <x v="0"/>
    <x v="69"/>
  </r>
  <r>
    <x v="247"/>
    <x v="15"/>
    <x v="247"/>
    <x v="0"/>
    <x v="2"/>
    <x v="2"/>
    <x v="8"/>
    <x v="247"/>
    <x v="0"/>
    <x v="0"/>
    <x v="0"/>
    <x v="0"/>
    <x v="233"/>
  </r>
  <r>
    <x v="248"/>
    <x v="15"/>
    <x v="248"/>
    <x v="1"/>
    <x v="0"/>
    <x v="24"/>
    <x v="2"/>
    <x v="248"/>
    <x v="0"/>
    <x v="0"/>
    <x v="0"/>
    <x v="1"/>
    <x v="234"/>
  </r>
  <r>
    <x v="249"/>
    <x v="15"/>
    <x v="249"/>
    <x v="4"/>
    <x v="2"/>
    <x v="20"/>
    <x v="4"/>
    <x v="249"/>
    <x v="0"/>
    <x v="0"/>
    <x v="0"/>
    <x v="1"/>
    <x v="235"/>
  </r>
  <r>
    <x v="250"/>
    <x v="15"/>
    <x v="250"/>
    <x v="4"/>
    <x v="0"/>
    <x v="6"/>
    <x v="7"/>
    <x v="250"/>
    <x v="0"/>
    <x v="0"/>
    <x v="0"/>
    <x v="1"/>
    <x v="236"/>
  </r>
  <r>
    <x v="251"/>
    <x v="15"/>
    <x v="251"/>
    <x v="0"/>
    <x v="6"/>
    <x v="10"/>
    <x v="3"/>
    <x v="251"/>
    <x v="0"/>
    <x v="7"/>
    <x v="0"/>
    <x v="3"/>
    <x v="237"/>
  </r>
  <r>
    <x v="252"/>
    <x v="15"/>
    <x v="252"/>
    <x v="0"/>
    <x v="6"/>
    <x v="10"/>
    <x v="7"/>
    <x v="252"/>
    <x v="0"/>
    <x v="0"/>
    <x v="0"/>
    <x v="17"/>
    <x v="238"/>
  </r>
  <r>
    <x v="253"/>
    <x v="15"/>
    <x v="253"/>
    <x v="0"/>
    <x v="4"/>
    <x v="11"/>
    <x v="7"/>
    <x v="253"/>
    <x v="0"/>
    <x v="0"/>
    <x v="0"/>
    <x v="17"/>
    <x v="239"/>
  </r>
  <r>
    <x v="254"/>
    <x v="15"/>
    <x v="254"/>
    <x v="0"/>
    <x v="1"/>
    <x v="28"/>
    <x v="4"/>
    <x v="254"/>
    <x v="0"/>
    <x v="0"/>
    <x v="0"/>
    <x v="22"/>
    <x v="240"/>
  </r>
  <r>
    <x v="255"/>
    <x v="15"/>
    <x v="255"/>
    <x v="0"/>
    <x v="0"/>
    <x v="0"/>
    <x v="7"/>
    <x v="255"/>
    <x v="0"/>
    <x v="0"/>
    <x v="0"/>
    <x v="7"/>
    <x v="241"/>
  </r>
  <r>
    <x v="256"/>
    <x v="15"/>
    <x v="256"/>
    <x v="0"/>
    <x v="0"/>
    <x v="0"/>
    <x v="1"/>
    <x v="256"/>
    <x v="0"/>
    <x v="0"/>
    <x v="0"/>
    <x v="13"/>
    <x v="242"/>
  </r>
  <r>
    <x v="257"/>
    <x v="15"/>
    <x v="257"/>
    <x v="4"/>
    <x v="4"/>
    <x v="7"/>
    <x v="3"/>
    <x v="257"/>
    <x v="0"/>
    <x v="0"/>
    <x v="0"/>
    <x v="9"/>
    <x v="243"/>
  </r>
  <r>
    <x v="258"/>
    <x v="15"/>
    <x v="258"/>
    <x v="0"/>
    <x v="0"/>
    <x v="0"/>
    <x v="13"/>
    <x v="258"/>
    <x v="0"/>
    <x v="0"/>
    <x v="0"/>
    <x v="15"/>
    <x v="244"/>
  </r>
  <r>
    <x v="259"/>
    <x v="15"/>
    <x v="259"/>
    <x v="0"/>
    <x v="4"/>
    <x v="11"/>
    <x v="8"/>
    <x v="259"/>
    <x v="0"/>
    <x v="0"/>
    <x v="0"/>
    <x v="20"/>
    <x v="245"/>
  </r>
  <r>
    <x v="260"/>
    <x v="15"/>
    <x v="260"/>
    <x v="4"/>
    <x v="6"/>
    <x v="12"/>
    <x v="7"/>
    <x v="260"/>
    <x v="0"/>
    <x v="0"/>
    <x v="0"/>
    <x v="20"/>
    <x v="246"/>
  </r>
  <r>
    <x v="261"/>
    <x v="16"/>
    <x v="261"/>
    <x v="3"/>
    <x v="0"/>
    <x v="4"/>
    <x v="5"/>
    <x v="261"/>
    <x v="0"/>
    <x v="0"/>
    <x v="0"/>
    <x v="11"/>
    <x v="247"/>
  </r>
  <r>
    <x v="262"/>
    <x v="16"/>
    <x v="262"/>
    <x v="0"/>
    <x v="0"/>
    <x v="0"/>
    <x v="6"/>
    <x v="262"/>
    <x v="0"/>
    <x v="0"/>
    <x v="0"/>
    <x v="11"/>
    <x v="248"/>
  </r>
  <r>
    <x v="263"/>
    <x v="16"/>
    <x v="263"/>
    <x v="6"/>
    <x v="0"/>
    <x v="21"/>
    <x v="5"/>
    <x v="263"/>
    <x v="0"/>
    <x v="0"/>
    <x v="0"/>
    <x v="11"/>
    <x v="249"/>
  </r>
  <r>
    <x v="264"/>
    <x v="16"/>
    <x v="264"/>
    <x v="1"/>
    <x v="11"/>
    <x v="41"/>
    <x v="4"/>
    <x v="264"/>
    <x v="0"/>
    <x v="0"/>
    <x v="0"/>
    <x v="12"/>
    <x v="250"/>
  </r>
  <r>
    <x v="265"/>
    <x v="16"/>
    <x v="265"/>
    <x v="11"/>
    <x v="10"/>
    <x v="42"/>
    <x v="2"/>
    <x v="265"/>
    <x v="0"/>
    <x v="0"/>
    <x v="0"/>
    <x v="0"/>
    <x v="251"/>
  </r>
  <r>
    <x v="266"/>
    <x v="16"/>
    <x v="266"/>
    <x v="6"/>
    <x v="5"/>
    <x v="43"/>
    <x v="4"/>
    <x v="266"/>
    <x v="0"/>
    <x v="0"/>
    <x v="0"/>
    <x v="0"/>
    <x v="252"/>
  </r>
  <r>
    <x v="267"/>
    <x v="16"/>
    <x v="267"/>
    <x v="6"/>
    <x v="3"/>
    <x v="40"/>
    <x v="3"/>
    <x v="267"/>
    <x v="0"/>
    <x v="0"/>
    <x v="0"/>
    <x v="4"/>
    <x v="253"/>
  </r>
  <r>
    <x v="268"/>
    <x v="16"/>
    <x v="268"/>
    <x v="7"/>
    <x v="6"/>
    <x v="29"/>
    <x v="4"/>
    <x v="268"/>
    <x v="0"/>
    <x v="0"/>
    <x v="0"/>
    <x v="17"/>
    <x v="254"/>
  </r>
  <r>
    <x v="269"/>
    <x v="16"/>
    <x v="269"/>
    <x v="3"/>
    <x v="0"/>
    <x v="4"/>
    <x v="2"/>
    <x v="269"/>
    <x v="0"/>
    <x v="0"/>
    <x v="0"/>
    <x v="6"/>
    <x v="255"/>
  </r>
  <r>
    <x v="270"/>
    <x v="16"/>
    <x v="270"/>
    <x v="0"/>
    <x v="0"/>
    <x v="0"/>
    <x v="1"/>
    <x v="270"/>
    <x v="0"/>
    <x v="0"/>
    <x v="0"/>
    <x v="7"/>
    <x v="256"/>
  </r>
  <r>
    <x v="271"/>
    <x v="16"/>
    <x v="271"/>
    <x v="0"/>
    <x v="8"/>
    <x v="22"/>
    <x v="8"/>
    <x v="271"/>
    <x v="0"/>
    <x v="0"/>
    <x v="0"/>
    <x v="9"/>
    <x v="257"/>
  </r>
  <r>
    <x v="272"/>
    <x v="16"/>
    <x v="272"/>
    <x v="4"/>
    <x v="0"/>
    <x v="6"/>
    <x v="3"/>
    <x v="272"/>
    <x v="0"/>
    <x v="0"/>
    <x v="0"/>
    <x v="15"/>
    <x v="258"/>
  </r>
  <r>
    <x v="273"/>
    <x v="17"/>
    <x v="273"/>
    <x v="5"/>
    <x v="0"/>
    <x v="14"/>
    <x v="2"/>
    <x v="273"/>
    <x v="0"/>
    <x v="0"/>
    <x v="0"/>
    <x v="0"/>
    <x v="259"/>
  </r>
  <r>
    <x v="274"/>
    <x v="17"/>
    <x v="274"/>
    <x v="6"/>
    <x v="2"/>
    <x v="44"/>
    <x v="5"/>
    <x v="274"/>
    <x v="0"/>
    <x v="0"/>
    <x v="0"/>
    <x v="1"/>
    <x v="260"/>
  </r>
  <r>
    <x v="275"/>
    <x v="17"/>
    <x v="275"/>
    <x v="4"/>
    <x v="0"/>
    <x v="6"/>
    <x v="7"/>
    <x v="275"/>
    <x v="0"/>
    <x v="0"/>
    <x v="0"/>
    <x v="1"/>
    <x v="261"/>
  </r>
  <r>
    <x v="276"/>
    <x v="17"/>
    <x v="276"/>
    <x v="0"/>
    <x v="2"/>
    <x v="2"/>
    <x v="8"/>
    <x v="276"/>
    <x v="0"/>
    <x v="0"/>
    <x v="0"/>
    <x v="3"/>
    <x v="262"/>
  </r>
  <r>
    <x v="277"/>
    <x v="17"/>
    <x v="277"/>
    <x v="0"/>
    <x v="0"/>
    <x v="0"/>
    <x v="1"/>
    <x v="277"/>
    <x v="0"/>
    <x v="0"/>
    <x v="0"/>
    <x v="18"/>
    <x v="263"/>
  </r>
  <r>
    <x v="278"/>
    <x v="17"/>
    <x v="278"/>
    <x v="4"/>
    <x v="0"/>
    <x v="6"/>
    <x v="6"/>
    <x v="278"/>
    <x v="0"/>
    <x v="0"/>
    <x v="0"/>
    <x v="18"/>
    <x v="264"/>
  </r>
  <r>
    <x v="279"/>
    <x v="17"/>
    <x v="279"/>
    <x v="0"/>
    <x v="4"/>
    <x v="11"/>
    <x v="2"/>
    <x v="279"/>
    <x v="0"/>
    <x v="0"/>
    <x v="0"/>
    <x v="18"/>
    <x v="265"/>
  </r>
  <r>
    <x v="280"/>
    <x v="17"/>
    <x v="280"/>
    <x v="4"/>
    <x v="0"/>
    <x v="6"/>
    <x v="7"/>
    <x v="280"/>
    <x v="0"/>
    <x v="0"/>
    <x v="0"/>
    <x v="7"/>
    <x v="266"/>
  </r>
  <r>
    <x v="281"/>
    <x v="17"/>
    <x v="281"/>
    <x v="0"/>
    <x v="0"/>
    <x v="0"/>
    <x v="6"/>
    <x v="281"/>
    <x v="0"/>
    <x v="0"/>
    <x v="0"/>
    <x v="13"/>
    <x v="267"/>
  </r>
  <r>
    <x v="282"/>
    <x v="17"/>
    <x v="282"/>
    <x v="3"/>
    <x v="0"/>
    <x v="4"/>
    <x v="4"/>
    <x v="282"/>
    <x v="0"/>
    <x v="0"/>
    <x v="0"/>
    <x v="13"/>
    <x v="268"/>
  </r>
  <r>
    <x v="283"/>
    <x v="17"/>
    <x v="283"/>
    <x v="4"/>
    <x v="6"/>
    <x v="12"/>
    <x v="7"/>
    <x v="283"/>
    <x v="0"/>
    <x v="0"/>
    <x v="0"/>
    <x v="9"/>
    <x v="269"/>
  </r>
  <r>
    <x v="284"/>
    <x v="17"/>
    <x v="284"/>
    <x v="4"/>
    <x v="0"/>
    <x v="6"/>
    <x v="7"/>
    <x v="284"/>
    <x v="0"/>
    <x v="0"/>
    <x v="0"/>
    <x v="9"/>
    <x v="270"/>
  </r>
  <r>
    <x v="285"/>
    <x v="17"/>
    <x v="285"/>
    <x v="4"/>
    <x v="0"/>
    <x v="6"/>
    <x v="3"/>
    <x v="285"/>
    <x v="0"/>
    <x v="0"/>
    <x v="0"/>
    <x v="10"/>
    <x v="271"/>
  </r>
  <r>
    <x v="286"/>
    <x v="17"/>
    <x v="286"/>
    <x v="4"/>
    <x v="0"/>
    <x v="6"/>
    <x v="4"/>
    <x v="286"/>
    <x v="0"/>
    <x v="0"/>
    <x v="0"/>
    <x v="15"/>
    <x v="272"/>
  </r>
  <r>
    <x v="287"/>
    <x v="18"/>
    <x v="287"/>
    <x v="1"/>
    <x v="0"/>
    <x v="24"/>
    <x v="7"/>
    <x v="287"/>
    <x v="0"/>
    <x v="0"/>
    <x v="0"/>
    <x v="12"/>
    <x v="273"/>
  </r>
  <r>
    <x v="288"/>
    <x v="18"/>
    <x v="288"/>
    <x v="0"/>
    <x v="0"/>
    <x v="0"/>
    <x v="6"/>
    <x v="288"/>
    <x v="0"/>
    <x v="0"/>
    <x v="0"/>
    <x v="1"/>
    <x v="274"/>
  </r>
  <r>
    <x v="289"/>
    <x v="18"/>
    <x v="289"/>
    <x v="0"/>
    <x v="0"/>
    <x v="0"/>
    <x v="5"/>
    <x v="289"/>
    <x v="0"/>
    <x v="0"/>
    <x v="0"/>
    <x v="1"/>
    <x v="275"/>
  </r>
  <r>
    <x v="290"/>
    <x v="18"/>
    <x v="290"/>
    <x v="4"/>
    <x v="0"/>
    <x v="6"/>
    <x v="2"/>
    <x v="290"/>
    <x v="0"/>
    <x v="0"/>
    <x v="0"/>
    <x v="2"/>
    <x v="276"/>
  </r>
  <r>
    <x v="291"/>
    <x v="18"/>
    <x v="291"/>
    <x v="4"/>
    <x v="0"/>
    <x v="6"/>
    <x v="7"/>
    <x v="291"/>
    <x v="0"/>
    <x v="0"/>
    <x v="0"/>
    <x v="2"/>
    <x v="277"/>
  </r>
  <r>
    <x v="292"/>
    <x v="18"/>
    <x v="292"/>
    <x v="0"/>
    <x v="0"/>
    <x v="0"/>
    <x v="1"/>
    <x v="292"/>
    <x v="0"/>
    <x v="0"/>
    <x v="0"/>
    <x v="2"/>
    <x v="278"/>
  </r>
  <r>
    <x v="293"/>
    <x v="18"/>
    <x v="293"/>
    <x v="6"/>
    <x v="0"/>
    <x v="21"/>
    <x v="6"/>
    <x v="293"/>
    <x v="0"/>
    <x v="0"/>
    <x v="0"/>
    <x v="3"/>
    <x v="279"/>
  </r>
  <r>
    <x v="294"/>
    <x v="18"/>
    <x v="294"/>
    <x v="8"/>
    <x v="8"/>
    <x v="45"/>
    <x v="8"/>
    <x v="294"/>
    <x v="0"/>
    <x v="0"/>
    <x v="0"/>
    <x v="4"/>
    <x v="280"/>
  </r>
  <r>
    <x v="295"/>
    <x v="18"/>
    <x v="295"/>
    <x v="6"/>
    <x v="0"/>
    <x v="21"/>
    <x v="2"/>
    <x v="295"/>
    <x v="0"/>
    <x v="0"/>
    <x v="0"/>
    <x v="17"/>
    <x v="281"/>
  </r>
  <r>
    <x v="296"/>
    <x v="18"/>
    <x v="296"/>
    <x v="0"/>
    <x v="0"/>
    <x v="0"/>
    <x v="7"/>
    <x v="296"/>
    <x v="0"/>
    <x v="0"/>
    <x v="0"/>
    <x v="5"/>
    <x v="282"/>
  </r>
  <r>
    <x v="297"/>
    <x v="18"/>
    <x v="297"/>
    <x v="0"/>
    <x v="0"/>
    <x v="0"/>
    <x v="7"/>
    <x v="297"/>
    <x v="0"/>
    <x v="0"/>
    <x v="0"/>
    <x v="5"/>
    <x v="283"/>
  </r>
  <r>
    <x v="298"/>
    <x v="18"/>
    <x v="298"/>
    <x v="0"/>
    <x v="0"/>
    <x v="0"/>
    <x v="5"/>
    <x v="298"/>
    <x v="0"/>
    <x v="0"/>
    <x v="0"/>
    <x v="5"/>
    <x v="284"/>
  </r>
  <r>
    <x v="299"/>
    <x v="18"/>
    <x v="299"/>
    <x v="0"/>
    <x v="5"/>
    <x v="25"/>
    <x v="5"/>
    <x v="299"/>
    <x v="0"/>
    <x v="0"/>
    <x v="0"/>
    <x v="6"/>
    <x v="285"/>
  </r>
  <r>
    <x v="300"/>
    <x v="18"/>
    <x v="300"/>
    <x v="4"/>
    <x v="0"/>
    <x v="6"/>
    <x v="7"/>
    <x v="300"/>
    <x v="0"/>
    <x v="0"/>
    <x v="0"/>
    <x v="18"/>
    <x v="286"/>
  </r>
  <r>
    <x v="301"/>
    <x v="18"/>
    <x v="301"/>
    <x v="4"/>
    <x v="0"/>
    <x v="6"/>
    <x v="4"/>
    <x v="301"/>
    <x v="0"/>
    <x v="0"/>
    <x v="0"/>
    <x v="7"/>
    <x v="287"/>
  </r>
  <r>
    <x v="302"/>
    <x v="18"/>
    <x v="302"/>
    <x v="4"/>
    <x v="1"/>
    <x v="5"/>
    <x v="6"/>
    <x v="302"/>
    <x v="0"/>
    <x v="0"/>
    <x v="0"/>
    <x v="9"/>
    <x v="288"/>
  </r>
  <r>
    <x v="303"/>
    <x v="18"/>
    <x v="303"/>
    <x v="3"/>
    <x v="4"/>
    <x v="16"/>
    <x v="6"/>
    <x v="303"/>
    <x v="0"/>
    <x v="0"/>
    <x v="0"/>
    <x v="9"/>
    <x v="15"/>
  </r>
  <r>
    <x v="304"/>
    <x v="18"/>
    <x v="304"/>
    <x v="3"/>
    <x v="0"/>
    <x v="4"/>
    <x v="1"/>
    <x v="304"/>
    <x v="0"/>
    <x v="0"/>
    <x v="0"/>
    <x v="9"/>
    <x v="289"/>
  </r>
  <r>
    <x v="305"/>
    <x v="18"/>
    <x v="305"/>
    <x v="0"/>
    <x v="4"/>
    <x v="11"/>
    <x v="8"/>
    <x v="305"/>
    <x v="0"/>
    <x v="0"/>
    <x v="0"/>
    <x v="10"/>
    <x v="290"/>
  </r>
  <r>
    <x v="306"/>
    <x v="19"/>
    <x v="306"/>
    <x v="1"/>
    <x v="0"/>
    <x v="24"/>
    <x v="1"/>
    <x v="306"/>
    <x v="0"/>
    <x v="0"/>
    <x v="0"/>
    <x v="0"/>
    <x v="291"/>
  </r>
  <r>
    <x v="307"/>
    <x v="19"/>
    <x v="307"/>
    <x v="0"/>
    <x v="0"/>
    <x v="0"/>
    <x v="6"/>
    <x v="307"/>
    <x v="0"/>
    <x v="0"/>
    <x v="0"/>
    <x v="0"/>
    <x v="292"/>
  </r>
  <r>
    <x v="308"/>
    <x v="19"/>
    <x v="308"/>
    <x v="5"/>
    <x v="0"/>
    <x v="14"/>
    <x v="1"/>
    <x v="308"/>
    <x v="0"/>
    <x v="0"/>
    <x v="0"/>
    <x v="0"/>
    <x v="293"/>
  </r>
  <r>
    <x v="309"/>
    <x v="19"/>
    <x v="309"/>
    <x v="6"/>
    <x v="2"/>
    <x v="44"/>
    <x v="3"/>
    <x v="309"/>
    <x v="0"/>
    <x v="0"/>
    <x v="0"/>
    <x v="1"/>
    <x v="294"/>
  </r>
  <r>
    <x v="310"/>
    <x v="19"/>
    <x v="310"/>
    <x v="4"/>
    <x v="0"/>
    <x v="6"/>
    <x v="7"/>
    <x v="310"/>
    <x v="0"/>
    <x v="0"/>
    <x v="0"/>
    <x v="1"/>
    <x v="295"/>
  </r>
  <r>
    <x v="311"/>
    <x v="19"/>
    <x v="311"/>
    <x v="4"/>
    <x v="2"/>
    <x v="20"/>
    <x v="8"/>
    <x v="311"/>
    <x v="0"/>
    <x v="0"/>
    <x v="0"/>
    <x v="1"/>
    <x v="199"/>
  </r>
  <r>
    <x v="312"/>
    <x v="19"/>
    <x v="312"/>
    <x v="0"/>
    <x v="0"/>
    <x v="0"/>
    <x v="3"/>
    <x v="312"/>
    <x v="0"/>
    <x v="0"/>
    <x v="0"/>
    <x v="1"/>
    <x v="296"/>
  </r>
  <r>
    <x v="313"/>
    <x v="19"/>
    <x v="313"/>
    <x v="5"/>
    <x v="1"/>
    <x v="23"/>
    <x v="5"/>
    <x v="313"/>
    <x v="0"/>
    <x v="0"/>
    <x v="0"/>
    <x v="1"/>
    <x v="297"/>
  </r>
  <r>
    <x v="314"/>
    <x v="19"/>
    <x v="314"/>
    <x v="12"/>
    <x v="0"/>
    <x v="46"/>
    <x v="5"/>
    <x v="314"/>
    <x v="0"/>
    <x v="0"/>
    <x v="0"/>
    <x v="1"/>
    <x v="298"/>
  </r>
  <r>
    <x v="315"/>
    <x v="19"/>
    <x v="315"/>
    <x v="0"/>
    <x v="3"/>
    <x v="47"/>
    <x v="7"/>
    <x v="315"/>
    <x v="0"/>
    <x v="0"/>
    <x v="0"/>
    <x v="1"/>
    <x v="299"/>
  </r>
  <r>
    <x v="316"/>
    <x v="19"/>
    <x v="316"/>
    <x v="3"/>
    <x v="0"/>
    <x v="4"/>
    <x v="7"/>
    <x v="316"/>
    <x v="0"/>
    <x v="0"/>
    <x v="0"/>
    <x v="2"/>
    <x v="300"/>
  </r>
  <r>
    <x v="317"/>
    <x v="19"/>
    <x v="317"/>
    <x v="4"/>
    <x v="0"/>
    <x v="6"/>
    <x v="2"/>
    <x v="317"/>
    <x v="0"/>
    <x v="0"/>
    <x v="0"/>
    <x v="5"/>
    <x v="301"/>
  </r>
  <r>
    <x v="318"/>
    <x v="19"/>
    <x v="318"/>
    <x v="0"/>
    <x v="0"/>
    <x v="0"/>
    <x v="5"/>
    <x v="318"/>
    <x v="0"/>
    <x v="0"/>
    <x v="0"/>
    <x v="22"/>
    <x v="302"/>
  </r>
  <r>
    <x v="319"/>
    <x v="19"/>
    <x v="319"/>
    <x v="0"/>
    <x v="0"/>
    <x v="0"/>
    <x v="9"/>
    <x v="319"/>
    <x v="0"/>
    <x v="0"/>
    <x v="0"/>
    <x v="6"/>
    <x v="303"/>
  </r>
  <r>
    <x v="320"/>
    <x v="19"/>
    <x v="320"/>
    <x v="4"/>
    <x v="0"/>
    <x v="6"/>
    <x v="7"/>
    <x v="320"/>
    <x v="0"/>
    <x v="0"/>
    <x v="0"/>
    <x v="7"/>
    <x v="304"/>
  </r>
  <r>
    <x v="321"/>
    <x v="19"/>
    <x v="321"/>
    <x v="3"/>
    <x v="0"/>
    <x v="4"/>
    <x v="9"/>
    <x v="321"/>
    <x v="0"/>
    <x v="0"/>
    <x v="0"/>
    <x v="7"/>
    <x v="255"/>
  </r>
  <r>
    <x v="322"/>
    <x v="19"/>
    <x v="322"/>
    <x v="4"/>
    <x v="0"/>
    <x v="6"/>
    <x v="2"/>
    <x v="322"/>
    <x v="0"/>
    <x v="0"/>
    <x v="0"/>
    <x v="7"/>
    <x v="305"/>
  </r>
  <r>
    <x v="323"/>
    <x v="19"/>
    <x v="323"/>
    <x v="0"/>
    <x v="0"/>
    <x v="0"/>
    <x v="7"/>
    <x v="323"/>
    <x v="0"/>
    <x v="0"/>
    <x v="0"/>
    <x v="7"/>
    <x v="306"/>
  </r>
  <r>
    <x v="324"/>
    <x v="19"/>
    <x v="324"/>
    <x v="4"/>
    <x v="0"/>
    <x v="6"/>
    <x v="0"/>
    <x v="324"/>
    <x v="0"/>
    <x v="0"/>
    <x v="0"/>
    <x v="7"/>
    <x v="307"/>
  </r>
  <r>
    <x v="325"/>
    <x v="19"/>
    <x v="325"/>
    <x v="4"/>
    <x v="0"/>
    <x v="6"/>
    <x v="5"/>
    <x v="325"/>
    <x v="0"/>
    <x v="0"/>
    <x v="0"/>
    <x v="13"/>
    <x v="308"/>
  </r>
  <r>
    <x v="326"/>
    <x v="19"/>
    <x v="326"/>
    <x v="0"/>
    <x v="0"/>
    <x v="0"/>
    <x v="3"/>
    <x v="326"/>
    <x v="0"/>
    <x v="0"/>
    <x v="0"/>
    <x v="10"/>
    <x v="309"/>
  </r>
  <r>
    <x v="327"/>
    <x v="19"/>
    <x v="327"/>
    <x v="0"/>
    <x v="4"/>
    <x v="11"/>
    <x v="2"/>
    <x v="327"/>
    <x v="0"/>
    <x v="0"/>
    <x v="0"/>
    <x v="14"/>
    <x v="310"/>
  </r>
  <r>
    <x v="328"/>
    <x v="20"/>
    <x v="328"/>
    <x v="6"/>
    <x v="0"/>
    <x v="21"/>
    <x v="7"/>
    <x v="328"/>
    <x v="0"/>
    <x v="0"/>
    <x v="0"/>
    <x v="11"/>
    <x v="311"/>
  </r>
  <r>
    <x v="329"/>
    <x v="20"/>
    <x v="329"/>
    <x v="0"/>
    <x v="0"/>
    <x v="0"/>
    <x v="3"/>
    <x v="329"/>
    <x v="0"/>
    <x v="0"/>
    <x v="0"/>
    <x v="11"/>
    <x v="312"/>
  </r>
  <r>
    <x v="330"/>
    <x v="20"/>
    <x v="330"/>
    <x v="1"/>
    <x v="0"/>
    <x v="24"/>
    <x v="5"/>
    <x v="330"/>
    <x v="0"/>
    <x v="0"/>
    <x v="0"/>
    <x v="0"/>
    <x v="313"/>
  </r>
  <r>
    <x v="331"/>
    <x v="20"/>
    <x v="331"/>
    <x v="1"/>
    <x v="2"/>
    <x v="18"/>
    <x v="4"/>
    <x v="331"/>
    <x v="0"/>
    <x v="0"/>
    <x v="0"/>
    <x v="2"/>
    <x v="274"/>
  </r>
  <r>
    <x v="332"/>
    <x v="20"/>
    <x v="332"/>
    <x v="0"/>
    <x v="0"/>
    <x v="0"/>
    <x v="6"/>
    <x v="332"/>
    <x v="0"/>
    <x v="0"/>
    <x v="0"/>
    <x v="17"/>
    <x v="314"/>
  </r>
  <r>
    <x v="333"/>
    <x v="20"/>
    <x v="333"/>
    <x v="0"/>
    <x v="0"/>
    <x v="0"/>
    <x v="7"/>
    <x v="333"/>
    <x v="0"/>
    <x v="0"/>
    <x v="0"/>
    <x v="5"/>
    <x v="315"/>
  </r>
  <r>
    <x v="334"/>
    <x v="20"/>
    <x v="334"/>
    <x v="6"/>
    <x v="0"/>
    <x v="21"/>
    <x v="7"/>
    <x v="334"/>
    <x v="0"/>
    <x v="0"/>
    <x v="0"/>
    <x v="5"/>
    <x v="316"/>
  </r>
  <r>
    <x v="335"/>
    <x v="20"/>
    <x v="335"/>
    <x v="0"/>
    <x v="0"/>
    <x v="0"/>
    <x v="4"/>
    <x v="335"/>
    <x v="0"/>
    <x v="0"/>
    <x v="0"/>
    <x v="5"/>
    <x v="317"/>
  </r>
  <r>
    <x v="336"/>
    <x v="20"/>
    <x v="336"/>
    <x v="3"/>
    <x v="2"/>
    <x v="27"/>
    <x v="6"/>
    <x v="336"/>
    <x v="0"/>
    <x v="0"/>
    <x v="0"/>
    <x v="22"/>
    <x v="318"/>
  </r>
  <r>
    <x v="337"/>
    <x v="20"/>
    <x v="337"/>
    <x v="0"/>
    <x v="6"/>
    <x v="10"/>
    <x v="4"/>
    <x v="337"/>
    <x v="0"/>
    <x v="0"/>
    <x v="5"/>
    <x v="6"/>
    <x v="319"/>
  </r>
  <r>
    <x v="338"/>
    <x v="20"/>
    <x v="338"/>
    <x v="0"/>
    <x v="1"/>
    <x v="28"/>
    <x v="6"/>
    <x v="338"/>
    <x v="0"/>
    <x v="0"/>
    <x v="0"/>
    <x v="6"/>
    <x v="180"/>
  </r>
  <r>
    <x v="339"/>
    <x v="20"/>
    <x v="339"/>
    <x v="4"/>
    <x v="0"/>
    <x v="6"/>
    <x v="4"/>
    <x v="339"/>
    <x v="0"/>
    <x v="0"/>
    <x v="0"/>
    <x v="18"/>
    <x v="320"/>
  </r>
  <r>
    <x v="340"/>
    <x v="20"/>
    <x v="340"/>
    <x v="4"/>
    <x v="6"/>
    <x v="12"/>
    <x v="5"/>
    <x v="340"/>
    <x v="0"/>
    <x v="0"/>
    <x v="0"/>
    <x v="7"/>
    <x v="321"/>
  </r>
  <r>
    <x v="341"/>
    <x v="20"/>
    <x v="341"/>
    <x v="0"/>
    <x v="1"/>
    <x v="28"/>
    <x v="7"/>
    <x v="341"/>
    <x v="0"/>
    <x v="0"/>
    <x v="0"/>
    <x v="7"/>
    <x v="256"/>
  </r>
  <r>
    <x v="342"/>
    <x v="20"/>
    <x v="342"/>
    <x v="0"/>
    <x v="5"/>
    <x v="25"/>
    <x v="2"/>
    <x v="342"/>
    <x v="0"/>
    <x v="0"/>
    <x v="0"/>
    <x v="13"/>
    <x v="322"/>
  </r>
  <r>
    <x v="343"/>
    <x v="20"/>
    <x v="343"/>
    <x v="3"/>
    <x v="4"/>
    <x v="16"/>
    <x v="7"/>
    <x v="343"/>
    <x v="0"/>
    <x v="0"/>
    <x v="0"/>
    <x v="9"/>
    <x v="323"/>
  </r>
  <r>
    <x v="344"/>
    <x v="20"/>
    <x v="344"/>
    <x v="0"/>
    <x v="4"/>
    <x v="11"/>
    <x v="9"/>
    <x v="344"/>
    <x v="0"/>
    <x v="0"/>
    <x v="0"/>
    <x v="10"/>
    <x v="324"/>
  </r>
  <r>
    <x v="345"/>
    <x v="20"/>
    <x v="345"/>
    <x v="4"/>
    <x v="4"/>
    <x v="7"/>
    <x v="6"/>
    <x v="345"/>
    <x v="0"/>
    <x v="0"/>
    <x v="0"/>
    <x v="20"/>
    <x v="206"/>
  </r>
  <r>
    <x v="346"/>
    <x v="21"/>
    <x v="346"/>
    <x v="3"/>
    <x v="0"/>
    <x v="4"/>
    <x v="2"/>
    <x v="346"/>
    <x v="0"/>
    <x v="0"/>
    <x v="0"/>
    <x v="11"/>
    <x v="325"/>
  </r>
  <r>
    <x v="347"/>
    <x v="21"/>
    <x v="347"/>
    <x v="0"/>
    <x v="0"/>
    <x v="0"/>
    <x v="9"/>
    <x v="347"/>
    <x v="0"/>
    <x v="0"/>
    <x v="0"/>
    <x v="0"/>
    <x v="326"/>
  </r>
  <r>
    <x v="348"/>
    <x v="21"/>
    <x v="348"/>
    <x v="6"/>
    <x v="3"/>
    <x v="40"/>
    <x v="11"/>
    <x v="348"/>
    <x v="0"/>
    <x v="0"/>
    <x v="0"/>
    <x v="0"/>
    <x v="327"/>
  </r>
  <r>
    <x v="349"/>
    <x v="21"/>
    <x v="349"/>
    <x v="10"/>
    <x v="0"/>
    <x v="48"/>
    <x v="5"/>
    <x v="349"/>
    <x v="0"/>
    <x v="0"/>
    <x v="0"/>
    <x v="1"/>
    <x v="328"/>
  </r>
  <r>
    <x v="350"/>
    <x v="21"/>
    <x v="350"/>
    <x v="3"/>
    <x v="0"/>
    <x v="4"/>
    <x v="6"/>
    <x v="350"/>
    <x v="0"/>
    <x v="0"/>
    <x v="0"/>
    <x v="1"/>
    <x v="329"/>
  </r>
  <r>
    <x v="351"/>
    <x v="21"/>
    <x v="351"/>
    <x v="0"/>
    <x v="0"/>
    <x v="0"/>
    <x v="0"/>
    <x v="351"/>
    <x v="0"/>
    <x v="0"/>
    <x v="0"/>
    <x v="1"/>
    <x v="330"/>
  </r>
  <r>
    <x v="352"/>
    <x v="21"/>
    <x v="352"/>
    <x v="0"/>
    <x v="3"/>
    <x v="47"/>
    <x v="6"/>
    <x v="352"/>
    <x v="0"/>
    <x v="0"/>
    <x v="0"/>
    <x v="1"/>
    <x v="331"/>
  </r>
  <r>
    <x v="353"/>
    <x v="21"/>
    <x v="353"/>
    <x v="0"/>
    <x v="0"/>
    <x v="0"/>
    <x v="6"/>
    <x v="353"/>
    <x v="0"/>
    <x v="0"/>
    <x v="0"/>
    <x v="2"/>
    <x v="332"/>
  </r>
  <r>
    <x v="354"/>
    <x v="21"/>
    <x v="354"/>
    <x v="6"/>
    <x v="0"/>
    <x v="21"/>
    <x v="4"/>
    <x v="354"/>
    <x v="0"/>
    <x v="0"/>
    <x v="0"/>
    <x v="3"/>
    <x v="333"/>
  </r>
  <r>
    <x v="355"/>
    <x v="21"/>
    <x v="355"/>
    <x v="0"/>
    <x v="0"/>
    <x v="0"/>
    <x v="7"/>
    <x v="355"/>
    <x v="0"/>
    <x v="0"/>
    <x v="0"/>
    <x v="5"/>
    <x v="334"/>
  </r>
  <r>
    <x v="356"/>
    <x v="21"/>
    <x v="356"/>
    <x v="0"/>
    <x v="0"/>
    <x v="0"/>
    <x v="5"/>
    <x v="356"/>
    <x v="0"/>
    <x v="0"/>
    <x v="0"/>
    <x v="5"/>
    <x v="335"/>
  </r>
  <r>
    <x v="357"/>
    <x v="21"/>
    <x v="357"/>
    <x v="0"/>
    <x v="2"/>
    <x v="2"/>
    <x v="5"/>
    <x v="357"/>
    <x v="0"/>
    <x v="0"/>
    <x v="6"/>
    <x v="19"/>
    <x v="336"/>
  </r>
  <r>
    <x v="358"/>
    <x v="21"/>
    <x v="358"/>
    <x v="3"/>
    <x v="0"/>
    <x v="4"/>
    <x v="3"/>
    <x v="358"/>
    <x v="0"/>
    <x v="0"/>
    <x v="0"/>
    <x v="22"/>
    <x v="337"/>
  </r>
  <r>
    <x v="359"/>
    <x v="21"/>
    <x v="359"/>
    <x v="4"/>
    <x v="0"/>
    <x v="6"/>
    <x v="7"/>
    <x v="359"/>
    <x v="0"/>
    <x v="0"/>
    <x v="0"/>
    <x v="22"/>
    <x v="338"/>
  </r>
  <r>
    <x v="360"/>
    <x v="21"/>
    <x v="360"/>
    <x v="0"/>
    <x v="4"/>
    <x v="11"/>
    <x v="6"/>
    <x v="360"/>
    <x v="0"/>
    <x v="0"/>
    <x v="0"/>
    <x v="18"/>
    <x v="339"/>
  </r>
  <r>
    <x v="361"/>
    <x v="21"/>
    <x v="361"/>
    <x v="3"/>
    <x v="0"/>
    <x v="4"/>
    <x v="2"/>
    <x v="361"/>
    <x v="0"/>
    <x v="0"/>
    <x v="0"/>
    <x v="7"/>
    <x v="340"/>
  </r>
  <r>
    <x v="362"/>
    <x v="21"/>
    <x v="362"/>
    <x v="4"/>
    <x v="0"/>
    <x v="6"/>
    <x v="4"/>
    <x v="362"/>
    <x v="0"/>
    <x v="0"/>
    <x v="0"/>
    <x v="7"/>
    <x v="341"/>
  </r>
  <r>
    <x v="363"/>
    <x v="21"/>
    <x v="363"/>
    <x v="0"/>
    <x v="0"/>
    <x v="0"/>
    <x v="1"/>
    <x v="363"/>
    <x v="0"/>
    <x v="0"/>
    <x v="0"/>
    <x v="13"/>
    <x v="342"/>
  </r>
  <r>
    <x v="364"/>
    <x v="21"/>
    <x v="364"/>
    <x v="3"/>
    <x v="0"/>
    <x v="4"/>
    <x v="5"/>
    <x v="364"/>
    <x v="0"/>
    <x v="0"/>
    <x v="0"/>
    <x v="13"/>
    <x v="343"/>
  </r>
  <r>
    <x v="365"/>
    <x v="21"/>
    <x v="365"/>
    <x v="4"/>
    <x v="4"/>
    <x v="7"/>
    <x v="4"/>
    <x v="365"/>
    <x v="0"/>
    <x v="0"/>
    <x v="0"/>
    <x v="10"/>
    <x v="344"/>
  </r>
  <r>
    <x v="366"/>
    <x v="21"/>
    <x v="366"/>
    <x v="4"/>
    <x v="0"/>
    <x v="6"/>
    <x v="9"/>
    <x v="366"/>
    <x v="0"/>
    <x v="0"/>
    <x v="0"/>
    <x v="10"/>
    <x v="345"/>
  </r>
  <r>
    <x v="367"/>
    <x v="21"/>
    <x v="367"/>
    <x v="0"/>
    <x v="0"/>
    <x v="0"/>
    <x v="5"/>
    <x v="367"/>
    <x v="0"/>
    <x v="0"/>
    <x v="0"/>
    <x v="14"/>
    <x v="346"/>
  </r>
  <r>
    <x v="368"/>
    <x v="21"/>
    <x v="368"/>
    <x v="0"/>
    <x v="4"/>
    <x v="11"/>
    <x v="2"/>
    <x v="368"/>
    <x v="0"/>
    <x v="0"/>
    <x v="0"/>
    <x v="14"/>
    <x v="347"/>
  </r>
  <r>
    <x v="369"/>
    <x v="22"/>
    <x v="369"/>
    <x v="5"/>
    <x v="1"/>
    <x v="23"/>
    <x v="5"/>
    <x v="369"/>
    <x v="0"/>
    <x v="0"/>
    <x v="0"/>
    <x v="11"/>
    <x v="348"/>
  </r>
  <r>
    <x v="370"/>
    <x v="22"/>
    <x v="370"/>
    <x v="5"/>
    <x v="1"/>
    <x v="23"/>
    <x v="7"/>
    <x v="370"/>
    <x v="0"/>
    <x v="0"/>
    <x v="0"/>
    <x v="11"/>
    <x v="349"/>
  </r>
  <r>
    <x v="371"/>
    <x v="22"/>
    <x v="371"/>
    <x v="6"/>
    <x v="4"/>
    <x v="39"/>
    <x v="6"/>
    <x v="371"/>
    <x v="0"/>
    <x v="0"/>
    <x v="0"/>
    <x v="12"/>
    <x v="350"/>
  </r>
  <r>
    <x v="372"/>
    <x v="22"/>
    <x v="372"/>
    <x v="10"/>
    <x v="0"/>
    <x v="48"/>
    <x v="4"/>
    <x v="372"/>
    <x v="0"/>
    <x v="0"/>
    <x v="0"/>
    <x v="2"/>
    <x v="351"/>
  </r>
  <r>
    <x v="373"/>
    <x v="22"/>
    <x v="373"/>
    <x v="4"/>
    <x v="0"/>
    <x v="6"/>
    <x v="1"/>
    <x v="373"/>
    <x v="0"/>
    <x v="0"/>
    <x v="0"/>
    <x v="5"/>
    <x v="352"/>
  </r>
  <r>
    <x v="374"/>
    <x v="22"/>
    <x v="374"/>
    <x v="0"/>
    <x v="0"/>
    <x v="0"/>
    <x v="7"/>
    <x v="374"/>
    <x v="0"/>
    <x v="0"/>
    <x v="0"/>
    <x v="5"/>
    <x v="353"/>
  </r>
  <r>
    <x v="375"/>
    <x v="22"/>
    <x v="375"/>
    <x v="0"/>
    <x v="12"/>
    <x v="49"/>
    <x v="3"/>
    <x v="375"/>
    <x v="0"/>
    <x v="8"/>
    <x v="0"/>
    <x v="16"/>
    <x v="354"/>
  </r>
  <r>
    <x v="376"/>
    <x v="22"/>
    <x v="376"/>
    <x v="4"/>
    <x v="0"/>
    <x v="6"/>
    <x v="7"/>
    <x v="376"/>
    <x v="0"/>
    <x v="0"/>
    <x v="0"/>
    <x v="18"/>
    <x v="355"/>
  </r>
  <r>
    <x v="377"/>
    <x v="22"/>
    <x v="377"/>
    <x v="3"/>
    <x v="1"/>
    <x v="13"/>
    <x v="5"/>
    <x v="377"/>
    <x v="0"/>
    <x v="0"/>
    <x v="0"/>
    <x v="7"/>
    <x v="356"/>
  </r>
  <r>
    <x v="378"/>
    <x v="22"/>
    <x v="378"/>
    <x v="4"/>
    <x v="4"/>
    <x v="7"/>
    <x v="3"/>
    <x v="378"/>
    <x v="0"/>
    <x v="0"/>
    <x v="0"/>
    <x v="9"/>
    <x v="357"/>
  </r>
  <r>
    <x v="379"/>
    <x v="22"/>
    <x v="379"/>
    <x v="0"/>
    <x v="0"/>
    <x v="0"/>
    <x v="4"/>
    <x v="379"/>
    <x v="0"/>
    <x v="0"/>
    <x v="0"/>
    <x v="9"/>
    <x v="358"/>
  </r>
  <r>
    <x v="380"/>
    <x v="22"/>
    <x v="380"/>
    <x v="0"/>
    <x v="0"/>
    <x v="0"/>
    <x v="7"/>
    <x v="380"/>
    <x v="0"/>
    <x v="0"/>
    <x v="0"/>
    <x v="10"/>
    <x v="248"/>
  </r>
  <r>
    <x v="381"/>
    <x v="22"/>
    <x v="381"/>
    <x v="0"/>
    <x v="4"/>
    <x v="11"/>
    <x v="5"/>
    <x v="381"/>
    <x v="0"/>
    <x v="0"/>
    <x v="0"/>
    <x v="10"/>
    <x v="359"/>
  </r>
  <r>
    <x v="382"/>
    <x v="22"/>
    <x v="382"/>
    <x v="4"/>
    <x v="4"/>
    <x v="7"/>
    <x v="9"/>
    <x v="382"/>
    <x v="0"/>
    <x v="0"/>
    <x v="0"/>
    <x v="14"/>
    <x v="360"/>
  </r>
  <r>
    <x v="383"/>
    <x v="22"/>
    <x v="383"/>
    <x v="0"/>
    <x v="4"/>
    <x v="11"/>
    <x v="5"/>
    <x v="383"/>
    <x v="0"/>
    <x v="0"/>
    <x v="0"/>
    <x v="14"/>
    <x v="361"/>
  </r>
  <r>
    <x v="384"/>
    <x v="22"/>
    <x v="384"/>
    <x v="4"/>
    <x v="0"/>
    <x v="6"/>
    <x v="0"/>
    <x v="384"/>
    <x v="0"/>
    <x v="0"/>
    <x v="0"/>
    <x v="14"/>
    <x v="77"/>
  </r>
  <r>
    <x v="385"/>
    <x v="22"/>
    <x v="385"/>
    <x v="0"/>
    <x v="4"/>
    <x v="11"/>
    <x v="4"/>
    <x v="385"/>
    <x v="0"/>
    <x v="0"/>
    <x v="0"/>
    <x v="20"/>
    <x v="362"/>
  </r>
  <r>
    <x v="386"/>
    <x v="23"/>
    <x v="386"/>
    <x v="4"/>
    <x v="0"/>
    <x v="6"/>
    <x v="5"/>
    <x v="386"/>
    <x v="0"/>
    <x v="0"/>
    <x v="0"/>
    <x v="3"/>
    <x v="363"/>
  </r>
  <r>
    <x v="387"/>
    <x v="23"/>
    <x v="387"/>
    <x v="0"/>
    <x v="0"/>
    <x v="0"/>
    <x v="4"/>
    <x v="387"/>
    <x v="0"/>
    <x v="0"/>
    <x v="0"/>
    <x v="3"/>
    <x v="364"/>
  </r>
  <r>
    <x v="388"/>
    <x v="23"/>
    <x v="388"/>
    <x v="0"/>
    <x v="1"/>
    <x v="28"/>
    <x v="9"/>
    <x v="388"/>
    <x v="0"/>
    <x v="0"/>
    <x v="0"/>
    <x v="5"/>
    <x v="365"/>
  </r>
  <r>
    <x v="389"/>
    <x v="23"/>
    <x v="389"/>
    <x v="4"/>
    <x v="0"/>
    <x v="6"/>
    <x v="7"/>
    <x v="389"/>
    <x v="0"/>
    <x v="9"/>
    <x v="0"/>
    <x v="5"/>
    <x v="366"/>
  </r>
  <r>
    <x v="390"/>
    <x v="23"/>
    <x v="390"/>
    <x v="4"/>
    <x v="0"/>
    <x v="6"/>
    <x v="1"/>
    <x v="390"/>
    <x v="0"/>
    <x v="0"/>
    <x v="0"/>
    <x v="7"/>
    <x v="367"/>
  </r>
  <r>
    <x v="391"/>
    <x v="23"/>
    <x v="391"/>
    <x v="4"/>
    <x v="0"/>
    <x v="6"/>
    <x v="7"/>
    <x v="391"/>
    <x v="0"/>
    <x v="0"/>
    <x v="0"/>
    <x v="9"/>
    <x v="368"/>
  </r>
  <r>
    <x v="392"/>
    <x v="23"/>
    <x v="392"/>
    <x v="3"/>
    <x v="0"/>
    <x v="4"/>
    <x v="5"/>
    <x v="392"/>
    <x v="0"/>
    <x v="0"/>
    <x v="0"/>
    <x v="15"/>
    <x v="369"/>
  </r>
  <r>
    <x v="393"/>
    <x v="24"/>
    <x v="393"/>
    <x v="3"/>
    <x v="5"/>
    <x v="8"/>
    <x v="1"/>
    <x v="393"/>
    <x v="0"/>
    <x v="0"/>
    <x v="0"/>
    <x v="0"/>
    <x v="370"/>
  </r>
  <r>
    <x v="394"/>
    <x v="24"/>
    <x v="394"/>
    <x v="10"/>
    <x v="0"/>
    <x v="48"/>
    <x v="8"/>
    <x v="394"/>
    <x v="0"/>
    <x v="0"/>
    <x v="0"/>
    <x v="0"/>
    <x v="371"/>
  </r>
  <r>
    <x v="395"/>
    <x v="24"/>
    <x v="395"/>
    <x v="0"/>
    <x v="3"/>
    <x v="47"/>
    <x v="6"/>
    <x v="395"/>
    <x v="0"/>
    <x v="0"/>
    <x v="0"/>
    <x v="1"/>
    <x v="372"/>
  </r>
  <r>
    <x v="396"/>
    <x v="24"/>
    <x v="396"/>
    <x v="1"/>
    <x v="0"/>
    <x v="24"/>
    <x v="1"/>
    <x v="396"/>
    <x v="0"/>
    <x v="0"/>
    <x v="0"/>
    <x v="1"/>
    <x v="373"/>
  </r>
  <r>
    <x v="397"/>
    <x v="24"/>
    <x v="397"/>
    <x v="0"/>
    <x v="0"/>
    <x v="0"/>
    <x v="6"/>
    <x v="397"/>
    <x v="0"/>
    <x v="0"/>
    <x v="0"/>
    <x v="3"/>
    <x v="374"/>
  </r>
  <r>
    <x v="398"/>
    <x v="24"/>
    <x v="398"/>
    <x v="0"/>
    <x v="4"/>
    <x v="11"/>
    <x v="7"/>
    <x v="398"/>
    <x v="0"/>
    <x v="0"/>
    <x v="0"/>
    <x v="17"/>
    <x v="375"/>
  </r>
  <r>
    <x v="399"/>
    <x v="24"/>
    <x v="399"/>
    <x v="0"/>
    <x v="0"/>
    <x v="0"/>
    <x v="2"/>
    <x v="399"/>
    <x v="0"/>
    <x v="0"/>
    <x v="0"/>
    <x v="5"/>
    <x v="376"/>
  </r>
  <r>
    <x v="400"/>
    <x v="24"/>
    <x v="400"/>
    <x v="0"/>
    <x v="0"/>
    <x v="0"/>
    <x v="1"/>
    <x v="400"/>
    <x v="0"/>
    <x v="0"/>
    <x v="0"/>
    <x v="5"/>
    <x v="377"/>
  </r>
  <r>
    <x v="401"/>
    <x v="24"/>
    <x v="401"/>
    <x v="4"/>
    <x v="0"/>
    <x v="6"/>
    <x v="2"/>
    <x v="401"/>
    <x v="0"/>
    <x v="0"/>
    <x v="0"/>
    <x v="22"/>
    <x v="378"/>
  </r>
  <r>
    <x v="402"/>
    <x v="24"/>
    <x v="402"/>
    <x v="0"/>
    <x v="5"/>
    <x v="25"/>
    <x v="3"/>
    <x v="402"/>
    <x v="0"/>
    <x v="0"/>
    <x v="0"/>
    <x v="16"/>
    <x v="379"/>
  </r>
  <r>
    <x v="403"/>
    <x v="24"/>
    <x v="403"/>
    <x v="0"/>
    <x v="0"/>
    <x v="0"/>
    <x v="2"/>
    <x v="403"/>
    <x v="0"/>
    <x v="0"/>
    <x v="0"/>
    <x v="18"/>
    <x v="380"/>
  </r>
  <r>
    <x v="404"/>
    <x v="24"/>
    <x v="404"/>
    <x v="0"/>
    <x v="0"/>
    <x v="0"/>
    <x v="3"/>
    <x v="404"/>
    <x v="0"/>
    <x v="0"/>
    <x v="0"/>
    <x v="7"/>
    <x v="381"/>
  </r>
  <r>
    <x v="405"/>
    <x v="24"/>
    <x v="405"/>
    <x v="0"/>
    <x v="0"/>
    <x v="0"/>
    <x v="0"/>
    <x v="405"/>
    <x v="0"/>
    <x v="0"/>
    <x v="0"/>
    <x v="13"/>
    <x v="382"/>
  </r>
  <r>
    <x v="406"/>
    <x v="24"/>
    <x v="406"/>
    <x v="0"/>
    <x v="0"/>
    <x v="0"/>
    <x v="2"/>
    <x v="406"/>
    <x v="0"/>
    <x v="0"/>
    <x v="0"/>
    <x v="9"/>
    <x v="383"/>
  </r>
  <r>
    <x v="407"/>
    <x v="24"/>
    <x v="407"/>
    <x v="4"/>
    <x v="6"/>
    <x v="12"/>
    <x v="6"/>
    <x v="407"/>
    <x v="0"/>
    <x v="0"/>
    <x v="0"/>
    <x v="9"/>
    <x v="384"/>
  </r>
  <r>
    <x v="408"/>
    <x v="24"/>
    <x v="408"/>
    <x v="3"/>
    <x v="0"/>
    <x v="4"/>
    <x v="8"/>
    <x v="408"/>
    <x v="0"/>
    <x v="0"/>
    <x v="0"/>
    <x v="10"/>
    <x v="385"/>
  </r>
  <r>
    <x v="409"/>
    <x v="24"/>
    <x v="409"/>
    <x v="3"/>
    <x v="5"/>
    <x v="8"/>
    <x v="3"/>
    <x v="409"/>
    <x v="0"/>
    <x v="0"/>
    <x v="0"/>
    <x v="15"/>
    <x v="386"/>
  </r>
  <r>
    <x v="410"/>
    <x v="24"/>
    <x v="410"/>
    <x v="3"/>
    <x v="0"/>
    <x v="4"/>
    <x v="2"/>
    <x v="410"/>
    <x v="0"/>
    <x v="0"/>
    <x v="0"/>
    <x v="15"/>
    <x v="387"/>
  </r>
  <r>
    <x v="411"/>
    <x v="25"/>
    <x v="411"/>
    <x v="5"/>
    <x v="0"/>
    <x v="14"/>
    <x v="7"/>
    <x v="411"/>
    <x v="0"/>
    <x v="0"/>
    <x v="0"/>
    <x v="11"/>
    <x v="388"/>
  </r>
  <r>
    <x v="412"/>
    <x v="25"/>
    <x v="412"/>
    <x v="1"/>
    <x v="5"/>
    <x v="15"/>
    <x v="4"/>
    <x v="412"/>
    <x v="0"/>
    <x v="0"/>
    <x v="0"/>
    <x v="12"/>
    <x v="389"/>
  </r>
  <r>
    <x v="413"/>
    <x v="25"/>
    <x v="413"/>
    <x v="3"/>
    <x v="0"/>
    <x v="4"/>
    <x v="6"/>
    <x v="413"/>
    <x v="0"/>
    <x v="0"/>
    <x v="0"/>
    <x v="12"/>
    <x v="390"/>
  </r>
  <r>
    <x v="414"/>
    <x v="25"/>
    <x v="414"/>
    <x v="4"/>
    <x v="2"/>
    <x v="20"/>
    <x v="6"/>
    <x v="414"/>
    <x v="0"/>
    <x v="0"/>
    <x v="0"/>
    <x v="1"/>
    <x v="391"/>
  </r>
  <r>
    <x v="415"/>
    <x v="25"/>
    <x v="415"/>
    <x v="4"/>
    <x v="0"/>
    <x v="6"/>
    <x v="7"/>
    <x v="415"/>
    <x v="0"/>
    <x v="0"/>
    <x v="0"/>
    <x v="1"/>
    <x v="392"/>
  </r>
  <r>
    <x v="416"/>
    <x v="25"/>
    <x v="416"/>
    <x v="6"/>
    <x v="0"/>
    <x v="21"/>
    <x v="2"/>
    <x v="416"/>
    <x v="0"/>
    <x v="0"/>
    <x v="0"/>
    <x v="1"/>
    <x v="393"/>
  </r>
  <r>
    <x v="417"/>
    <x v="25"/>
    <x v="417"/>
    <x v="4"/>
    <x v="2"/>
    <x v="20"/>
    <x v="2"/>
    <x v="417"/>
    <x v="0"/>
    <x v="0"/>
    <x v="0"/>
    <x v="2"/>
    <x v="394"/>
  </r>
  <r>
    <x v="418"/>
    <x v="25"/>
    <x v="418"/>
    <x v="0"/>
    <x v="0"/>
    <x v="0"/>
    <x v="7"/>
    <x v="418"/>
    <x v="0"/>
    <x v="0"/>
    <x v="0"/>
    <x v="2"/>
    <x v="395"/>
  </r>
  <r>
    <x v="419"/>
    <x v="25"/>
    <x v="419"/>
    <x v="1"/>
    <x v="4"/>
    <x v="35"/>
    <x v="2"/>
    <x v="419"/>
    <x v="0"/>
    <x v="0"/>
    <x v="0"/>
    <x v="3"/>
    <x v="396"/>
  </r>
  <r>
    <x v="420"/>
    <x v="25"/>
    <x v="420"/>
    <x v="1"/>
    <x v="0"/>
    <x v="24"/>
    <x v="4"/>
    <x v="420"/>
    <x v="0"/>
    <x v="0"/>
    <x v="0"/>
    <x v="3"/>
    <x v="397"/>
  </r>
  <r>
    <x v="421"/>
    <x v="25"/>
    <x v="421"/>
    <x v="0"/>
    <x v="0"/>
    <x v="0"/>
    <x v="4"/>
    <x v="421"/>
    <x v="0"/>
    <x v="0"/>
    <x v="0"/>
    <x v="5"/>
    <x v="398"/>
  </r>
  <r>
    <x v="422"/>
    <x v="25"/>
    <x v="422"/>
    <x v="4"/>
    <x v="0"/>
    <x v="6"/>
    <x v="0"/>
    <x v="422"/>
    <x v="0"/>
    <x v="0"/>
    <x v="0"/>
    <x v="18"/>
    <x v="399"/>
  </r>
  <r>
    <x v="423"/>
    <x v="25"/>
    <x v="423"/>
    <x v="0"/>
    <x v="4"/>
    <x v="11"/>
    <x v="0"/>
    <x v="423"/>
    <x v="0"/>
    <x v="0"/>
    <x v="0"/>
    <x v="18"/>
    <x v="400"/>
  </r>
  <r>
    <x v="424"/>
    <x v="25"/>
    <x v="424"/>
    <x v="4"/>
    <x v="0"/>
    <x v="6"/>
    <x v="7"/>
    <x v="424"/>
    <x v="0"/>
    <x v="0"/>
    <x v="0"/>
    <x v="13"/>
    <x v="401"/>
  </r>
  <r>
    <x v="425"/>
    <x v="25"/>
    <x v="425"/>
    <x v="3"/>
    <x v="0"/>
    <x v="4"/>
    <x v="1"/>
    <x v="425"/>
    <x v="0"/>
    <x v="0"/>
    <x v="0"/>
    <x v="9"/>
    <x v="402"/>
  </r>
  <r>
    <x v="426"/>
    <x v="25"/>
    <x v="426"/>
    <x v="4"/>
    <x v="2"/>
    <x v="20"/>
    <x v="13"/>
    <x v="426"/>
    <x v="0"/>
    <x v="0"/>
    <x v="0"/>
    <x v="14"/>
    <x v="403"/>
  </r>
  <r>
    <x v="427"/>
    <x v="26"/>
    <x v="427"/>
    <x v="3"/>
    <x v="5"/>
    <x v="8"/>
    <x v="2"/>
    <x v="427"/>
    <x v="0"/>
    <x v="0"/>
    <x v="0"/>
    <x v="11"/>
    <x v="404"/>
  </r>
  <r>
    <x v="428"/>
    <x v="26"/>
    <x v="428"/>
    <x v="0"/>
    <x v="0"/>
    <x v="0"/>
    <x v="4"/>
    <x v="428"/>
    <x v="0"/>
    <x v="0"/>
    <x v="0"/>
    <x v="0"/>
    <x v="405"/>
  </r>
  <r>
    <x v="429"/>
    <x v="26"/>
    <x v="429"/>
    <x v="0"/>
    <x v="5"/>
    <x v="25"/>
    <x v="4"/>
    <x v="429"/>
    <x v="0"/>
    <x v="0"/>
    <x v="0"/>
    <x v="1"/>
    <x v="406"/>
  </r>
  <r>
    <x v="430"/>
    <x v="26"/>
    <x v="430"/>
    <x v="6"/>
    <x v="0"/>
    <x v="21"/>
    <x v="9"/>
    <x v="430"/>
    <x v="0"/>
    <x v="0"/>
    <x v="0"/>
    <x v="1"/>
    <x v="407"/>
  </r>
  <r>
    <x v="431"/>
    <x v="26"/>
    <x v="431"/>
    <x v="0"/>
    <x v="2"/>
    <x v="2"/>
    <x v="3"/>
    <x v="431"/>
    <x v="0"/>
    <x v="0"/>
    <x v="0"/>
    <x v="2"/>
    <x v="408"/>
  </r>
  <r>
    <x v="432"/>
    <x v="26"/>
    <x v="432"/>
    <x v="6"/>
    <x v="0"/>
    <x v="21"/>
    <x v="6"/>
    <x v="432"/>
    <x v="0"/>
    <x v="0"/>
    <x v="0"/>
    <x v="3"/>
    <x v="409"/>
  </r>
  <r>
    <x v="433"/>
    <x v="26"/>
    <x v="433"/>
    <x v="6"/>
    <x v="2"/>
    <x v="44"/>
    <x v="5"/>
    <x v="433"/>
    <x v="0"/>
    <x v="0"/>
    <x v="0"/>
    <x v="3"/>
    <x v="410"/>
  </r>
  <r>
    <x v="434"/>
    <x v="26"/>
    <x v="434"/>
    <x v="0"/>
    <x v="0"/>
    <x v="0"/>
    <x v="2"/>
    <x v="434"/>
    <x v="0"/>
    <x v="0"/>
    <x v="0"/>
    <x v="5"/>
    <x v="411"/>
  </r>
  <r>
    <x v="435"/>
    <x v="26"/>
    <x v="435"/>
    <x v="0"/>
    <x v="0"/>
    <x v="0"/>
    <x v="5"/>
    <x v="435"/>
    <x v="0"/>
    <x v="0"/>
    <x v="0"/>
    <x v="22"/>
    <x v="412"/>
  </r>
  <r>
    <x v="436"/>
    <x v="26"/>
    <x v="436"/>
    <x v="0"/>
    <x v="4"/>
    <x v="11"/>
    <x v="6"/>
    <x v="436"/>
    <x v="0"/>
    <x v="0"/>
    <x v="0"/>
    <x v="22"/>
    <x v="413"/>
  </r>
  <r>
    <x v="437"/>
    <x v="26"/>
    <x v="437"/>
    <x v="4"/>
    <x v="4"/>
    <x v="7"/>
    <x v="4"/>
    <x v="437"/>
    <x v="0"/>
    <x v="0"/>
    <x v="0"/>
    <x v="6"/>
    <x v="414"/>
  </r>
  <r>
    <x v="438"/>
    <x v="26"/>
    <x v="438"/>
    <x v="3"/>
    <x v="0"/>
    <x v="4"/>
    <x v="0"/>
    <x v="438"/>
    <x v="0"/>
    <x v="0"/>
    <x v="0"/>
    <x v="7"/>
    <x v="415"/>
  </r>
  <r>
    <x v="439"/>
    <x v="26"/>
    <x v="439"/>
    <x v="3"/>
    <x v="0"/>
    <x v="4"/>
    <x v="4"/>
    <x v="439"/>
    <x v="0"/>
    <x v="0"/>
    <x v="0"/>
    <x v="7"/>
    <x v="416"/>
  </r>
  <r>
    <x v="440"/>
    <x v="26"/>
    <x v="440"/>
    <x v="3"/>
    <x v="0"/>
    <x v="4"/>
    <x v="2"/>
    <x v="440"/>
    <x v="0"/>
    <x v="0"/>
    <x v="0"/>
    <x v="9"/>
    <x v="417"/>
  </r>
  <r>
    <x v="441"/>
    <x v="26"/>
    <x v="441"/>
    <x v="3"/>
    <x v="2"/>
    <x v="27"/>
    <x v="6"/>
    <x v="441"/>
    <x v="0"/>
    <x v="0"/>
    <x v="0"/>
    <x v="9"/>
    <x v="418"/>
  </r>
  <r>
    <x v="442"/>
    <x v="27"/>
    <x v="442"/>
    <x v="3"/>
    <x v="0"/>
    <x v="4"/>
    <x v="7"/>
    <x v="442"/>
    <x v="0"/>
    <x v="0"/>
    <x v="0"/>
    <x v="11"/>
    <x v="419"/>
  </r>
  <r>
    <x v="443"/>
    <x v="27"/>
    <x v="443"/>
    <x v="6"/>
    <x v="0"/>
    <x v="21"/>
    <x v="6"/>
    <x v="443"/>
    <x v="0"/>
    <x v="0"/>
    <x v="0"/>
    <x v="11"/>
    <x v="420"/>
  </r>
  <r>
    <x v="444"/>
    <x v="27"/>
    <x v="444"/>
    <x v="3"/>
    <x v="0"/>
    <x v="4"/>
    <x v="6"/>
    <x v="444"/>
    <x v="0"/>
    <x v="0"/>
    <x v="0"/>
    <x v="0"/>
    <x v="421"/>
  </r>
  <r>
    <x v="445"/>
    <x v="27"/>
    <x v="445"/>
    <x v="3"/>
    <x v="10"/>
    <x v="50"/>
    <x v="5"/>
    <x v="445"/>
    <x v="0"/>
    <x v="0"/>
    <x v="0"/>
    <x v="0"/>
    <x v="422"/>
  </r>
  <r>
    <x v="446"/>
    <x v="27"/>
    <x v="446"/>
    <x v="10"/>
    <x v="0"/>
    <x v="48"/>
    <x v="2"/>
    <x v="446"/>
    <x v="0"/>
    <x v="0"/>
    <x v="0"/>
    <x v="1"/>
    <x v="423"/>
  </r>
  <r>
    <x v="447"/>
    <x v="27"/>
    <x v="447"/>
    <x v="0"/>
    <x v="0"/>
    <x v="0"/>
    <x v="4"/>
    <x v="447"/>
    <x v="0"/>
    <x v="0"/>
    <x v="0"/>
    <x v="1"/>
    <x v="424"/>
  </r>
  <r>
    <x v="448"/>
    <x v="27"/>
    <x v="448"/>
    <x v="8"/>
    <x v="0"/>
    <x v="51"/>
    <x v="5"/>
    <x v="448"/>
    <x v="0"/>
    <x v="0"/>
    <x v="0"/>
    <x v="2"/>
    <x v="337"/>
  </r>
  <r>
    <x v="449"/>
    <x v="27"/>
    <x v="449"/>
    <x v="0"/>
    <x v="0"/>
    <x v="0"/>
    <x v="2"/>
    <x v="449"/>
    <x v="0"/>
    <x v="0"/>
    <x v="0"/>
    <x v="2"/>
    <x v="194"/>
  </r>
  <r>
    <x v="450"/>
    <x v="27"/>
    <x v="450"/>
    <x v="0"/>
    <x v="3"/>
    <x v="47"/>
    <x v="6"/>
    <x v="450"/>
    <x v="0"/>
    <x v="0"/>
    <x v="0"/>
    <x v="4"/>
    <x v="425"/>
  </r>
  <r>
    <x v="451"/>
    <x v="27"/>
    <x v="451"/>
    <x v="0"/>
    <x v="4"/>
    <x v="11"/>
    <x v="6"/>
    <x v="451"/>
    <x v="0"/>
    <x v="0"/>
    <x v="0"/>
    <x v="17"/>
    <x v="426"/>
  </r>
  <r>
    <x v="452"/>
    <x v="27"/>
    <x v="452"/>
    <x v="0"/>
    <x v="0"/>
    <x v="0"/>
    <x v="6"/>
    <x v="452"/>
    <x v="0"/>
    <x v="0"/>
    <x v="0"/>
    <x v="5"/>
    <x v="427"/>
  </r>
  <r>
    <x v="453"/>
    <x v="27"/>
    <x v="453"/>
    <x v="0"/>
    <x v="0"/>
    <x v="0"/>
    <x v="10"/>
    <x v="453"/>
    <x v="0"/>
    <x v="0"/>
    <x v="0"/>
    <x v="5"/>
    <x v="428"/>
  </r>
  <r>
    <x v="454"/>
    <x v="27"/>
    <x v="454"/>
    <x v="0"/>
    <x v="0"/>
    <x v="0"/>
    <x v="0"/>
    <x v="454"/>
    <x v="0"/>
    <x v="0"/>
    <x v="0"/>
    <x v="5"/>
    <x v="429"/>
  </r>
  <r>
    <x v="455"/>
    <x v="27"/>
    <x v="455"/>
    <x v="0"/>
    <x v="0"/>
    <x v="0"/>
    <x v="2"/>
    <x v="455"/>
    <x v="0"/>
    <x v="0"/>
    <x v="0"/>
    <x v="7"/>
    <x v="430"/>
  </r>
  <r>
    <x v="456"/>
    <x v="27"/>
    <x v="456"/>
    <x v="0"/>
    <x v="0"/>
    <x v="0"/>
    <x v="7"/>
    <x v="456"/>
    <x v="0"/>
    <x v="0"/>
    <x v="0"/>
    <x v="7"/>
    <x v="431"/>
  </r>
  <r>
    <x v="457"/>
    <x v="27"/>
    <x v="457"/>
    <x v="3"/>
    <x v="0"/>
    <x v="4"/>
    <x v="1"/>
    <x v="457"/>
    <x v="0"/>
    <x v="0"/>
    <x v="0"/>
    <x v="7"/>
    <x v="432"/>
  </r>
  <r>
    <x v="458"/>
    <x v="27"/>
    <x v="458"/>
    <x v="4"/>
    <x v="1"/>
    <x v="5"/>
    <x v="4"/>
    <x v="458"/>
    <x v="0"/>
    <x v="0"/>
    <x v="0"/>
    <x v="9"/>
    <x v="433"/>
  </r>
  <r>
    <x v="459"/>
    <x v="27"/>
    <x v="459"/>
    <x v="3"/>
    <x v="0"/>
    <x v="4"/>
    <x v="2"/>
    <x v="459"/>
    <x v="0"/>
    <x v="0"/>
    <x v="0"/>
    <x v="9"/>
    <x v="434"/>
  </r>
  <r>
    <x v="460"/>
    <x v="27"/>
    <x v="460"/>
    <x v="0"/>
    <x v="2"/>
    <x v="2"/>
    <x v="9"/>
    <x v="460"/>
    <x v="0"/>
    <x v="0"/>
    <x v="0"/>
    <x v="14"/>
    <x v="435"/>
  </r>
  <r>
    <x v="461"/>
    <x v="27"/>
    <x v="461"/>
    <x v="0"/>
    <x v="2"/>
    <x v="2"/>
    <x v="10"/>
    <x v="461"/>
    <x v="0"/>
    <x v="0"/>
    <x v="0"/>
    <x v="14"/>
    <x v="436"/>
  </r>
  <r>
    <x v="462"/>
    <x v="27"/>
    <x v="462"/>
    <x v="0"/>
    <x v="4"/>
    <x v="11"/>
    <x v="5"/>
    <x v="462"/>
    <x v="0"/>
    <x v="0"/>
    <x v="0"/>
    <x v="15"/>
    <x v="437"/>
  </r>
  <r>
    <x v="463"/>
    <x v="28"/>
    <x v="463"/>
    <x v="6"/>
    <x v="3"/>
    <x v="40"/>
    <x v="4"/>
    <x v="463"/>
    <x v="0"/>
    <x v="0"/>
    <x v="0"/>
    <x v="12"/>
    <x v="438"/>
  </r>
  <r>
    <x v="464"/>
    <x v="28"/>
    <x v="464"/>
    <x v="3"/>
    <x v="4"/>
    <x v="16"/>
    <x v="6"/>
    <x v="464"/>
    <x v="0"/>
    <x v="0"/>
    <x v="0"/>
    <x v="12"/>
    <x v="439"/>
  </r>
  <r>
    <x v="465"/>
    <x v="28"/>
    <x v="465"/>
    <x v="5"/>
    <x v="13"/>
    <x v="52"/>
    <x v="6"/>
    <x v="465"/>
    <x v="0"/>
    <x v="0"/>
    <x v="0"/>
    <x v="1"/>
    <x v="440"/>
  </r>
  <r>
    <x v="466"/>
    <x v="28"/>
    <x v="466"/>
    <x v="7"/>
    <x v="0"/>
    <x v="53"/>
    <x v="3"/>
    <x v="466"/>
    <x v="0"/>
    <x v="0"/>
    <x v="0"/>
    <x v="1"/>
    <x v="441"/>
  </r>
  <r>
    <x v="467"/>
    <x v="28"/>
    <x v="467"/>
    <x v="0"/>
    <x v="0"/>
    <x v="0"/>
    <x v="7"/>
    <x v="467"/>
    <x v="0"/>
    <x v="0"/>
    <x v="0"/>
    <x v="2"/>
    <x v="442"/>
  </r>
  <r>
    <x v="468"/>
    <x v="28"/>
    <x v="468"/>
    <x v="0"/>
    <x v="0"/>
    <x v="0"/>
    <x v="7"/>
    <x v="468"/>
    <x v="0"/>
    <x v="0"/>
    <x v="0"/>
    <x v="3"/>
    <x v="196"/>
  </r>
  <r>
    <x v="469"/>
    <x v="28"/>
    <x v="469"/>
    <x v="0"/>
    <x v="0"/>
    <x v="0"/>
    <x v="5"/>
    <x v="469"/>
    <x v="0"/>
    <x v="0"/>
    <x v="0"/>
    <x v="5"/>
    <x v="415"/>
  </r>
  <r>
    <x v="470"/>
    <x v="28"/>
    <x v="470"/>
    <x v="4"/>
    <x v="0"/>
    <x v="6"/>
    <x v="6"/>
    <x v="470"/>
    <x v="0"/>
    <x v="0"/>
    <x v="0"/>
    <x v="6"/>
    <x v="443"/>
  </r>
  <r>
    <x v="471"/>
    <x v="28"/>
    <x v="471"/>
    <x v="0"/>
    <x v="0"/>
    <x v="0"/>
    <x v="4"/>
    <x v="471"/>
    <x v="0"/>
    <x v="0"/>
    <x v="0"/>
    <x v="16"/>
    <x v="444"/>
  </r>
  <r>
    <x v="472"/>
    <x v="28"/>
    <x v="472"/>
    <x v="4"/>
    <x v="0"/>
    <x v="6"/>
    <x v="7"/>
    <x v="472"/>
    <x v="0"/>
    <x v="0"/>
    <x v="0"/>
    <x v="7"/>
    <x v="445"/>
  </r>
  <r>
    <x v="473"/>
    <x v="28"/>
    <x v="473"/>
    <x v="3"/>
    <x v="0"/>
    <x v="4"/>
    <x v="6"/>
    <x v="473"/>
    <x v="0"/>
    <x v="10"/>
    <x v="0"/>
    <x v="7"/>
    <x v="131"/>
  </r>
  <r>
    <x v="474"/>
    <x v="28"/>
    <x v="474"/>
    <x v="0"/>
    <x v="0"/>
    <x v="0"/>
    <x v="5"/>
    <x v="474"/>
    <x v="0"/>
    <x v="0"/>
    <x v="0"/>
    <x v="9"/>
    <x v="446"/>
  </r>
  <r>
    <x v="475"/>
    <x v="28"/>
    <x v="475"/>
    <x v="4"/>
    <x v="0"/>
    <x v="6"/>
    <x v="4"/>
    <x v="475"/>
    <x v="0"/>
    <x v="0"/>
    <x v="0"/>
    <x v="9"/>
    <x v="447"/>
  </r>
  <r>
    <x v="476"/>
    <x v="28"/>
    <x v="476"/>
    <x v="4"/>
    <x v="0"/>
    <x v="6"/>
    <x v="1"/>
    <x v="476"/>
    <x v="0"/>
    <x v="0"/>
    <x v="0"/>
    <x v="9"/>
    <x v="448"/>
  </r>
  <r>
    <x v="477"/>
    <x v="29"/>
    <x v="477"/>
    <x v="5"/>
    <x v="4"/>
    <x v="54"/>
    <x v="3"/>
    <x v="477"/>
    <x v="0"/>
    <x v="0"/>
    <x v="0"/>
    <x v="11"/>
    <x v="32"/>
  </r>
  <r>
    <x v="478"/>
    <x v="29"/>
    <x v="478"/>
    <x v="6"/>
    <x v="10"/>
    <x v="32"/>
    <x v="2"/>
    <x v="478"/>
    <x v="0"/>
    <x v="0"/>
    <x v="0"/>
    <x v="0"/>
    <x v="246"/>
  </r>
  <r>
    <x v="479"/>
    <x v="29"/>
    <x v="479"/>
    <x v="0"/>
    <x v="0"/>
    <x v="0"/>
    <x v="1"/>
    <x v="479"/>
    <x v="0"/>
    <x v="0"/>
    <x v="0"/>
    <x v="1"/>
    <x v="449"/>
  </r>
  <r>
    <x v="480"/>
    <x v="29"/>
    <x v="480"/>
    <x v="1"/>
    <x v="5"/>
    <x v="15"/>
    <x v="4"/>
    <x v="480"/>
    <x v="0"/>
    <x v="0"/>
    <x v="0"/>
    <x v="2"/>
    <x v="450"/>
  </r>
  <r>
    <x v="481"/>
    <x v="29"/>
    <x v="481"/>
    <x v="0"/>
    <x v="0"/>
    <x v="0"/>
    <x v="7"/>
    <x v="481"/>
    <x v="0"/>
    <x v="0"/>
    <x v="0"/>
    <x v="5"/>
    <x v="451"/>
  </r>
  <r>
    <x v="482"/>
    <x v="29"/>
    <x v="482"/>
    <x v="3"/>
    <x v="0"/>
    <x v="4"/>
    <x v="7"/>
    <x v="482"/>
    <x v="0"/>
    <x v="0"/>
    <x v="0"/>
    <x v="5"/>
    <x v="452"/>
  </r>
  <r>
    <x v="483"/>
    <x v="29"/>
    <x v="483"/>
    <x v="3"/>
    <x v="0"/>
    <x v="4"/>
    <x v="6"/>
    <x v="483"/>
    <x v="0"/>
    <x v="0"/>
    <x v="0"/>
    <x v="22"/>
    <x v="453"/>
  </r>
  <r>
    <x v="484"/>
    <x v="29"/>
    <x v="484"/>
    <x v="3"/>
    <x v="0"/>
    <x v="4"/>
    <x v="7"/>
    <x v="484"/>
    <x v="0"/>
    <x v="0"/>
    <x v="0"/>
    <x v="7"/>
    <x v="454"/>
  </r>
  <r>
    <x v="485"/>
    <x v="29"/>
    <x v="485"/>
    <x v="0"/>
    <x v="0"/>
    <x v="0"/>
    <x v="7"/>
    <x v="485"/>
    <x v="0"/>
    <x v="0"/>
    <x v="0"/>
    <x v="7"/>
    <x v="455"/>
  </r>
  <r>
    <x v="486"/>
    <x v="29"/>
    <x v="486"/>
    <x v="4"/>
    <x v="5"/>
    <x v="9"/>
    <x v="5"/>
    <x v="486"/>
    <x v="0"/>
    <x v="0"/>
    <x v="0"/>
    <x v="9"/>
    <x v="456"/>
  </r>
  <r>
    <x v="487"/>
    <x v="29"/>
    <x v="487"/>
    <x v="4"/>
    <x v="4"/>
    <x v="7"/>
    <x v="6"/>
    <x v="487"/>
    <x v="0"/>
    <x v="0"/>
    <x v="0"/>
    <x v="9"/>
    <x v="457"/>
  </r>
  <r>
    <x v="488"/>
    <x v="29"/>
    <x v="488"/>
    <x v="3"/>
    <x v="0"/>
    <x v="4"/>
    <x v="7"/>
    <x v="488"/>
    <x v="0"/>
    <x v="0"/>
    <x v="0"/>
    <x v="9"/>
    <x v="458"/>
  </r>
  <r>
    <x v="489"/>
    <x v="29"/>
    <x v="489"/>
    <x v="4"/>
    <x v="0"/>
    <x v="6"/>
    <x v="5"/>
    <x v="489"/>
    <x v="0"/>
    <x v="0"/>
    <x v="0"/>
    <x v="10"/>
    <x v="459"/>
  </r>
  <r>
    <x v="490"/>
    <x v="29"/>
    <x v="490"/>
    <x v="4"/>
    <x v="0"/>
    <x v="6"/>
    <x v="3"/>
    <x v="490"/>
    <x v="0"/>
    <x v="0"/>
    <x v="0"/>
    <x v="15"/>
    <x v="460"/>
  </r>
  <r>
    <x v="491"/>
    <x v="30"/>
    <x v="491"/>
    <x v="3"/>
    <x v="0"/>
    <x v="4"/>
    <x v="11"/>
    <x v="491"/>
    <x v="0"/>
    <x v="0"/>
    <x v="0"/>
    <x v="11"/>
    <x v="29"/>
  </r>
  <r>
    <x v="492"/>
    <x v="30"/>
    <x v="492"/>
    <x v="10"/>
    <x v="0"/>
    <x v="48"/>
    <x v="8"/>
    <x v="492"/>
    <x v="0"/>
    <x v="0"/>
    <x v="0"/>
    <x v="0"/>
    <x v="461"/>
  </r>
  <r>
    <x v="493"/>
    <x v="30"/>
    <x v="493"/>
    <x v="10"/>
    <x v="0"/>
    <x v="48"/>
    <x v="5"/>
    <x v="493"/>
    <x v="0"/>
    <x v="0"/>
    <x v="0"/>
    <x v="0"/>
    <x v="462"/>
  </r>
  <r>
    <x v="494"/>
    <x v="30"/>
    <x v="494"/>
    <x v="4"/>
    <x v="1"/>
    <x v="5"/>
    <x v="7"/>
    <x v="494"/>
    <x v="0"/>
    <x v="0"/>
    <x v="0"/>
    <x v="2"/>
    <x v="51"/>
  </r>
  <r>
    <x v="495"/>
    <x v="30"/>
    <x v="495"/>
    <x v="6"/>
    <x v="0"/>
    <x v="21"/>
    <x v="6"/>
    <x v="495"/>
    <x v="0"/>
    <x v="0"/>
    <x v="0"/>
    <x v="2"/>
    <x v="463"/>
  </r>
  <r>
    <x v="496"/>
    <x v="30"/>
    <x v="496"/>
    <x v="0"/>
    <x v="0"/>
    <x v="0"/>
    <x v="5"/>
    <x v="496"/>
    <x v="0"/>
    <x v="0"/>
    <x v="0"/>
    <x v="5"/>
    <x v="464"/>
  </r>
  <r>
    <x v="497"/>
    <x v="30"/>
    <x v="497"/>
    <x v="0"/>
    <x v="0"/>
    <x v="0"/>
    <x v="13"/>
    <x v="497"/>
    <x v="0"/>
    <x v="0"/>
    <x v="0"/>
    <x v="5"/>
    <x v="465"/>
  </r>
  <r>
    <x v="498"/>
    <x v="30"/>
    <x v="498"/>
    <x v="0"/>
    <x v="0"/>
    <x v="0"/>
    <x v="0"/>
    <x v="498"/>
    <x v="0"/>
    <x v="0"/>
    <x v="0"/>
    <x v="5"/>
    <x v="429"/>
  </r>
  <r>
    <x v="499"/>
    <x v="30"/>
    <x v="499"/>
    <x v="4"/>
    <x v="0"/>
    <x v="6"/>
    <x v="7"/>
    <x v="499"/>
    <x v="0"/>
    <x v="0"/>
    <x v="0"/>
    <x v="6"/>
    <x v="466"/>
  </r>
  <r>
    <x v="500"/>
    <x v="30"/>
    <x v="500"/>
    <x v="4"/>
    <x v="0"/>
    <x v="6"/>
    <x v="4"/>
    <x v="500"/>
    <x v="0"/>
    <x v="0"/>
    <x v="0"/>
    <x v="6"/>
    <x v="467"/>
  </r>
  <r>
    <x v="501"/>
    <x v="30"/>
    <x v="501"/>
    <x v="0"/>
    <x v="0"/>
    <x v="0"/>
    <x v="1"/>
    <x v="501"/>
    <x v="0"/>
    <x v="0"/>
    <x v="0"/>
    <x v="16"/>
    <x v="468"/>
  </r>
  <r>
    <x v="502"/>
    <x v="30"/>
    <x v="502"/>
    <x v="3"/>
    <x v="0"/>
    <x v="4"/>
    <x v="7"/>
    <x v="502"/>
    <x v="0"/>
    <x v="0"/>
    <x v="0"/>
    <x v="7"/>
    <x v="469"/>
  </r>
  <r>
    <x v="503"/>
    <x v="30"/>
    <x v="503"/>
    <x v="4"/>
    <x v="0"/>
    <x v="6"/>
    <x v="7"/>
    <x v="503"/>
    <x v="0"/>
    <x v="0"/>
    <x v="0"/>
    <x v="7"/>
    <x v="470"/>
  </r>
  <r>
    <x v="504"/>
    <x v="30"/>
    <x v="504"/>
    <x v="3"/>
    <x v="6"/>
    <x v="36"/>
    <x v="6"/>
    <x v="504"/>
    <x v="0"/>
    <x v="0"/>
    <x v="0"/>
    <x v="7"/>
    <x v="471"/>
  </r>
  <r>
    <x v="505"/>
    <x v="30"/>
    <x v="505"/>
    <x v="0"/>
    <x v="0"/>
    <x v="0"/>
    <x v="0"/>
    <x v="505"/>
    <x v="0"/>
    <x v="0"/>
    <x v="0"/>
    <x v="13"/>
    <x v="472"/>
  </r>
  <r>
    <x v="506"/>
    <x v="30"/>
    <x v="506"/>
    <x v="3"/>
    <x v="2"/>
    <x v="27"/>
    <x v="5"/>
    <x v="506"/>
    <x v="0"/>
    <x v="0"/>
    <x v="0"/>
    <x v="9"/>
    <x v="473"/>
  </r>
  <r>
    <x v="507"/>
    <x v="30"/>
    <x v="507"/>
    <x v="4"/>
    <x v="6"/>
    <x v="12"/>
    <x v="5"/>
    <x v="507"/>
    <x v="0"/>
    <x v="0"/>
    <x v="0"/>
    <x v="9"/>
    <x v="474"/>
  </r>
  <r>
    <x v="508"/>
    <x v="30"/>
    <x v="508"/>
    <x v="3"/>
    <x v="4"/>
    <x v="16"/>
    <x v="3"/>
    <x v="508"/>
    <x v="0"/>
    <x v="0"/>
    <x v="0"/>
    <x v="9"/>
    <x v="475"/>
  </r>
  <r>
    <x v="509"/>
    <x v="31"/>
    <x v="509"/>
    <x v="4"/>
    <x v="4"/>
    <x v="7"/>
    <x v="5"/>
    <x v="509"/>
    <x v="0"/>
    <x v="0"/>
    <x v="0"/>
    <x v="12"/>
    <x v="476"/>
  </r>
  <r>
    <x v="510"/>
    <x v="31"/>
    <x v="510"/>
    <x v="6"/>
    <x v="2"/>
    <x v="44"/>
    <x v="5"/>
    <x v="510"/>
    <x v="0"/>
    <x v="0"/>
    <x v="0"/>
    <x v="1"/>
    <x v="477"/>
  </r>
  <r>
    <x v="511"/>
    <x v="31"/>
    <x v="511"/>
    <x v="0"/>
    <x v="2"/>
    <x v="2"/>
    <x v="7"/>
    <x v="511"/>
    <x v="0"/>
    <x v="0"/>
    <x v="0"/>
    <x v="1"/>
    <x v="478"/>
  </r>
  <r>
    <x v="512"/>
    <x v="31"/>
    <x v="512"/>
    <x v="0"/>
    <x v="4"/>
    <x v="11"/>
    <x v="1"/>
    <x v="512"/>
    <x v="0"/>
    <x v="0"/>
    <x v="0"/>
    <x v="3"/>
    <x v="479"/>
  </r>
  <r>
    <x v="513"/>
    <x v="31"/>
    <x v="513"/>
    <x v="0"/>
    <x v="4"/>
    <x v="11"/>
    <x v="3"/>
    <x v="513"/>
    <x v="0"/>
    <x v="0"/>
    <x v="0"/>
    <x v="4"/>
    <x v="480"/>
  </r>
  <r>
    <x v="514"/>
    <x v="31"/>
    <x v="514"/>
    <x v="3"/>
    <x v="1"/>
    <x v="13"/>
    <x v="2"/>
    <x v="514"/>
    <x v="0"/>
    <x v="0"/>
    <x v="0"/>
    <x v="17"/>
    <x v="481"/>
  </r>
  <r>
    <x v="515"/>
    <x v="31"/>
    <x v="515"/>
    <x v="0"/>
    <x v="0"/>
    <x v="0"/>
    <x v="7"/>
    <x v="515"/>
    <x v="0"/>
    <x v="0"/>
    <x v="0"/>
    <x v="5"/>
    <x v="482"/>
  </r>
  <r>
    <x v="516"/>
    <x v="31"/>
    <x v="516"/>
    <x v="0"/>
    <x v="0"/>
    <x v="0"/>
    <x v="6"/>
    <x v="516"/>
    <x v="0"/>
    <x v="0"/>
    <x v="0"/>
    <x v="22"/>
    <x v="483"/>
  </r>
  <r>
    <x v="517"/>
    <x v="31"/>
    <x v="517"/>
    <x v="3"/>
    <x v="4"/>
    <x v="16"/>
    <x v="6"/>
    <x v="517"/>
    <x v="0"/>
    <x v="0"/>
    <x v="0"/>
    <x v="6"/>
    <x v="484"/>
  </r>
  <r>
    <x v="518"/>
    <x v="31"/>
    <x v="518"/>
    <x v="4"/>
    <x v="0"/>
    <x v="6"/>
    <x v="5"/>
    <x v="518"/>
    <x v="0"/>
    <x v="0"/>
    <x v="0"/>
    <x v="10"/>
    <x v="485"/>
  </r>
  <r>
    <x v="519"/>
    <x v="31"/>
    <x v="519"/>
    <x v="0"/>
    <x v="4"/>
    <x v="11"/>
    <x v="7"/>
    <x v="519"/>
    <x v="0"/>
    <x v="0"/>
    <x v="0"/>
    <x v="14"/>
    <x v="486"/>
  </r>
  <r>
    <x v="520"/>
    <x v="32"/>
    <x v="520"/>
    <x v="6"/>
    <x v="4"/>
    <x v="39"/>
    <x v="5"/>
    <x v="520"/>
    <x v="0"/>
    <x v="0"/>
    <x v="0"/>
    <x v="12"/>
    <x v="487"/>
  </r>
  <r>
    <x v="521"/>
    <x v="32"/>
    <x v="521"/>
    <x v="0"/>
    <x v="1"/>
    <x v="28"/>
    <x v="1"/>
    <x v="521"/>
    <x v="0"/>
    <x v="0"/>
    <x v="0"/>
    <x v="0"/>
    <x v="488"/>
  </r>
  <r>
    <x v="522"/>
    <x v="32"/>
    <x v="522"/>
    <x v="0"/>
    <x v="0"/>
    <x v="0"/>
    <x v="7"/>
    <x v="522"/>
    <x v="0"/>
    <x v="0"/>
    <x v="0"/>
    <x v="2"/>
    <x v="489"/>
  </r>
  <r>
    <x v="523"/>
    <x v="32"/>
    <x v="523"/>
    <x v="0"/>
    <x v="0"/>
    <x v="0"/>
    <x v="2"/>
    <x v="523"/>
    <x v="0"/>
    <x v="0"/>
    <x v="0"/>
    <x v="2"/>
    <x v="490"/>
  </r>
  <r>
    <x v="524"/>
    <x v="32"/>
    <x v="524"/>
    <x v="0"/>
    <x v="0"/>
    <x v="0"/>
    <x v="2"/>
    <x v="524"/>
    <x v="0"/>
    <x v="0"/>
    <x v="0"/>
    <x v="16"/>
    <x v="491"/>
  </r>
  <r>
    <x v="525"/>
    <x v="32"/>
    <x v="525"/>
    <x v="0"/>
    <x v="4"/>
    <x v="11"/>
    <x v="7"/>
    <x v="525"/>
    <x v="0"/>
    <x v="0"/>
    <x v="0"/>
    <x v="18"/>
    <x v="492"/>
  </r>
  <r>
    <x v="526"/>
    <x v="32"/>
    <x v="526"/>
    <x v="4"/>
    <x v="0"/>
    <x v="6"/>
    <x v="2"/>
    <x v="526"/>
    <x v="0"/>
    <x v="0"/>
    <x v="0"/>
    <x v="7"/>
    <x v="493"/>
  </r>
  <r>
    <x v="527"/>
    <x v="32"/>
    <x v="527"/>
    <x v="4"/>
    <x v="0"/>
    <x v="6"/>
    <x v="7"/>
    <x v="527"/>
    <x v="0"/>
    <x v="0"/>
    <x v="0"/>
    <x v="7"/>
    <x v="494"/>
  </r>
  <r>
    <x v="528"/>
    <x v="32"/>
    <x v="528"/>
    <x v="0"/>
    <x v="0"/>
    <x v="0"/>
    <x v="1"/>
    <x v="528"/>
    <x v="0"/>
    <x v="0"/>
    <x v="0"/>
    <x v="7"/>
    <x v="495"/>
  </r>
  <r>
    <x v="529"/>
    <x v="32"/>
    <x v="529"/>
    <x v="3"/>
    <x v="0"/>
    <x v="4"/>
    <x v="5"/>
    <x v="529"/>
    <x v="0"/>
    <x v="0"/>
    <x v="0"/>
    <x v="7"/>
    <x v="416"/>
  </r>
  <r>
    <x v="530"/>
    <x v="32"/>
    <x v="530"/>
    <x v="3"/>
    <x v="0"/>
    <x v="4"/>
    <x v="7"/>
    <x v="530"/>
    <x v="0"/>
    <x v="0"/>
    <x v="0"/>
    <x v="15"/>
    <x v="496"/>
  </r>
  <r>
    <x v="531"/>
    <x v="33"/>
    <x v="531"/>
    <x v="6"/>
    <x v="0"/>
    <x v="21"/>
    <x v="4"/>
    <x v="531"/>
    <x v="0"/>
    <x v="0"/>
    <x v="0"/>
    <x v="11"/>
    <x v="86"/>
  </r>
  <r>
    <x v="532"/>
    <x v="33"/>
    <x v="532"/>
    <x v="3"/>
    <x v="0"/>
    <x v="4"/>
    <x v="2"/>
    <x v="532"/>
    <x v="0"/>
    <x v="0"/>
    <x v="0"/>
    <x v="12"/>
    <x v="497"/>
  </r>
  <r>
    <x v="533"/>
    <x v="33"/>
    <x v="533"/>
    <x v="10"/>
    <x v="0"/>
    <x v="48"/>
    <x v="5"/>
    <x v="533"/>
    <x v="0"/>
    <x v="0"/>
    <x v="0"/>
    <x v="0"/>
    <x v="498"/>
  </r>
  <r>
    <x v="534"/>
    <x v="33"/>
    <x v="534"/>
    <x v="0"/>
    <x v="2"/>
    <x v="2"/>
    <x v="5"/>
    <x v="534"/>
    <x v="0"/>
    <x v="0"/>
    <x v="0"/>
    <x v="2"/>
    <x v="499"/>
  </r>
  <r>
    <x v="535"/>
    <x v="33"/>
    <x v="535"/>
    <x v="0"/>
    <x v="0"/>
    <x v="0"/>
    <x v="6"/>
    <x v="535"/>
    <x v="0"/>
    <x v="0"/>
    <x v="0"/>
    <x v="2"/>
    <x v="500"/>
  </r>
  <r>
    <x v="536"/>
    <x v="33"/>
    <x v="536"/>
    <x v="1"/>
    <x v="0"/>
    <x v="24"/>
    <x v="6"/>
    <x v="536"/>
    <x v="0"/>
    <x v="0"/>
    <x v="0"/>
    <x v="4"/>
    <x v="501"/>
  </r>
  <r>
    <x v="537"/>
    <x v="33"/>
    <x v="537"/>
    <x v="4"/>
    <x v="3"/>
    <x v="55"/>
    <x v="4"/>
    <x v="537"/>
    <x v="0"/>
    <x v="0"/>
    <x v="0"/>
    <x v="17"/>
    <x v="502"/>
  </r>
  <r>
    <x v="538"/>
    <x v="33"/>
    <x v="538"/>
    <x v="4"/>
    <x v="0"/>
    <x v="6"/>
    <x v="6"/>
    <x v="538"/>
    <x v="0"/>
    <x v="0"/>
    <x v="0"/>
    <x v="9"/>
    <x v="503"/>
  </r>
  <r>
    <x v="539"/>
    <x v="33"/>
    <x v="539"/>
    <x v="0"/>
    <x v="0"/>
    <x v="0"/>
    <x v="7"/>
    <x v="539"/>
    <x v="0"/>
    <x v="0"/>
    <x v="0"/>
    <x v="15"/>
    <x v="504"/>
  </r>
  <r>
    <x v="540"/>
    <x v="34"/>
    <x v="540"/>
    <x v="5"/>
    <x v="0"/>
    <x v="14"/>
    <x v="6"/>
    <x v="540"/>
    <x v="0"/>
    <x v="0"/>
    <x v="0"/>
    <x v="11"/>
    <x v="505"/>
  </r>
  <r>
    <x v="541"/>
    <x v="34"/>
    <x v="541"/>
    <x v="6"/>
    <x v="4"/>
    <x v="39"/>
    <x v="6"/>
    <x v="541"/>
    <x v="0"/>
    <x v="0"/>
    <x v="0"/>
    <x v="12"/>
    <x v="506"/>
  </r>
  <r>
    <x v="542"/>
    <x v="34"/>
    <x v="542"/>
    <x v="0"/>
    <x v="0"/>
    <x v="0"/>
    <x v="10"/>
    <x v="542"/>
    <x v="0"/>
    <x v="0"/>
    <x v="0"/>
    <x v="0"/>
    <x v="507"/>
  </r>
  <r>
    <x v="543"/>
    <x v="34"/>
    <x v="543"/>
    <x v="0"/>
    <x v="1"/>
    <x v="28"/>
    <x v="5"/>
    <x v="543"/>
    <x v="0"/>
    <x v="0"/>
    <x v="0"/>
    <x v="1"/>
    <x v="508"/>
  </r>
  <r>
    <x v="544"/>
    <x v="34"/>
    <x v="544"/>
    <x v="3"/>
    <x v="0"/>
    <x v="4"/>
    <x v="5"/>
    <x v="544"/>
    <x v="0"/>
    <x v="0"/>
    <x v="0"/>
    <x v="2"/>
    <x v="509"/>
  </r>
  <r>
    <x v="545"/>
    <x v="34"/>
    <x v="545"/>
    <x v="4"/>
    <x v="0"/>
    <x v="6"/>
    <x v="2"/>
    <x v="545"/>
    <x v="0"/>
    <x v="0"/>
    <x v="0"/>
    <x v="2"/>
    <x v="510"/>
  </r>
  <r>
    <x v="546"/>
    <x v="34"/>
    <x v="546"/>
    <x v="4"/>
    <x v="1"/>
    <x v="5"/>
    <x v="7"/>
    <x v="546"/>
    <x v="0"/>
    <x v="0"/>
    <x v="0"/>
    <x v="17"/>
    <x v="511"/>
  </r>
  <r>
    <x v="547"/>
    <x v="34"/>
    <x v="547"/>
    <x v="0"/>
    <x v="0"/>
    <x v="0"/>
    <x v="2"/>
    <x v="545"/>
    <x v="0"/>
    <x v="0"/>
    <x v="0"/>
    <x v="5"/>
    <x v="512"/>
  </r>
  <r>
    <x v="548"/>
    <x v="34"/>
    <x v="548"/>
    <x v="3"/>
    <x v="4"/>
    <x v="16"/>
    <x v="2"/>
    <x v="545"/>
    <x v="0"/>
    <x v="0"/>
    <x v="0"/>
    <x v="5"/>
    <x v="513"/>
  </r>
  <r>
    <x v="549"/>
    <x v="34"/>
    <x v="549"/>
    <x v="0"/>
    <x v="0"/>
    <x v="0"/>
    <x v="0"/>
    <x v="545"/>
    <x v="0"/>
    <x v="0"/>
    <x v="0"/>
    <x v="5"/>
    <x v="514"/>
  </r>
  <r>
    <x v="550"/>
    <x v="34"/>
    <x v="550"/>
    <x v="0"/>
    <x v="6"/>
    <x v="10"/>
    <x v="7"/>
    <x v="547"/>
    <x v="0"/>
    <x v="0"/>
    <x v="0"/>
    <x v="22"/>
    <x v="515"/>
  </r>
  <r>
    <x v="551"/>
    <x v="34"/>
    <x v="551"/>
    <x v="3"/>
    <x v="0"/>
    <x v="4"/>
    <x v="7"/>
    <x v="548"/>
    <x v="0"/>
    <x v="0"/>
    <x v="0"/>
    <x v="6"/>
    <x v="516"/>
  </r>
  <r>
    <x v="552"/>
    <x v="34"/>
    <x v="552"/>
    <x v="3"/>
    <x v="0"/>
    <x v="4"/>
    <x v="4"/>
    <x v="549"/>
    <x v="0"/>
    <x v="0"/>
    <x v="0"/>
    <x v="7"/>
    <x v="517"/>
  </r>
  <r>
    <x v="553"/>
    <x v="34"/>
    <x v="553"/>
    <x v="3"/>
    <x v="0"/>
    <x v="4"/>
    <x v="6"/>
    <x v="550"/>
    <x v="0"/>
    <x v="0"/>
    <x v="0"/>
    <x v="13"/>
    <x v="214"/>
  </r>
  <r>
    <x v="554"/>
    <x v="34"/>
    <x v="554"/>
    <x v="4"/>
    <x v="0"/>
    <x v="6"/>
    <x v="4"/>
    <x v="545"/>
    <x v="0"/>
    <x v="0"/>
    <x v="0"/>
    <x v="13"/>
    <x v="518"/>
  </r>
  <r>
    <x v="555"/>
    <x v="34"/>
    <x v="555"/>
    <x v="0"/>
    <x v="6"/>
    <x v="10"/>
    <x v="11"/>
    <x v="551"/>
    <x v="0"/>
    <x v="0"/>
    <x v="0"/>
    <x v="13"/>
    <x v="519"/>
  </r>
  <r>
    <x v="556"/>
    <x v="34"/>
    <x v="556"/>
    <x v="3"/>
    <x v="0"/>
    <x v="4"/>
    <x v="3"/>
    <x v="552"/>
    <x v="0"/>
    <x v="0"/>
    <x v="0"/>
    <x v="15"/>
    <x v="520"/>
  </r>
  <r>
    <x v="557"/>
    <x v="34"/>
    <x v="557"/>
    <x v="4"/>
    <x v="0"/>
    <x v="6"/>
    <x v="4"/>
    <x v="553"/>
    <x v="0"/>
    <x v="0"/>
    <x v="0"/>
    <x v="15"/>
    <x v="521"/>
  </r>
  <r>
    <x v="558"/>
    <x v="34"/>
    <x v="558"/>
    <x v="3"/>
    <x v="1"/>
    <x v="13"/>
    <x v="4"/>
    <x v="554"/>
    <x v="0"/>
    <x v="0"/>
    <x v="0"/>
    <x v="23"/>
    <x v="522"/>
  </r>
  <r>
    <x v="559"/>
    <x v="35"/>
    <x v="559"/>
    <x v="7"/>
    <x v="0"/>
    <x v="53"/>
    <x v="7"/>
    <x v="555"/>
    <x v="0"/>
    <x v="0"/>
    <x v="0"/>
    <x v="0"/>
    <x v="523"/>
  </r>
  <r>
    <x v="560"/>
    <x v="35"/>
    <x v="560"/>
    <x v="0"/>
    <x v="0"/>
    <x v="0"/>
    <x v="4"/>
    <x v="556"/>
    <x v="0"/>
    <x v="0"/>
    <x v="0"/>
    <x v="2"/>
    <x v="524"/>
  </r>
  <r>
    <x v="561"/>
    <x v="35"/>
    <x v="561"/>
    <x v="0"/>
    <x v="0"/>
    <x v="0"/>
    <x v="6"/>
    <x v="557"/>
    <x v="0"/>
    <x v="0"/>
    <x v="0"/>
    <x v="3"/>
    <x v="525"/>
  </r>
  <r>
    <x v="562"/>
    <x v="35"/>
    <x v="562"/>
    <x v="1"/>
    <x v="6"/>
    <x v="56"/>
    <x v="3"/>
    <x v="558"/>
    <x v="0"/>
    <x v="0"/>
    <x v="0"/>
    <x v="4"/>
    <x v="526"/>
  </r>
  <r>
    <x v="563"/>
    <x v="35"/>
    <x v="563"/>
    <x v="4"/>
    <x v="2"/>
    <x v="20"/>
    <x v="7"/>
    <x v="559"/>
    <x v="0"/>
    <x v="0"/>
    <x v="0"/>
    <x v="4"/>
    <x v="527"/>
  </r>
  <r>
    <x v="564"/>
    <x v="35"/>
    <x v="564"/>
    <x v="4"/>
    <x v="0"/>
    <x v="6"/>
    <x v="0"/>
    <x v="560"/>
    <x v="0"/>
    <x v="0"/>
    <x v="0"/>
    <x v="6"/>
    <x v="528"/>
  </r>
  <r>
    <x v="565"/>
    <x v="35"/>
    <x v="565"/>
    <x v="0"/>
    <x v="1"/>
    <x v="28"/>
    <x v="7"/>
    <x v="561"/>
    <x v="0"/>
    <x v="0"/>
    <x v="0"/>
    <x v="6"/>
    <x v="172"/>
  </r>
  <r>
    <x v="566"/>
    <x v="35"/>
    <x v="566"/>
    <x v="3"/>
    <x v="0"/>
    <x v="4"/>
    <x v="1"/>
    <x v="562"/>
    <x v="0"/>
    <x v="0"/>
    <x v="0"/>
    <x v="7"/>
    <x v="529"/>
  </r>
  <r>
    <x v="567"/>
    <x v="35"/>
    <x v="567"/>
    <x v="0"/>
    <x v="6"/>
    <x v="10"/>
    <x v="5"/>
    <x v="563"/>
    <x v="0"/>
    <x v="0"/>
    <x v="0"/>
    <x v="13"/>
    <x v="530"/>
  </r>
  <r>
    <x v="568"/>
    <x v="35"/>
    <x v="568"/>
    <x v="0"/>
    <x v="0"/>
    <x v="0"/>
    <x v="2"/>
    <x v="545"/>
    <x v="0"/>
    <x v="0"/>
    <x v="0"/>
    <x v="13"/>
    <x v="531"/>
  </r>
  <r>
    <x v="569"/>
    <x v="35"/>
    <x v="569"/>
    <x v="0"/>
    <x v="4"/>
    <x v="11"/>
    <x v="8"/>
    <x v="564"/>
    <x v="0"/>
    <x v="0"/>
    <x v="0"/>
    <x v="13"/>
    <x v="532"/>
  </r>
  <r>
    <x v="570"/>
    <x v="35"/>
    <x v="570"/>
    <x v="4"/>
    <x v="0"/>
    <x v="6"/>
    <x v="5"/>
    <x v="545"/>
    <x v="0"/>
    <x v="0"/>
    <x v="0"/>
    <x v="9"/>
    <x v="533"/>
  </r>
  <r>
    <x v="571"/>
    <x v="36"/>
    <x v="571"/>
    <x v="1"/>
    <x v="3"/>
    <x v="57"/>
    <x v="6"/>
    <x v="565"/>
    <x v="0"/>
    <x v="0"/>
    <x v="0"/>
    <x v="0"/>
    <x v="534"/>
  </r>
  <r>
    <x v="572"/>
    <x v="36"/>
    <x v="572"/>
    <x v="6"/>
    <x v="0"/>
    <x v="21"/>
    <x v="4"/>
    <x v="566"/>
    <x v="0"/>
    <x v="0"/>
    <x v="0"/>
    <x v="1"/>
    <x v="535"/>
  </r>
  <r>
    <x v="573"/>
    <x v="36"/>
    <x v="573"/>
    <x v="4"/>
    <x v="1"/>
    <x v="5"/>
    <x v="5"/>
    <x v="545"/>
    <x v="0"/>
    <x v="0"/>
    <x v="0"/>
    <x v="1"/>
    <x v="536"/>
  </r>
  <r>
    <x v="574"/>
    <x v="36"/>
    <x v="574"/>
    <x v="1"/>
    <x v="0"/>
    <x v="24"/>
    <x v="7"/>
    <x v="567"/>
    <x v="0"/>
    <x v="0"/>
    <x v="0"/>
    <x v="1"/>
    <x v="537"/>
  </r>
  <r>
    <x v="575"/>
    <x v="36"/>
    <x v="575"/>
    <x v="3"/>
    <x v="0"/>
    <x v="4"/>
    <x v="5"/>
    <x v="568"/>
    <x v="0"/>
    <x v="0"/>
    <x v="0"/>
    <x v="2"/>
    <x v="538"/>
  </r>
  <r>
    <x v="576"/>
    <x v="36"/>
    <x v="576"/>
    <x v="0"/>
    <x v="4"/>
    <x v="11"/>
    <x v="7"/>
    <x v="569"/>
    <x v="0"/>
    <x v="0"/>
    <x v="0"/>
    <x v="2"/>
    <x v="539"/>
  </r>
  <r>
    <x v="577"/>
    <x v="36"/>
    <x v="577"/>
    <x v="3"/>
    <x v="0"/>
    <x v="4"/>
    <x v="7"/>
    <x v="570"/>
    <x v="0"/>
    <x v="0"/>
    <x v="0"/>
    <x v="2"/>
    <x v="540"/>
  </r>
  <r>
    <x v="578"/>
    <x v="36"/>
    <x v="578"/>
    <x v="0"/>
    <x v="0"/>
    <x v="0"/>
    <x v="2"/>
    <x v="571"/>
    <x v="0"/>
    <x v="0"/>
    <x v="0"/>
    <x v="17"/>
    <x v="541"/>
  </r>
  <r>
    <x v="579"/>
    <x v="36"/>
    <x v="579"/>
    <x v="4"/>
    <x v="0"/>
    <x v="6"/>
    <x v="6"/>
    <x v="572"/>
    <x v="0"/>
    <x v="0"/>
    <x v="0"/>
    <x v="6"/>
    <x v="542"/>
  </r>
  <r>
    <x v="580"/>
    <x v="36"/>
    <x v="580"/>
    <x v="4"/>
    <x v="5"/>
    <x v="9"/>
    <x v="6"/>
    <x v="573"/>
    <x v="0"/>
    <x v="0"/>
    <x v="0"/>
    <x v="6"/>
    <x v="543"/>
  </r>
  <r>
    <x v="581"/>
    <x v="36"/>
    <x v="581"/>
    <x v="4"/>
    <x v="0"/>
    <x v="6"/>
    <x v="0"/>
    <x v="574"/>
    <x v="0"/>
    <x v="0"/>
    <x v="0"/>
    <x v="7"/>
    <x v="544"/>
  </r>
  <r>
    <x v="582"/>
    <x v="36"/>
    <x v="582"/>
    <x v="4"/>
    <x v="10"/>
    <x v="58"/>
    <x v="5"/>
    <x v="575"/>
    <x v="0"/>
    <x v="0"/>
    <x v="0"/>
    <x v="7"/>
    <x v="545"/>
  </r>
  <r>
    <x v="583"/>
    <x v="36"/>
    <x v="583"/>
    <x v="0"/>
    <x v="4"/>
    <x v="11"/>
    <x v="6"/>
    <x v="576"/>
    <x v="0"/>
    <x v="0"/>
    <x v="0"/>
    <x v="9"/>
    <x v="546"/>
  </r>
  <r>
    <x v="584"/>
    <x v="36"/>
    <x v="584"/>
    <x v="3"/>
    <x v="0"/>
    <x v="4"/>
    <x v="4"/>
    <x v="577"/>
    <x v="0"/>
    <x v="0"/>
    <x v="0"/>
    <x v="10"/>
    <x v="547"/>
  </r>
  <r>
    <x v="585"/>
    <x v="36"/>
    <x v="585"/>
    <x v="3"/>
    <x v="2"/>
    <x v="27"/>
    <x v="4"/>
    <x v="578"/>
    <x v="0"/>
    <x v="0"/>
    <x v="0"/>
    <x v="10"/>
    <x v="548"/>
  </r>
  <r>
    <x v="586"/>
    <x v="36"/>
    <x v="586"/>
    <x v="0"/>
    <x v="4"/>
    <x v="11"/>
    <x v="0"/>
    <x v="579"/>
    <x v="0"/>
    <x v="0"/>
    <x v="0"/>
    <x v="14"/>
    <x v="549"/>
  </r>
  <r>
    <x v="587"/>
    <x v="37"/>
    <x v="587"/>
    <x v="5"/>
    <x v="0"/>
    <x v="14"/>
    <x v="2"/>
    <x v="580"/>
    <x v="0"/>
    <x v="0"/>
    <x v="0"/>
    <x v="11"/>
    <x v="550"/>
  </r>
  <r>
    <x v="588"/>
    <x v="37"/>
    <x v="588"/>
    <x v="6"/>
    <x v="3"/>
    <x v="40"/>
    <x v="6"/>
    <x v="581"/>
    <x v="0"/>
    <x v="0"/>
    <x v="0"/>
    <x v="0"/>
    <x v="551"/>
  </r>
  <r>
    <x v="589"/>
    <x v="37"/>
    <x v="589"/>
    <x v="0"/>
    <x v="0"/>
    <x v="0"/>
    <x v="2"/>
    <x v="582"/>
    <x v="0"/>
    <x v="0"/>
    <x v="0"/>
    <x v="0"/>
    <x v="552"/>
  </r>
  <r>
    <x v="590"/>
    <x v="37"/>
    <x v="590"/>
    <x v="0"/>
    <x v="0"/>
    <x v="0"/>
    <x v="2"/>
    <x v="583"/>
    <x v="0"/>
    <x v="0"/>
    <x v="0"/>
    <x v="1"/>
    <x v="553"/>
  </r>
  <r>
    <x v="591"/>
    <x v="37"/>
    <x v="591"/>
    <x v="4"/>
    <x v="10"/>
    <x v="58"/>
    <x v="2"/>
    <x v="545"/>
    <x v="0"/>
    <x v="0"/>
    <x v="0"/>
    <x v="1"/>
    <x v="554"/>
  </r>
  <r>
    <x v="592"/>
    <x v="37"/>
    <x v="592"/>
    <x v="0"/>
    <x v="0"/>
    <x v="0"/>
    <x v="2"/>
    <x v="584"/>
    <x v="0"/>
    <x v="0"/>
    <x v="0"/>
    <x v="3"/>
    <x v="555"/>
  </r>
  <r>
    <x v="593"/>
    <x v="37"/>
    <x v="593"/>
    <x v="2"/>
    <x v="0"/>
    <x v="59"/>
    <x v="4"/>
    <x v="585"/>
    <x v="0"/>
    <x v="0"/>
    <x v="0"/>
    <x v="4"/>
    <x v="556"/>
  </r>
  <r>
    <x v="594"/>
    <x v="37"/>
    <x v="594"/>
    <x v="0"/>
    <x v="0"/>
    <x v="0"/>
    <x v="7"/>
    <x v="586"/>
    <x v="0"/>
    <x v="0"/>
    <x v="0"/>
    <x v="17"/>
    <x v="557"/>
  </r>
  <r>
    <x v="595"/>
    <x v="37"/>
    <x v="595"/>
    <x v="0"/>
    <x v="0"/>
    <x v="0"/>
    <x v="5"/>
    <x v="587"/>
    <x v="0"/>
    <x v="0"/>
    <x v="0"/>
    <x v="6"/>
    <x v="558"/>
  </r>
  <r>
    <x v="596"/>
    <x v="37"/>
    <x v="596"/>
    <x v="0"/>
    <x v="2"/>
    <x v="2"/>
    <x v="5"/>
    <x v="588"/>
    <x v="0"/>
    <x v="0"/>
    <x v="0"/>
    <x v="6"/>
    <x v="559"/>
  </r>
  <r>
    <x v="597"/>
    <x v="37"/>
    <x v="597"/>
    <x v="0"/>
    <x v="0"/>
    <x v="0"/>
    <x v="4"/>
    <x v="589"/>
    <x v="0"/>
    <x v="0"/>
    <x v="0"/>
    <x v="16"/>
    <x v="560"/>
  </r>
  <r>
    <x v="598"/>
    <x v="37"/>
    <x v="598"/>
    <x v="4"/>
    <x v="0"/>
    <x v="6"/>
    <x v="0"/>
    <x v="590"/>
    <x v="0"/>
    <x v="0"/>
    <x v="0"/>
    <x v="18"/>
    <x v="162"/>
  </r>
  <r>
    <x v="599"/>
    <x v="37"/>
    <x v="599"/>
    <x v="3"/>
    <x v="0"/>
    <x v="4"/>
    <x v="5"/>
    <x v="591"/>
    <x v="0"/>
    <x v="0"/>
    <x v="0"/>
    <x v="7"/>
    <x v="561"/>
  </r>
  <r>
    <x v="600"/>
    <x v="37"/>
    <x v="600"/>
    <x v="0"/>
    <x v="2"/>
    <x v="2"/>
    <x v="0"/>
    <x v="592"/>
    <x v="0"/>
    <x v="0"/>
    <x v="0"/>
    <x v="14"/>
    <x v="562"/>
  </r>
  <r>
    <x v="601"/>
    <x v="37"/>
    <x v="601"/>
    <x v="4"/>
    <x v="0"/>
    <x v="6"/>
    <x v="4"/>
    <x v="593"/>
    <x v="0"/>
    <x v="0"/>
    <x v="0"/>
    <x v="15"/>
    <x v="563"/>
  </r>
  <r>
    <x v="602"/>
    <x v="37"/>
    <x v="602"/>
    <x v="4"/>
    <x v="4"/>
    <x v="7"/>
    <x v="4"/>
    <x v="594"/>
    <x v="0"/>
    <x v="0"/>
    <x v="0"/>
    <x v="20"/>
    <x v="564"/>
  </r>
  <r>
    <x v="603"/>
    <x v="38"/>
    <x v="603"/>
    <x v="6"/>
    <x v="0"/>
    <x v="21"/>
    <x v="1"/>
    <x v="595"/>
    <x v="0"/>
    <x v="0"/>
    <x v="0"/>
    <x v="12"/>
    <x v="565"/>
  </r>
  <r>
    <x v="604"/>
    <x v="38"/>
    <x v="604"/>
    <x v="7"/>
    <x v="1"/>
    <x v="60"/>
    <x v="1"/>
    <x v="596"/>
    <x v="0"/>
    <x v="0"/>
    <x v="0"/>
    <x v="0"/>
    <x v="566"/>
  </r>
  <r>
    <x v="605"/>
    <x v="38"/>
    <x v="605"/>
    <x v="4"/>
    <x v="0"/>
    <x v="6"/>
    <x v="7"/>
    <x v="597"/>
    <x v="0"/>
    <x v="0"/>
    <x v="0"/>
    <x v="0"/>
    <x v="567"/>
  </r>
  <r>
    <x v="606"/>
    <x v="38"/>
    <x v="606"/>
    <x v="12"/>
    <x v="1"/>
    <x v="61"/>
    <x v="5"/>
    <x v="598"/>
    <x v="0"/>
    <x v="0"/>
    <x v="0"/>
    <x v="0"/>
    <x v="568"/>
  </r>
  <r>
    <x v="607"/>
    <x v="38"/>
    <x v="607"/>
    <x v="13"/>
    <x v="0"/>
    <x v="62"/>
    <x v="3"/>
    <x v="599"/>
    <x v="0"/>
    <x v="0"/>
    <x v="0"/>
    <x v="0"/>
    <x v="569"/>
  </r>
  <r>
    <x v="608"/>
    <x v="38"/>
    <x v="608"/>
    <x v="3"/>
    <x v="0"/>
    <x v="4"/>
    <x v="7"/>
    <x v="600"/>
    <x v="0"/>
    <x v="0"/>
    <x v="0"/>
    <x v="3"/>
    <x v="570"/>
  </r>
  <r>
    <x v="609"/>
    <x v="38"/>
    <x v="609"/>
    <x v="0"/>
    <x v="4"/>
    <x v="11"/>
    <x v="6"/>
    <x v="601"/>
    <x v="0"/>
    <x v="0"/>
    <x v="0"/>
    <x v="17"/>
    <x v="571"/>
  </r>
  <r>
    <x v="610"/>
    <x v="38"/>
    <x v="610"/>
    <x v="0"/>
    <x v="0"/>
    <x v="0"/>
    <x v="1"/>
    <x v="602"/>
    <x v="0"/>
    <x v="0"/>
    <x v="0"/>
    <x v="5"/>
    <x v="572"/>
  </r>
  <r>
    <x v="611"/>
    <x v="38"/>
    <x v="611"/>
    <x v="0"/>
    <x v="6"/>
    <x v="10"/>
    <x v="5"/>
    <x v="603"/>
    <x v="0"/>
    <x v="0"/>
    <x v="0"/>
    <x v="22"/>
    <x v="573"/>
  </r>
  <r>
    <x v="612"/>
    <x v="38"/>
    <x v="612"/>
    <x v="0"/>
    <x v="0"/>
    <x v="0"/>
    <x v="4"/>
    <x v="604"/>
    <x v="0"/>
    <x v="0"/>
    <x v="0"/>
    <x v="22"/>
    <x v="574"/>
  </r>
  <r>
    <x v="613"/>
    <x v="38"/>
    <x v="613"/>
    <x v="4"/>
    <x v="0"/>
    <x v="6"/>
    <x v="5"/>
    <x v="605"/>
    <x v="0"/>
    <x v="0"/>
    <x v="0"/>
    <x v="7"/>
    <x v="575"/>
  </r>
  <r>
    <x v="614"/>
    <x v="38"/>
    <x v="614"/>
    <x v="0"/>
    <x v="0"/>
    <x v="0"/>
    <x v="7"/>
    <x v="606"/>
    <x v="0"/>
    <x v="0"/>
    <x v="0"/>
    <x v="8"/>
    <x v="576"/>
  </r>
  <r>
    <x v="615"/>
    <x v="38"/>
    <x v="615"/>
    <x v="4"/>
    <x v="1"/>
    <x v="5"/>
    <x v="4"/>
    <x v="607"/>
    <x v="0"/>
    <x v="0"/>
    <x v="0"/>
    <x v="9"/>
    <x v="577"/>
  </r>
  <r>
    <x v="616"/>
    <x v="38"/>
    <x v="616"/>
    <x v="0"/>
    <x v="2"/>
    <x v="2"/>
    <x v="5"/>
    <x v="608"/>
    <x v="0"/>
    <x v="0"/>
    <x v="0"/>
    <x v="9"/>
    <x v="345"/>
  </r>
  <r>
    <x v="617"/>
    <x v="38"/>
    <x v="617"/>
    <x v="4"/>
    <x v="0"/>
    <x v="6"/>
    <x v="4"/>
    <x v="609"/>
    <x v="0"/>
    <x v="0"/>
    <x v="0"/>
    <x v="10"/>
    <x v="578"/>
  </r>
  <r>
    <x v="618"/>
    <x v="38"/>
    <x v="618"/>
    <x v="3"/>
    <x v="0"/>
    <x v="4"/>
    <x v="7"/>
    <x v="610"/>
    <x v="0"/>
    <x v="0"/>
    <x v="0"/>
    <x v="15"/>
    <x v="579"/>
  </r>
  <r>
    <x v="619"/>
    <x v="39"/>
    <x v="619"/>
    <x v="4"/>
    <x v="0"/>
    <x v="6"/>
    <x v="8"/>
    <x v="611"/>
    <x v="0"/>
    <x v="0"/>
    <x v="0"/>
    <x v="12"/>
    <x v="580"/>
  </r>
  <r>
    <x v="620"/>
    <x v="39"/>
    <x v="620"/>
    <x v="6"/>
    <x v="6"/>
    <x v="63"/>
    <x v="3"/>
    <x v="612"/>
    <x v="0"/>
    <x v="0"/>
    <x v="0"/>
    <x v="4"/>
    <x v="581"/>
  </r>
  <r>
    <x v="621"/>
    <x v="39"/>
    <x v="621"/>
    <x v="0"/>
    <x v="0"/>
    <x v="0"/>
    <x v="7"/>
    <x v="545"/>
    <x v="0"/>
    <x v="0"/>
    <x v="0"/>
    <x v="5"/>
    <x v="582"/>
  </r>
  <r>
    <x v="622"/>
    <x v="39"/>
    <x v="622"/>
    <x v="4"/>
    <x v="0"/>
    <x v="6"/>
    <x v="3"/>
    <x v="613"/>
    <x v="0"/>
    <x v="0"/>
    <x v="0"/>
    <x v="22"/>
    <x v="583"/>
  </r>
  <r>
    <x v="623"/>
    <x v="39"/>
    <x v="623"/>
    <x v="3"/>
    <x v="0"/>
    <x v="4"/>
    <x v="2"/>
    <x v="614"/>
    <x v="0"/>
    <x v="0"/>
    <x v="0"/>
    <x v="7"/>
    <x v="584"/>
  </r>
  <r>
    <x v="624"/>
    <x v="39"/>
    <x v="624"/>
    <x v="0"/>
    <x v="0"/>
    <x v="0"/>
    <x v="7"/>
    <x v="615"/>
    <x v="0"/>
    <x v="0"/>
    <x v="0"/>
    <x v="7"/>
    <x v="585"/>
  </r>
  <r>
    <x v="625"/>
    <x v="39"/>
    <x v="625"/>
    <x v="0"/>
    <x v="0"/>
    <x v="0"/>
    <x v="6"/>
    <x v="545"/>
    <x v="0"/>
    <x v="0"/>
    <x v="0"/>
    <x v="13"/>
    <x v="586"/>
  </r>
  <r>
    <x v="626"/>
    <x v="39"/>
    <x v="626"/>
    <x v="0"/>
    <x v="0"/>
    <x v="0"/>
    <x v="5"/>
    <x v="616"/>
    <x v="0"/>
    <x v="0"/>
    <x v="0"/>
    <x v="13"/>
    <x v="587"/>
  </r>
  <r>
    <x v="627"/>
    <x v="39"/>
    <x v="627"/>
    <x v="4"/>
    <x v="0"/>
    <x v="6"/>
    <x v="6"/>
    <x v="617"/>
    <x v="0"/>
    <x v="0"/>
    <x v="0"/>
    <x v="13"/>
    <x v="588"/>
  </r>
  <r>
    <x v="628"/>
    <x v="39"/>
    <x v="628"/>
    <x v="4"/>
    <x v="0"/>
    <x v="6"/>
    <x v="3"/>
    <x v="618"/>
    <x v="0"/>
    <x v="0"/>
    <x v="0"/>
    <x v="9"/>
    <x v="589"/>
  </r>
  <r>
    <x v="629"/>
    <x v="39"/>
    <x v="629"/>
    <x v="0"/>
    <x v="0"/>
    <x v="0"/>
    <x v="7"/>
    <x v="619"/>
    <x v="0"/>
    <x v="0"/>
    <x v="0"/>
    <x v="10"/>
    <x v="37"/>
  </r>
  <r>
    <x v="630"/>
    <x v="39"/>
    <x v="630"/>
    <x v="0"/>
    <x v="1"/>
    <x v="28"/>
    <x v="2"/>
    <x v="620"/>
    <x v="0"/>
    <x v="0"/>
    <x v="0"/>
    <x v="14"/>
    <x v="590"/>
  </r>
  <r>
    <x v="631"/>
    <x v="40"/>
    <x v="631"/>
    <x v="1"/>
    <x v="4"/>
    <x v="35"/>
    <x v="6"/>
    <x v="621"/>
    <x v="0"/>
    <x v="0"/>
    <x v="0"/>
    <x v="12"/>
    <x v="591"/>
  </r>
  <r>
    <x v="632"/>
    <x v="40"/>
    <x v="632"/>
    <x v="3"/>
    <x v="0"/>
    <x v="4"/>
    <x v="7"/>
    <x v="622"/>
    <x v="0"/>
    <x v="0"/>
    <x v="0"/>
    <x v="0"/>
    <x v="592"/>
  </r>
  <r>
    <x v="633"/>
    <x v="40"/>
    <x v="633"/>
    <x v="0"/>
    <x v="3"/>
    <x v="47"/>
    <x v="4"/>
    <x v="623"/>
    <x v="0"/>
    <x v="0"/>
    <x v="0"/>
    <x v="0"/>
    <x v="593"/>
  </r>
  <r>
    <x v="634"/>
    <x v="40"/>
    <x v="634"/>
    <x v="3"/>
    <x v="5"/>
    <x v="8"/>
    <x v="1"/>
    <x v="624"/>
    <x v="0"/>
    <x v="0"/>
    <x v="0"/>
    <x v="2"/>
    <x v="594"/>
  </r>
  <r>
    <x v="635"/>
    <x v="40"/>
    <x v="635"/>
    <x v="3"/>
    <x v="0"/>
    <x v="4"/>
    <x v="4"/>
    <x v="625"/>
    <x v="0"/>
    <x v="0"/>
    <x v="0"/>
    <x v="2"/>
    <x v="595"/>
  </r>
  <r>
    <x v="636"/>
    <x v="40"/>
    <x v="636"/>
    <x v="0"/>
    <x v="0"/>
    <x v="0"/>
    <x v="9"/>
    <x v="626"/>
    <x v="0"/>
    <x v="0"/>
    <x v="0"/>
    <x v="5"/>
    <x v="596"/>
  </r>
  <r>
    <x v="637"/>
    <x v="40"/>
    <x v="637"/>
    <x v="0"/>
    <x v="0"/>
    <x v="0"/>
    <x v="1"/>
    <x v="627"/>
    <x v="0"/>
    <x v="0"/>
    <x v="0"/>
    <x v="5"/>
    <x v="597"/>
  </r>
  <r>
    <x v="638"/>
    <x v="40"/>
    <x v="638"/>
    <x v="0"/>
    <x v="0"/>
    <x v="0"/>
    <x v="7"/>
    <x v="628"/>
    <x v="0"/>
    <x v="0"/>
    <x v="0"/>
    <x v="5"/>
    <x v="598"/>
  </r>
  <r>
    <x v="639"/>
    <x v="40"/>
    <x v="639"/>
    <x v="0"/>
    <x v="0"/>
    <x v="0"/>
    <x v="14"/>
    <x v="629"/>
    <x v="0"/>
    <x v="0"/>
    <x v="0"/>
    <x v="5"/>
    <x v="599"/>
  </r>
  <r>
    <x v="640"/>
    <x v="40"/>
    <x v="640"/>
    <x v="3"/>
    <x v="0"/>
    <x v="4"/>
    <x v="5"/>
    <x v="630"/>
    <x v="0"/>
    <x v="0"/>
    <x v="0"/>
    <x v="5"/>
    <x v="600"/>
  </r>
  <r>
    <x v="641"/>
    <x v="40"/>
    <x v="641"/>
    <x v="0"/>
    <x v="6"/>
    <x v="10"/>
    <x v="8"/>
    <x v="631"/>
    <x v="0"/>
    <x v="0"/>
    <x v="0"/>
    <x v="22"/>
    <x v="601"/>
  </r>
  <r>
    <x v="642"/>
    <x v="40"/>
    <x v="642"/>
    <x v="4"/>
    <x v="2"/>
    <x v="20"/>
    <x v="7"/>
    <x v="632"/>
    <x v="0"/>
    <x v="0"/>
    <x v="0"/>
    <x v="6"/>
    <x v="602"/>
  </r>
  <r>
    <x v="643"/>
    <x v="40"/>
    <x v="643"/>
    <x v="3"/>
    <x v="0"/>
    <x v="4"/>
    <x v="4"/>
    <x v="633"/>
    <x v="0"/>
    <x v="0"/>
    <x v="0"/>
    <x v="6"/>
    <x v="603"/>
  </r>
  <r>
    <x v="644"/>
    <x v="40"/>
    <x v="644"/>
    <x v="0"/>
    <x v="14"/>
    <x v="64"/>
    <x v="4"/>
    <x v="634"/>
    <x v="0"/>
    <x v="0"/>
    <x v="0"/>
    <x v="16"/>
    <x v="604"/>
  </r>
  <r>
    <x v="645"/>
    <x v="40"/>
    <x v="645"/>
    <x v="4"/>
    <x v="0"/>
    <x v="6"/>
    <x v="5"/>
    <x v="635"/>
    <x v="0"/>
    <x v="0"/>
    <x v="0"/>
    <x v="7"/>
    <x v="605"/>
  </r>
  <r>
    <x v="646"/>
    <x v="40"/>
    <x v="646"/>
    <x v="3"/>
    <x v="0"/>
    <x v="4"/>
    <x v="4"/>
    <x v="636"/>
    <x v="0"/>
    <x v="0"/>
    <x v="0"/>
    <x v="7"/>
    <x v="86"/>
  </r>
  <r>
    <x v="647"/>
    <x v="40"/>
    <x v="647"/>
    <x v="0"/>
    <x v="0"/>
    <x v="0"/>
    <x v="1"/>
    <x v="637"/>
    <x v="0"/>
    <x v="0"/>
    <x v="0"/>
    <x v="7"/>
    <x v="606"/>
  </r>
  <r>
    <x v="648"/>
    <x v="40"/>
    <x v="648"/>
    <x v="0"/>
    <x v="2"/>
    <x v="2"/>
    <x v="5"/>
    <x v="638"/>
    <x v="0"/>
    <x v="0"/>
    <x v="0"/>
    <x v="13"/>
    <x v="607"/>
  </r>
  <r>
    <x v="649"/>
    <x v="40"/>
    <x v="649"/>
    <x v="4"/>
    <x v="0"/>
    <x v="6"/>
    <x v="7"/>
    <x v="639"/>
    <x v="0"/>
    <x v="0"/>
    <x v="0"/>
    <x v="9"/>
    <x v="608"/>
  </r>
  <r>
    <x v="650"/>
    <x v="40"/>
    <x v="650"/>
    <x v="3"/>
    <x v="0"/>
    <x v="4"/>
    <x v="1"/>
    <x v="640"/>
    <x v="0"/>
    <x v="0"/>
    <x v="0"/>
    <x v="9"/>
    <x v="609"/>
  </r>
  <r>
    <x v="651"/>
    <x v="40"/>
    <x v="651"/>
    <x v="4"/>
    <x v="0"/>
    <x v="6"/>
    <x v="4"/>
    <x v="641"/>
    <x v="0"/>
    <x v="0"/>
    <x v="0"/>
    <x v="9"/>
    <x v="610"/>
  </r>
  <r>
    <x v="652"/>
    <x v="40"/>
    <x v="652"/>
    <x v="0"/>
    <x v="4"/>
    <x v="11"/>
    <x v="3"/>
    <x v="642"/>
    <x v="0"/>
    <x v="0"/>
    <x v="0"/>
    <x v="10"/>
    <x v="611"/>
  </r>
  <r>
    <x v="653"/>
    <x v="40"/>
    <x v="653"/>
    <x v="0"/>
    <x v="0"/>
    <x v="0"/>
    <x v="7"/>
    <x v="643"/>
    <x v="0"/>
    <x v="0"/>
    <x v="0"/>
    <x v="10"/>
    <x v="612"/>
  </r>
  <r>
    <x v="654"/>
    <x v="40"/>
    <x v="654"/>
    <x v="0"/>
    <x v="4"/>
    <x v="11"/>
    <x v="5"/>
    <x v="644"/>
    <x v="0"/>
    <x v="0"/>
    <x v="0"/>
    <x v="14"/>
    <x v="613"/>
  </r>
  <r>
    <x v="655"/>
    <x v="41"/>
    <x v="655"/>
    <x v="0"/>
    <x v="5"/>
    <x v="25"/>
    <x v="5"/>
    <x v="645"/>
    <x v="0"/>
    <x v="0"/>
    <x v="0"/>
    <x v="11"/>
    <x v="407"/>
  </r>
  <r>
    <x v="656"/>
    <x v="41"/>
    <x v="656"/>
    <x v="6"/>
    <x v="3"/>
    <x v="40"/>
    <x v="6"/>
    <x v="646"/>
    <x v="0"/>
    <x v="0"/>
    <x v="0"/>
    <x v="12"/>
    <x v="614"/>
  </r>
  <r>
    <x v="657"/>
    <x v="41"/>
    <x v="657"/>
    <x v="3"/>
    <x v="5"/>
    <x v="8"/>
    <x v="2"/>
    <x v="647"/>
    <x v="0"/>
    <x v="0"/>
    <x v="0"/>
    <x v="0"/>
    <x v="615"/>
  </r>
  <r>
    <x v="658"/>
    <x v="41"/>
    <x v="658"/>
    <x v="0"/>
    <x v="0"/>
    <x v="0"/>
    <x v="6"/>
    <x v="648"/>
    <x v="0"/>
    <x v="0"/>
    <x v="0"/>
    <x v="0"/>
    <x v="32"/>
  </r>
  <r>
    <x v="659"/>
    <x v="41"/>
    <x v="659"/>
    <x v="4"/>
    <x v="0"/>
    <x v="6"/>
    <x v="1"/>
    <x v="649"/>
    <x v="0"/>
    <x v="0"/>
    <x v="0"/>
    <x v="1"/>
    <x v="616"/>
  </r>
  <r>
    <x v="660"/>
    <x v="41"/>
    <x v="660"/>
    <x v="4"/>
    <x v="0"/>
    <x v="6"/>
    <x v="5"/>
    <x v="650"/>
    <x v="0"/>
    <x v="0"/>
    <x v="0"/>
    <x v="3"/>
    <x v="617"/>
  </r>
  <r>
    <x v="661"/>
    <x v="41"/>
    <x v="661"/>
    <x v="0"/>
    <x v="2"/>
    <x v="2"/>
    <x v="5"/>
    <x v="651"/>
    <x v="0"/>
    <x v="0"/>
    <x v="0"/>
    <x v="3"/>
    <x v="618"/>
  </r>
  <r>
    <x v="662"/>
    <x v="41"/>
    <x v="662"/>
    <x v="0"/>
    <x v="1"/>
    <x v="28"/>
    <x v="7"/>
    <x v="652"/>
    <x v="0"/>
    <x v="0"/>
    <x v="0"/>
    <x v="17"/>
    <x v="619"/>
  </r>
  <r>
    <x v="663"/>
    <x v="41"/>
    <x v="663"/>
    <x v="10"/>
    <x v="1"/>
    <x v="65"/>
    <x v="2"/>
    <x v="653"/>
    <x v="0"/>
    <x v="0"/>
    <x v="0"/>
    <x v="17"/>
    <x v="620"/>
  </r>
  <r>
    <x v="664"/>
    <x v="41"/>
    <x v="664"/>
    <x v="0"/>
    <x v="0"/>
    <x v="0"/>
    <x v="1"/>
    <x v="654"/>
    <x v="0"/>
    <x v="0"/>
    <x v="0"/>
    <x v="5"/>
    <x v="621"/>
  </r>
  <r>
    <x v="665"/>
    <x v="41"/>
    <x v="665"/>
    <x v="0"/>
    <x v="0"/>
    <x v="0"/>
    <x v="9"/>
    <x v="655"/>
    <x v="0"/>
    <x v="0"/>
    <x v="0"/>
    <x v="5"/>
    <x v="622"/>
  </r>
  <r>
    <x v="666"/>
    <x v="41"/>
    <x v="666"/>
    <x v="0"/>
    <x v="0"/>
    <x v="0"/>
    <x v="7"/>
    <x v="656"/>
    <x v="0"/>
    <x v="0"/>
    <x v="0"/>
    <x v="22"/>
    <x v="623"/>
  </r>
  <r>
    <x v="667"/>
    <x v="41"/>
    <x v="667"/>
    <x v="0"/>
    <x v="0"/>
    <x v="0"/>
    <x v="6"/>
    <x v="657"/>
    <x v="0"/>
    <x v="0"/>
    <x v="0"/>
    <x v="6"/>
    <x v="624"/>
  </r>
  <r>
    <x v="668"/>
    <x v="41"/>
    <x v="668"/>
    <x v="3"/>
    <x v="5"/>
    <x v="8"/>
    <x v="1"/>
    <x v="658"/>
    <x v="0"/>
    <x v="0"/>
    <x v="0"/>
    <x v="7"/>
    <x v="625"/>
  </r>
  <r>
    <x v="669"/>
    <x v="41"/>
    <x v="669"/>
    <x v="3"/>
    <x v="0"/>
    <x v="4"/>
    <x v="5"/>
    <x v="659"/>
    <x v="0"/>
    <x v="0"/>
    <x v="0"/>
    <x v="9"/>
    <x v="626"/>
  </r>
  <r>
    <x v="670"/>
    <x v="41"/>
    <x v="670"/>
    <x v="4"/>
    <x v="4"/>
    <x v="7"/>
    <x v="5"/>
    <x v="660"/>
    <x v="0"/>
    <x v="0"/>
    <x v="0"/>
    <x v="9"/>
    <x v="627"/>
  </r>
  <r>
    <x v="671"/>
    <x v="41"/>
    <x v="671"/>
    <x v="4"/>
    <x v="0"/>
    <x v="6"/>
    <x v="7"/>
    <x v="661"/>
    <x v="0"/>
    <x v="0"/>
    <x v="0"/>
    <x v="10"/>
    <x v="628"/>
  </r>
  <r>
    <x v="672"/>
    <x v="42"/>
    <x v="672"/>
    <x v="4"/>
    <x v="0"/>
    <x v="6"/>
    <x v="4"/>
    <x v="662"/>
    <x v="0"/>
    <x v="0"/>
    <x v="0"/>
    <x v="0"/>
    <x v="629"/>
  </r>
  <r>
    <x v="673"/>
    <x v="42"/>
    <x v="673"/>
    <x v="0"/>
    <x v="0"/>
    <x v="0"/>
    <x v="0"/>
    <x v="663"/>
    <x v="0"/>
    <x v="0"/>
    <x v="0"/>
    <x v="0"/>
    <x v="630"/>
  </r>
  <r>
    <x v="674"/>
    <x v="42"/>
    <x v="674"/>
    <x v="0"/>
    <x v="0"/>
    <x v="0"/>
    <x v="7"/>
    <x v="664"/>
    <x v="0"/>
    <x v="0"/>
    <x v="0"/>
    <x v="1"/>
    <x v="631"/>
  </r>
  <r>
    <x v="675"/>
    <x v="42"/>
    <x v="675"/>
    <x v="4"/>
    <x v="0"/>
    <x v="6"/>
    <x v="0"/>
    <x v="665"/>
    <x v="0"/>
    <x v="0"/>
    <x v="0"/>
    <x v="1"/>
    <x v="632"/>
  </r>
  <r>
    <x v="676"/>
    <x v="42"/>
    <x v="676"/>
    <x v="4"/>
    <x v="0"/>
    <x v="6"/>
    <x v="4"/>
    <x v="666"/>
    <x v="0"/>
    <x v="0"/>
    <x v="0"/>
    <x v="2"/>
    <x v="633"/>
  </r>
  <r>
    <x v="677"/>
    <x v="42"/>
    <x v="677"/>
    <x v="1"/>
    <x v="4"/>
    <x v="35"/>
    <x v="6"/>
    <x v="667"/>
    <x v="0"/>
    <x v="0"/>
    <x v="0"/>
    <x v="3"/>
    <x v="634"/>
  </r>
  <r>
    <x v="678"/>
    <x v="42"/>
    <x v="678"/>
    <x v="4"/>
    <x v="0"/>
    <x v="6"/>
    <x v="5"/>
    <x v="668"/>
    <x v="0"/>
    <x v="0"/>
    <x v="0"/>
    <x v="5"/>
    <x v="635"/>
  </r>
  <r>
    <x v="679"/>
    <x v="42"/>
    <x v="679"/>
    <x v="0"/>
    <x v="0"/>
    <x v="0"/>
    <x v="6"/>
    <x v="669"/>
    <x v="0"/>
    <x v="0"/>
    <x v="0"/>
    <x v="5"/>
    <x v="636"/>
  </r>
  <r>
    <x v="680"/>
    <x v="42"/>
    <x v="680"/>
    <x v="4"/>
    <x v="1"/>
    <x v="5"/>
    <x v="5"/>
    <x v="670"/>
    <x v="0"/>
    <x v="0"/>
    <x v="0"/>
    <x v="22"/>
    <x v="637"/>
  </r>
  <r>
    <x v="681"/>
    <x v="42"/>
    <x v="681"/>
    <x v="0"/>
    <x v="2"/>
    <x v="2"/>
    <x v="5"/>
    <x v="671"/>
    <x v="0"/>
    <x v="0"/>
    <x v="0"/>
    <x v="6"/>
    <x v="638"/>
  </r>
  <r>
    <x v="682"/>
    <x v="42"/>
    <x v="682"/>
    <x v="0"/>
    <x v="2"/>
    <x v="2"/>
    <x v="4"/>
    <x v="672"/>
    <x v="0"/>
    <x v="0"/>
    <x v="0"/>
    <x v="18"/>
    <x v="140"/>
  </r>
  <r>
    <x v="683"/>
    <x v="42"/>
    <x v="683"/>
    <x v="0"/>
    <x v="0"/>
    <x v="0"/>
    <x v="2"/>
    <x v="673"/>
    <x v="0"/>
    <x v="0"/>
    <x v="0"/>
    <x v="7"/>
    <x v="639"/>
  </r>
  <r>
    <x v="684"/>
    <x v="42"/>
    <x v="684"/>
    <x v="3"/>
    <x v="0"/>
    <x v="4"/>
    <x v="2"/>
    <x v="674"/>
    <x v="0"/>
    <x v="0"/>
    <x v="0"/>
    <x v="7"/>
    <x v="640"/>
  </r>
  <r>
    <x v="685"/>
    <x v="42"/>
    <x v="685"/>
    <x v="3"/>
    <x v="0"/>
    <x v="4"/>
    <x v="0"/>
    <x v="675"/>
    <x v="0"/>
    <x v="0"/>
    <x v="0"/>
    <x v="13"/>
    <x v="641"/>
  </r>
  <r>
    <x v="686"/>
    <x v="42"/>
    <x v="686"/>
    <x v="0"/>
    <x v="0"/>
    <x v="0"/>
    <x v="5"/>
    <x v="676"/>
    <x v="0"/>
    <x v="0"/>
    <x v="0"/>
    <x v="13"/>
    <x v="642"/>
  </r>
  <r>
    <x v="687"/>
    <x v="42"/>
    <x v="687"/>
    <x v="0"/>
    <x v="8"/>
    <x v="22"/>
    <x v="3"/>
    <x v="677"/>
    <x v="0"/>
    <x v="0"/>
    <x v="0"/>
    <x v="9"/>
    <x v="643"/>
  </r>
  <r>
    <x v="688"/>
    <x v="42"/>
    <x v="688"/>
    <x v="4"/>
    <x v="0"/>
    <x v="6"/>
    <x v="7"/>
    <x v="678"/>
    <x v="0"/>
    <x v="0"/>
    <x v="0"/>
    <x v="9"/>
    <x v="644"/>
  </r>
  <r>
    <x v="689"/>
    <x v="43"/>
    <x v="689"/>
    <x v="6"/>
    <x v="0"/>
    <x v="21"/>
    <x v="6"/>
    <x v="679"/>
    <x v="0"/>
    <x v="0"/>
    <x v="0"/>
    <x v="11"/>
    <x v="645"/>
  </r>
  <r>
    <x v="690"/>
    <x v="43"/>
    <x v="690"/>
    <x v="5"/>
    <x v="0"/>
    <x v="14"/>
    <x v="5"/>
    <x v="680"/>
    <x v="0"/>
    <x v="0"/>
    <x v="0"/>
    <x v="11"/>
    <x v="646"/>
  </r>
  <r>
    <x v="691"/>
    <x v="43"/>
    <x v="691"/>
    <x v="3"/>
    <x v="0"/>
    <x v="4"/>
    <x v="4"/>
    <x v="681"/>
    <x v="0"/>
    <x v="0"/>
    <x v="0"/>
    <x v="0"/>
    <x v="647"/>
  </r>
  <r>
    <x v="692"/>
    <x v="43"/>
    <x v="692"/>
    <x v="1"/>
    <x v="0"/>
    <x v="24"/>
    <x v="6"/>
    <x v="682"/>
    <x v="0"/>
    <x v="0"/>
    <x v="0"/>
    <x v="0"/>
    <x v="648"/>
  </r>
  <r>
    <x v="693"/>
    <x v="43"/>
    <x v="693"/>
    <x v="0"/>
    <x v="0"/>
    <x v="0"/>
    <x v="4"/>
    <x v="683"/>
    <x v="0"/>
    <x v="0"/>
    <x v="0"/>
    <x v="1"/>
    <x v="649"/>
  </r>
  <r>
    <x v="694"/>
    <x v="43"/>
    <x v="694"/>
    <x v="3"/>
    <x v="0"/>
    <x v="4"/>
    <x v="3"/>
    <x v="684"/>
    <x v="0"/>
    <x v="0"/>
    <x v="0"/>
    <x v="2"/>
    <x v="650"/>
  </r>
  <r>
    <x v="695"/>
    <x v="43"/>
    <x v="695"/>
    <x v="3"/>
    <x v="0"/>
    <x v="4"/>
    <x v="3"/>
    <x v="685"/>
    <x v="0"/>
    <x v="0"/>
    <x v="0"/>
    <x v="2"/>
    <x v="651"/>
  </r>
  <r>
    <x v="696"/>
    <x v="43"/>
    <x v="696"/>
    <x v="0"/>
    <x v="0"/>
    <x v="0"/>
    <x v="4"/>
    <x v="686"/>
    <x v="0"/>
    <x v="0"/>
    <x v="0"/>
    <x v="3"/>
    <x v="652"/>
  </r>
  <r>
    <x v="697"/>
    <x v="43"/>
    <x v="697"/>
    <x v="0"/>
    <x v="0"/>
    <x v="0"/>
    <x v="4"/>
    <x v="687"/>
    <x v="0"/>
    <x v="0"/>
    <x v="0"/>
    <x v="5"/>
    <x v="190"/>
  </r>
  <r>
    <x v="698"/>
    <x v="43"/>
    <x v="698"/>
    <x v="0"/>
    <x v="5"/>
    <x v="25"/>
    <x v="4"/>
    <x v="688"/>
    <x v="0"/>
    <x v="0"/>
    <x v="0"/>
    <x v="22"/>
    <x v="653"/>
  </r>
  <r>
    <x v="699"/>
    <x v="43"/>
    <x v="699"/>
    <x v="4"/>
    <x v="5"/>
    <x v="9"/>
    <x v="7"/>
    <x v="689"/>
    <x v="0"/>
    <x v="0"/>
    <x v="0"/>
    <x v="6"/>
    <x v="654"/>
  </r>
  <r>
    <x v="700"/>
    <x v="43"/>
    <x v="700"/>
    <x v="4"/>
    <x v="0"/>
    <x v="6"/>
    <x v="6"/>
    <x v="690"/>
    <x v="0"/>
    <x v="0"/>
    <x v="0"/>
    <x v="6"/>
    <x v="655"/>
  </r>
  <r>
    <x v="701"/>
    <x v="43"/>
    <x v="701"/>
    <x v="3"/>
    <x v="0"/>
    <x v="4"/>
    <x v="2"/>
    <x v="691"/>
    <x v="0"/>
    <x v="0"/>
    <x v="0"/>
    <x v="6"/>
    <x v="656"/>
  </r>
  <r>
    <x v="702"/>
    <x v="43"/>
    <x v="702"/>
    <x v="3"/>
    <x v="2"/>
    <x v="27"/>
    <x v="5"/>
    <x v="692"/>
    <x v="0"/>
    <x v="0"/>
    <x v="0"/>
    <x v="7"/>
    <x v="136"/>
  </r>
  <r>
    <x v="703"/>
    <x v="43"/>
    <x v="703"/>
    <x v="4"/>
    <x v="6"/>
    <x v="12"/>
    <x v="8"/>
    <x v="693"/>
    <x v="0"/>
    <x v="0"/>
    <x v="0"/>
    <x v="9"/>
    <x v="657"/>
  </r>
  <r>
    <x v="704"/>
    <x v="43"/>
    <x v="704"/>
    <x v="4"/>
    <x v="4"/>
    <x v="7"/>
    <x v="5"/>
    <x v="694"/>
    <x v="0"/>
    <x v="0"/>
    <x v="0"/>
    <x v="10"/>
    <x v="658"/>
  </r>
  <r>
    <x v="705"/>
    <x v="43"/>
    <x v="705"/>
    <x v="4"/>
    <x v="4"/>
    <x v="7"/>
    <x v="7"/>
    <x v="695"/>
    <x v="0"/>
    <x v="0"/>
    <x v="0"/>
    <x v="14"/>
    <x v="659"/>
  </r>
  <r>
    <x v="706"/>
    <x v="43"/>
    <x v="706"/>
    <x v="0"/>
    <x v="0"/>
    <x v="0"/>
    <x v="7"/>
    <x v="696"/>
    <x v="0"/>
    <x v="0"/>
    <x v="0"/>
    <x v="15"/>
    <x v="660"/>
  </r>
  <r>
    <x v="707"/>
    <x v="44"/>
    <x v="707"/>
    <x v="3"/>
    <x v="0"/>
    <x v="4"/>
    <x v="7"/>
    <x v="697"/>
    <x v="0"/>
    <x v="0"/>
    <x v="0"/>
    <x v="11"/>
    <x v="661"/>
  </r>
  <r>
    <x v="708"/>
    <x v="44"/>
    <x v="708"/>
    <x v="6"/>
    <x v="0"/>
    <x v="21"/>
    <x v="6"/>
    <x v="698"/>
    <x v="0"/>
    <x v="0"/>
    <x v="0"/>
    <x v="11"/>
    <x v="662"/>
  </r>
  <r>
    <x v="709"/>
    <x v="44"/>
    <x v="709"/>
    <x v="5"/>
    <x v="1"/>
    <x v="23"/>
    <x v="4"/>
    <x v="699"/>
    <x v="0"/>
    <x v="0"/>
    <x v="0"/>
    <x v="11"/>
    <x v="663"/>
  </r>
  <r>
    <x v="710"/>
    <x v="44"/>
    <x v="710"/>
    <x v="6"/>
    <x v="5"/>
    <x v="43"/>
    <x v="6"/>
    <x v="385"/>
    <x v="0"/>
    <x v="11"/>
    <x v="0"/>
    <x v="0"/>
    <x v="664"/>
  </r>
  <r>
    <x v="711"/>
    <x v="44"/>
    <x v="711"/>
    <x v="1"/>
    <x v="0"/>
    <x v="24"/>
    <x v="7"/>
    <x v="700"/>
    <x v="0"/>
    <x v="0"/>
    <x v="0"/>
    <x v="0"/>
    <x v="665"/>
  </r>
  <r>
    <x v="712"/>
    <x v="44"/>
    <x v="712"/>
    <x v="6"/>
    <x v="2"/>
    <x v="44"/>
    <x v="7"/>
    <x v="701"/>
    <x v="0"/>
    <x v="0"/>
    <x v="0"/>
    <x v="1"/>
    <x v="666"/>
  </r>
  <r>
    <x v="713"/>
    <x v="44"/>
    <x v="713"/>
    <x v="1"/>
    <x v="0"/>
    <x v="24"/>
    <x v="7"/>
    <x v="702"/>
    <x v="0"/>
    <x v="0"/>
    <x v="0"/>
    <x v="1"/>
    <x v="667"/>
  </r>
  <r>
    <x v="714"/>
    <x v="44"/>
    <x v="714"/>
    <x v="0"/>
    <x v="0"/>
    <x v="0"/>
    <x v="7"/>
    <x v="703"/>
    <x v="0"/>
    <x v="0"/>
    <x v="0"/>
    <x v="2"/>
    <x v="668"/>
  </r>
  <r>
    <x v="715"/>
    <x v="44"/>
    <x v="715"/>
    <x v="8"/>
    <x v="0"/>
    <x v="51"/>
    <x v="2"/>
    <x v="704"/>
    <x v="0"/>
    <x v="0"/>
    <x v="0"/>
    <x v="3"/>
    <x v="669"/>
  </r>
  <r>
    <x v="716"/>
    <x v="44"/>
    <x v="716"/>
    <x v="6"/>
    <x v="6"/>
    <x v="63"/>
    <x v="4"/>
    <x v="705"/>
    <x v="0"/>
    <x v="0"/>
    <x v="0"/>
    <x v="3"/>
    <x v="670"/>
  </r>
  <r>
    <x v="717"/>
    <x v="44"/>
    <x v="717"/>
    <x v="0"/>
    <x v="4"/>
    <x v="11"/>
    <x v="4"/>
    <x v="545"/>
    <x v="0"/>
    <x v="0"/>
    <x v="0"/>
    <x v="3"/>
    <x v="671"/>
  </r>
  <r>
    <x v="718"/>
    <x v="44"/>
    <x v="718"/>
    <x v="6"/>
    <x v="6"/>
    <x v="63"/>
    <x v="4"/>
    <x v="706"/>
    <x v="0"/>
    <x v="0"/>
    <x v="0"/>
    <x v="4"/>
    <x v="672"/>
  </r>
  <r>
    <x v="719"/>
    <x v="44"/>
    <x v="719"/>
    <x v="0"/>
    <x v="0"/>
    <x v="0"/>
    <x v="2"/>
    <x v="545"/>
    <x v="0"/>
    <x v="0"/>
    <x v="0"/>
    <x v="5"/>
    <x v="673"/>
  </r>
  <r>
    <x v="720"/>
    <x v="44"/>
    <x v="720"/>
    <x v="0"/>
    <x v="0"/>
    <x v="0"/>
    <x v="1"/>
    <x v="545"/>
    <x v="0"/>
    <x v="0"/>
    <x v="0"/>
    <x v="5"/>
    <x v="674"/>
  </r>
  <r>
    <x v="721"/>
    <x v="44"/>
    <x v="721"/>
    <x v="0"/>
    <x v="1"/>
    <x v="28"/>
    <x v="7"/>
    <x v="707"/>
    <x v="0"/>
    <x v="0"/>
    <x v="0"/>
    <x v="7"/>
    <x v="675"/>
  </r>
  <r>
    <x v="722"/>
    <x v="44"/>
    <x v="722"/>
    <x v="3"/>
    <x v="0"/>
    <x v="4"/>
    <x v="2"/>
    <x v="708"/>
    <x v="0"/>
    <x v="0"/>
    <x v="0"/>
    <x v="7"/>
    <x v="676"/>
  </r>
  <r>
    <x v="723"/>
    <x v="44"/>
    <x v="723"/>
    <x v="4"/>
    <x v="0"/>
    <x v="6"/>
    <x v="5"/>
    <x v="709"/>
    <x v="0"/>
    <x v="0"/>
    <x v="0"/>
    <x v="13"/>
    <x v="677"/>
  </r>
  <r>
    <x v="724"/>
    <x v="44"/>
    <x v="724"/>
    <x v="3"/>
    <x v="4"/>
    <x v="16"/>
    <x v="3"/>
    <x v="710"/>
    <x v="0"/>
    <x v="0"/>
    <x v="0"/>
    <x v="9"/>
    <x v="678"/>
  </r>
  <r>
    <x v="725"/>
    <x v="44"/>
    <x v="725"/>
    <x v="4"/>
    <x v="8"/>
    <x v="66"/>
    <x v="3"/>
    <x v="545"/>
    <x v="0"/>
    <x v="0"/>
    <x v="0"/>
    <x v="9"/>
    <x v="679"/>
  </r>
  <r>
    <x v="726"/>
    <x v="44"/>
    <x v="726"/>
    <x v="4"/>
    <x v="6"/>
    <x v="12"/>
    <x v="6"/>
    <x v="711"/>
    <x v="0"/>
    <x v="0"/>
    <x v="0"/>
    <x v="9"/>
    <x v="680"/>
  </r>
  <r>
    <x v="727"/>
    <x v="44"/>
    <x v="727"/>
    <x v="0"/>
    <x v="0"/>
    <x v="0"/>
    <x v="1"/>
    <x v="712"/>
    <x v="0"/>
    <x v="0"/>
    <x v="0"/>
    <x v="9"/>
    <x v="681"/>
  </r>
  <r>
    <x v="728"/>
    <x v="45"/>
    <x v="728"/>
    <x v="0"/>
    <x v="0"/>
    <x v="0"/>
    <x v="4"/>
    <x v="713"/>
    <x v="0"/>
    <x v="0"/>
    <x v="0"/>
    <x v="11"/>
    <x v="682"/>
  </r>
  <r>
    <x v="729"/>
    <x v="45"/>
    <x v="729"/>
    <x v="0"/>
    <x v="5"/>
    <x v="25"/>
    <x v="4"/>
    <x v="714"/>
    <x v="0"/>
    <x v="0"/>
    <x v="0"/>
    <x v="11"/>
    <x v="683"/>
  </r>
  <r>
    <x v="730"/>
    <x v="45"/>
    <x v="730"/>
    <x v="12"/>
    <x v="0"/>
    <x v="46"/>
    <x v="5"/>
    <x v="715"/>
    <x v="0"/>
    <x v="0"/>
    <x v="0"/>
    <x v="0"/>
    <x v="684"/>
  </r>
  <r>
    <x v="731"/>
    <x v="45"/>
    <x v="731"/>
    <x v="10"/>
    <x v="4"/>
    <x v="33"/>
    <x v="1"/>
    <x v="716"/>
    <x v="0"/>
    <x v="0"/>
    <x v="0"/>
    <x v="0"/>
    <x v="685"/>
  </r>
  <r>
    <x v="732"/>
    <x v="45"/>
    <x v="732"/>
    <x v="4"/>
    <x v="0"/>
    <x v="6"/>
    <x v="7"/>
    <x v="717"/>
    <x v="0"/>
    <x v="0"/>
    <x v="0"/>
    <x v="1"/>
    <x v="686"/>
  </r>
  <r>
    <x v="733"/>
    <x v="45"/>
    <x v="733"/>
    <x v="8"/>
    <x v="0"/>
    <x v="51"/>
    <x v="13"/>
    <x v="718"/>
    <x v="0"/>
    <x v="0"/>
    <x v="0"/>
    <x v="5"/>
    <x v="687"/>
  </r>
  <r>
    <x v="734"/>
    <x v="45"/>
    <x v="734"/>
    <x v="0"/>
    <x v="0"/>
    <x v="0"/>
    <x v="2"/>
    <x v="545"/>
    <x v="0"/>
    <x v="0"/>
    <x v="0"/>
    <x v="5"/>
    <x v="688"/>
  </r>
  <r>
    <x v="735"/>
    <x v="45"/>
    <x v="735"/>
    <x v="0"/>
    <x v="2"/>
    <x v="2"/>
    <x v="8"/>
    <x v="719"/>
    <x v="0"/>
    <x v="0"/>
    <x v="0"/>
    <x v="22"/>
    <x v="689"/>
  </r>
  <r>
    <x v="736"/>
    <x v="45"/>
    <x v="736"/>
    <x v="3"/>
    <x v="5"/>
    <x v="8"/>
    <x v="4"/>
    <x v="720"/>
    <x v="0"/>
    <x v="0"/>
    <x v="0"/>
    <x v="7"/>
    <x v="690"/>
  </r>
  <r>
    <x v="737"/>
    <x v="45"/>
    <x v="737"/>
    <x v="0"/>
    <x v="1"/>
    <x v="28"/>
    <x v="5"/>
    <x v="721"/>
    <x v="0"/>
    <x v="0"/>
    <x v="0"/>
    <x v="9"/>
    <x v="691"/>
  </r>
  <r>
    <x v="738"/>
    <x v="45"/>
    <x v="738"/>
    <x v="3"/>
    <x v="0"/>
    <x v="4"/>
    <x v="6"/>
    <x v="722"/>
    <x v="0"/>
    <x v="0"/>
    <x v="0"/>
    <x v="14"/>
    <x v="692"/>
  </r>
  <r>
    <x v="739"/>
    <x v="46"/>
    <x v="739"/>
    <x v="3"/>
    <x v="4"/>
    <x v="16"/>
    <x v="6"/>
    <x v="723"/>
    <x v="0"/>
    <x v="0"/>
    <x v="0"/>
    <x v="11"/>
    <x v="693"/>
  </r>
  <r>
    <x v="740"/>
    <x v="46"/>
    <x v="740"/>
    <x v="3"/>
    <x v="0"/>
    <x v="4"/>
    <x v="2"/>
    <x v="724"/>
    <x v="0"/>
    <x v="0"/>
    <x v="0"/>
    <x v="0"/>
    <x v="694"/>
  </r>
  <r>
    <x v="741"/>
    <x v="46"/>
    <x v="741"/>
    <x v="3"/>
    <x v="2"/>
    <x v="27"/>
    <x v="2"/>
    <x v="725"/>
    <x v="0"/>
    <x v="0"/>
    <x v="0"/>
    <x v="0"/>
    <x v="695"/>
  </r>
  <r>
    <x v="742"/>
    <x v="46"/>
    <x v="742"/>
    <x v="1"/>
    <x v="0"/>
    <x v="24"/>
    <x v="9"/>
    <x v="726"/>
    <x v="0"/>
    <x v="0"/>
    <x v="0"/>
    <x v="0"/>
    <x v="696"/>
  </r>
  <r>
    <x v="743"/>
    <x v="46"/>
    <x v="743"/>
    <x v="10"/>
    <x v="1"/>
    <x v="65"/>
    <x v="0"/>
    <x v="727"/>
    <x v="0"/>
    <x v="0"/>
    <x v="0"/>
    <x v="2"/>
    <x v="697"/>
  </r>
  <r>
    <x v="744"/>
    <x v="46"/>
    <x v="744"/>
    <x v="4"/>
    <x v="0"/>
    <x v="6"/>
    <x v="7"/>
    <x v="545"/>
    <x v="0"/>
    <x v="0"/>
    <x v="0"/>
    <x v="2"/>
    <x v="698"/>
  </r>
  <r>
    <x v="745"/>
    <x v="46"/>
    <x v="745"/>
    <x v="0"/>
    <x v="4"/>
    <x v="11"/>
    <x v="6"/>
    <x v="545"/>
    <x v="0"/>
    <x v="0"/>
    <x v="0"/>
    <x v="2"/>
    <x v="699"/>
  </r>
  <r>
    <x v="746"/>
    <x v="46"/>
    <x v="746"/>
    <x v="0"/>
    <x v="8"/>
    <x v="22"/>
    <x v="7"/>
    <x v="728"/>
    <x v="0"/>
    <x v="0"/>
    <x v="0"/>
    <x v="17"/>
    <x v="700"/>
  </r>
  <r>
    <x v="747"/>
    <x v="46"/>
    <x v="747"/>
    <x v="4"/>
    <x v="4"/>
    <x v="7"/>
    <x v="6"/>
    <x v="729"/>
    <x v="0"/>
    <x v="0"/>
    <x v="0"/>
    <x v="22"/>
    <x v="701"/>
  </r>
  <r>
    <x v="748"/>
    <x v="46"/>
    <x v="748"/>
    <x v="0"/>
    <x v="0"/>
    <x v="0"/>
    <x v="5"/>
    <x v="730"/>
    <x v="0"/>
    <x v="0"/>
    <x v="0"/>
    <x v="7"/>
    <x v="702"/>
  </r>
  <r>
    <x v="749"/>
    <x v="46"/>
    <x v="749"/>
    <x v="3"/>
    <x v="0"/>
    <x v="4"/>
    <x v="7"/>
    <x v="545"/>
    <x v="0"/>
    <x v="0"/>
    <x v="0"/>
    <x v="13"/>
    <x v="703"/>
  </r>
  <r>
    <x v="750"/>
    <x v="46"/>
    <x v="750"/>
    <x v="0"/>
    <x v="4"/>
    <x v="11"/>
    <x v="3"/>
    <x v="731"/>
    <x v="0"/>
    <x v="0"/>
    <x v="0"/>
    <x v="9"/>
    <x v="704"/>
  </r>
  <r>
    <x v="751"/>
    <x v="46"/>
    <x v="751"/>
    <x v="0"/>
    <x v="4"/>
    <x v="11"/>
    <x v="1"/>
    <x v="732"/>
    <x v="0"/>
    <x v="0"/>
    <x v="0"/>
    <x v="14"/>
    <x v="705"/>
  </r>
  <r>
    <x v="752"/>
    <x v="47"/>
    <x v="752"/>
    <x v="6"/>
    <x v="0"/>
    <x v="21"/>
    <x v="2"/>
    <x v="733"/>
    <x v="0"/>
    <x v="0"/>
    <x v="0"/>
    <x v="11"/>
    <x v="616"/>
  </r>
  <r>
    <x v="753"/>
    <x v="47"/>
    <x v="753"/>
    <x v="0"/>
    <x v="0"/>
    <x v="0"/>
    <x v="3"/>
    <x v="734"/>
    <x v="0"/>
    <x v="0"/>
    <x v="0"/>
    <x v="11"/>
    <x v="706"/>
  </r>
  <r>
    <x v="754"/>
    <x v="47"/>
    <x v="754"/>
    <x v="6"/>
    <x v="4"/>
    <x v="39"/>
    <x v="4"/>
    <x v="735"/>
    <x v="0"/>
    <x v="0"/>
    <x v="0"/>
    <x v="11"/>
    <x v="707"/>
  </r>
  <r>
    <x v="755"/>
    <x v="47"/>
    <x v="755"/>
    <x v="1"/>
    <x v="3"/>
    <x v="57"/>
    <x v="4"/>
    <x v="736"/>
    <x v="0"/>
    <x v="0"/>
    <x v="0"/>
    <x v="12"/>
    <x v="708"/>
  </r>
  <r>
    <x v="756"/>
    <x v="47"/>
    <x v="756"/>
    <x v="1"/>
    <x v="0"/>
    <x v="24"/>
    <x v="7"/>
    <x v="737"/>
    <x v="0"/>
    <x v="0"/>
    <x v="0"/>
    <x v="0"/>
    <x v="709"/>
  </r>
  <r>
    <x v="757"/>
    <x v="47"/>
    <x v="757"/>
    <x v="4"/>
    <x v="0"/>
    <x v="6"/>
    <x v="4"/>
    <x v="545"/>
    <x v="0"/>
    <x v="0"/>
    <x v="0"/>
    <x v="1"/>
    <x v="710"/>
  </r>
  <r>
    <x v="758"/>
    <x v="47"/>
    <x v="758"/>
    <x v="0"/>
    <x v="4"/>
    <x v="11"/>
    <x v="6"/>
    <x v="545"/>
    <x v="0"/>
    <x v="0"/>
    <x v="0"/>
    <x v="3"/>
    <x v="711"/>
  </r>
  <r>
    <x v="759"/>
    <x v="47"/>
    <x v="759"/>
    <x v="4"/>
    <x v="1"/>
    <x v="5"/>
    <x v="2"/>
    <x v="738"/>
    <x v="0"/>
    <x v="0"/>
    <x v="0"/>
    <x v="6"/>
    <x v="712"/>
  </r>
  <r>
    <x v="760"/>
    <x v="47"/>
    <x v="760"/>
    <x v="0"/>
    <x v="0"/>
    <x v="0"/>
    <x v="7"/>
    <x v="739"/>
    <x v="0"/>
    <x v="0"/>
    <x v="0"/>
    <x v="18"/>
    <x v="713"/>
  </r>
  <r>
    <x v="761"/>
    <x v="47"/>
    <x v="761"/>
    <x v="3"/>
    <x v="1"/>
    <x v="13"/>
    <x v="4"/>
    <x v="740"/>
    <x v="0"/>
    <x v="0"/>
    <x v="0"/>
    <x v="7"/>
    <x v="714"/>
  </r>
  <r>
    <x v="762"/>
    <x v="47"/>
    <x v="762"/>
    <x v="3"/>
    <x v="0"/>
    <x v="4"/>
    <x v="0"/>
    <x v="741"/>
    <x v="0"/>
    <x v="0"/>
    <x v="0"/>
    <x v="7"/>
    <x v="715"/>
  </r>
  <r>
    <x v="763"/>
    <x v="47"/>
    <x v="763"/>
    <x v="0"/>
    <x v="6"/>
    <x v="10"/>
    <x v="6"/>
    <x v="742"/>
    <x v="0"/>
    <x v="0"/>
    <x v="0"/>
    <x v="7"/>
    <x v="716"/>
  </r>
  <r>
    <x v="764"/>
    <x v="47"/>
    <x v="764"/>
    <x v="3"/>
    <x v="5"/>
    <x v="8"/>
    <x v="5"/>
    <x v="545"/>
    <x v="0"/>
    <x v="0"/>
    <x v="0"/>
    <x v="13"/>
    <x v="717"/>
  </r>
  <r>
    <x v="765"/>
    <x v="47"/>
    <x v="765"/>
    <x v="3"/>
    <x v="0"/>
    <x v="4"/>
    <x v="7"/>
    <x v="545"/>
    <x v="0"/>
    <x v="0"/>
    <x v="0"/>
    <x v="13"/>
    <x v="718"/>
  </r>
  <r>
    <x v="766"/>
    <x v="47"/>
    <x v="766"/>
    <x v="0"/>
    <x v="0"/>
    <x v="0"/>
    <x v="7"/>
    <x v="545"/>
    <x v="0"/>
    <x v="0"/>
    <x v="0"/>
    <x v="9"/>
    <x v="719"/>
  </r>
  <r>
    <x v="767"/>
    <x v="47"/>
    <x v="767"/>
    <x v="4"/>
    <x v="6"/>
    <x v="12"/>
    <x v="0"/>
    <x v="743"/>
    <x v="0"/>
    <x v="0"/>
    <x v="0"/>
    <x v="14"/>
    <x v="720"/>
  </r>
  <r>
    <x v="768"/>
    <x v="47"/>
    <x v="768"/>
    <x v="0"/>
    <x v="0"/>
    <x v="0"/>
    <x v="7"/>
    <x v="744"/>
    <x v="0"/>
    <x v="0"/>
    <x v="0"/>
    <x v="14"/>
    <x v="721"/>
  </r>
  <r>
    <x v="769"/>
    <x v="47"/>
    <x v="769"/>
    <x v="3"/>
    <x v="4"/>
    <x v="16"/>
    <x v="4"/>
    <x v="745"/>
    <x v="0"/>
    <x v="0"/>
    <x v="0"/>
    <x v="20"/>
    <x v="722"/>
  </r>
  <r>
    <x v="770"/>
    <x v="47"/>
    <x v="770"/>
    <x v="4"/>
    <x v="4"/>
    <x v="7"/>
    <x v="4"/>
    <x v="746"/>
    <x v="0"/>
    <x v="0"/>
    <x v="0"/>
    <x v="20"/>
    <x v="723"/>
  </r>
  <r>
    <x v="771"/>
    <x v="47"/>
    <x v="771"/>
    <x v="4"/>
    <x v="4"/>
    <x v="7"/>
    <x v="3"/>
    <x v="747"/>
    <x v="0"/>
    <x v="0"/>
    <x v="0"/>
    <x v="20"/>
    <x v="724"/>
  </r>
  <r>
    <x v="772"/>
    <x v="48"/>
    <x v="772"/>
    <x v="0"/>
    <x v="0"/>
    <x v="0"/>
    <x v="6"/>
    <x v="748"/>
    <x v="0"/>
    <x v="0"/>
    <x v="0"/>
    <x v="11"/>
    <x v="725"/>
  </r>
  <r>
    <x v="773"/>
    <x v="48"/>
    <x v="773"/>
    <x v="0"/>
    <x v="0"/>
    <x v="0"/>
    <x v="4"/>
    <x v="749"/>
    <x v="0"/>
    <x v="0"/>
    <x v="0"/>
    <x v="0"/>
    <x v="726"/>
  </r>
  <r>
    <x v="774"/>
    <x v="48"/>
    <x v="774"/>
    <x v="3"/>
    <x v="0"/>
    <x v="4"/>
    <x v="5"/>
    <x v="750"/>
    <x v="0"/>
    <x v="0"/>
    <x v="0"/>
    <x v="2"/>
    <x v="727"/>
  </r>
  <r>
    <x v="775"/>
    <x v="48"/>
    <x v="775"/>
    <x v="0"/>
    <x v="2"/>
    <x v="2"/>
    <x v="5"/>
    <x v="545"/>
    <x v="0"/>
    <x v="0"/>
    <x v="0"/>
    <x v="2"/>
    <x v="728"/>
  </r>
  <r>
    <x v="776"/>
    <x v="48"/>
    <x v="776"/>
    <x v="4"/>
    <x v="0"/>
    <x v="6"/>
    <x v="2"/>
    <x v="545"/>
    <x v="0"/>
    <x v="0"/>
    <x v="0"/>
    <x v="3"/>
    <x v="729"/>
  </r>
  <r>
    <x v="777"/>
    <x v="48"/>
    <x v="777"/>
    <x v="3"/>
    <x v="0"/>
    <x v="4"/>
    <x v="5"/>
    <x v="751"/>
    <x v="0"/>
    <x v="0"/>
    <x v="0"/>
    <x v="5"/>
    <x v="730"/>
  </r>
  <r>
    <x v="778"/>
    <x v="48"/>
    <x v="778"/>
    <x v="0"/>
    <x v="4"/>
    <x v="11"/>
    <x v="5"/>
    <x v="752"/>
    <x v="0"/>
    <x v="0"/>
    <x v="0"/>
    <x v="5"/>
    <x v="731"/>
  </r>
  <r>
    <x v="779"/>
    <x v="48"/>
    <x v="779"/>
    <x v="4"/>
    <x v="0"/>
    <x v="6"/>
    <x v="5"/>
    <x v="545"/>
    <x v="0"/>
    <x v="0"/>
    <x v="0"/>
    <x v="5"/>
    <x v="732"/>
  </r>
  <r>
    <x v="780"/>
    <x v="48"/>
    <x v="780"/>
    <x v="0"/>
    <x v="0"/>
    <x v="0"/>
    <x v="2"/>
    <x v="545"/>
    <x v="0"/>
    <x v="0"/>
    <x v="0"/>
    <x v="5"/>
    <x v="733"/>
  </r>
  <r>
    <x v="781"/>
    <x v="48"/>
    <x v="781"/>
    <x v="0"/>
    <x v="0"/>
    <x v="0"/>
    <x v="5"/>
    <x v="753"/>
    <x v="0"/>
    <x v="0"/>
    <x v="0"/>
    <x v="7"/>
    <x v="734"/>
  </r>
  <r>
    <x v="782"/>
    <x v="48"/>
    <x v="782"/>
    <x v="0"/>
    <x v="2"/>
    <x v="2"/>
    <x v="2"/>
    <x v="754"/>
    <x v="0"/>
    <x v="0"/>
    <x v="0"/>
    <x v="14"/>
    <x v="735"/>
  </r>
  <r>
    <x v="783"/>
    <x v="49"/>
    <x v="783"/>
    <x v="10"/>
    <x v="0"/>
    <x v="48"/>
    <x v="2"/>
    <x v="755"/>
    <x v="0"/>
    <x v="0"/>
    <x v="0"/>
    <x v="0"/>
    <x v="736"/>
  </r>
  <r>
    <x v="784"/>
    <x v="49"/>
    <x v="784"/>
    <x v="1"/>
    <x v="0"/>
    <x v="24"/>
    <x v="1"/>
    <x v="756"/>
    <x v="0"/>
    <x v="0"/>
    <x v="0"/>
    <x v="1"/>
    <x v="737"/>
  </r>
  <r>
    <x v="785"/>
    <x v="49"/>
    <x v="785"/>
    <x v="3"/>
    <x v="0"/>
    <x v="4"/>
    <x v="1"/>
    <x v="757"/>
    <x v="0"/>
    <x v="0"/>
    <x v="0"/>
    <x v="2"/>
    <x v="738"/>
  </r>
  <r>
    <x v="786"/>
    <x v="49"/>
    <x v="786"/>
    <x v="0"/>
    <x v="0"/>
    <x v="0"/>
    <x v="6"/>
    <x v="758"/>
    <x v="0"/>
    <x v="0"/>
    <x v="0"/>
    <x v="2"/>
    <x v="739"/>
  </r>
  <r>
    <x v="787"/>
    <x v="49"/>
    <x v="787"/>
    <x v="0"/>
    <x v="2"/>
    <x v="2"/>
    <x v="6"/>
    <x v="759"/>
    <x v="0"/>
    <x v="0"/>
    <x v="0"/>
    <x v="2"/>
    <x v="740"/>
  </r>
  <r>
    <x v="788"/>
    <x v="49"/>
    <x v="788"/>
    <x v="0"/>
    <x v="1"/>
    <x v="28"/>
    <x v="1"/>
    <x v="760"/>
    <x v="0"/>
    <x v="0"/>
    <x v="0"/>
    <x v="17"/>
    <x v="741"/>
  </r>
  <r>
    <x v="789"/>
    <x v="49"/>
    <x v="789"/>
    <x v="4"/>
    <x v="8"/>
    <x v="66"/>
    <x v="4"/>
    <x v="545"/>
    <x v="0"/>
    <x v="0"/>
    <x v="0"/>
    <x v="5"/>
    <x v="67"/>
  </r>
  <r>
    <x v="790"/>
    <x v="49"/>
    <x v="790"/>
    <x v="0"/>
    <x v="0"/>
    <x v="0"/>
    <x v="6"/>
    <x v="545"/>
    <x v="0"/>
    <x v="0"/>
    <x v="0"/>
    <x v="5"/>
    <x v="742"/>
  </r>
  <r>
    <x v="791"/>
    <x v="49"/>
    <x v="791"/>
    <x v="0"/>
    <x v="0"/>
    <x v="0"/>
    <x v="7"/>
    <x v="761"/>
    <x v="0"/>
    <x v="0"/>
    <x v="0"/>
    <x v="22"/>
    <x v="743"/>
  </r>
  <r>
    <x v="792"/>
    <x v="49"/>
    <x v="792"/>
    <x v="4"/>
    <x v="0"/>
    <x v="6"/>
    <x v="2"/>
    <x v="762"/>
    <x v="0"/>
    <x v="0"/>
    <x v="0"/>
    <x v="6"/>
    <x v="744"/>
  </r>
  <r>
    <x v="793"/>
    <x v="49"/>
    <x v="793"/>
    <x v="0"/>
    <x v="0"/>
    <x v="0"/>
    <x v="5"/>
    <x v="763"/>
    <x v="0"/>
    <x v="0"/>
    <x v="0"/>
    <x v="7"/>
    <x v="745"/>
  </r>
  <r>
    <x v="794"/>
    <x v="49"/>
    <x v="794"/>
    <x v="0"/>
    <x v="0"/>
    <x v="0"/>
    <x v="2"/>
    <x v="764"/>
    <x v="0"/>
    <x v="0"/>
    <x v="0"/>
    <x v="7"/>
    <x v="746"/>
  </r>
  <r>
    <x v="795"/>
    <x v="49"/>
    <x v="795"/>
    <x v="3"/>
    <x v="0"/>
    <x v="4"/>
    <x v="2"/>
    <x v="765"/>
    <x v="0"/>
    <x v="0"/>
    <x v="0"/>
    <x v="13"/>
    <x v="747"/>
  </r>
  <r>
    <x v="796"/>
    <x v="49"/>
    <x v="796"/>
    <x v="3"/>
    <x v="0"/>
    <x v="4"/>
    <x v="6"/>
    <x v="766"/>
    <x v="0"/>
    <x v="0"/>
    <x v="0"/>
    <x v="13"/>
    <x v="323"/>
  </r>
  <r>
    <x v="797"/>
    <x v="49"/>
    <x v="797"/>
    <x v="4"/>
    <x v="2"/>
    <x v="20"/>
    <x v="4"/>
    <x v="545"/>
    <x v="0"/>
    <x v="0"/>
    <x v="0"/>
    <x v="9"/>
    <x v="748"/>
  </r>
  <r>
    <x v="798"/>
    <x v="49"/>
    <x v="798"/>
    <x v="0"/>
    <x v="0"/>
    <x v="0"/>
    <x v="2"/>
    <x v="767"/>
    <x v="0"/>
    <x v="0"/>
    <x v="0"/>
    <x v="9"/>
    <x v="83"/>
  </r>
  <r>
    <x v="799"/>
    <x v="49"/>
    <x v="799"/>
    <x v="0"/>
    <x v="4"/>
    <x v="11"/>
    <x v="7"/>
    <x v="768"/>
    <x v="0"/>
    <x v="0"/>
    <x v="0"/>
    <x v="14"/>
    <x v="749"/>
  </r>
  <r>
    <x v="800"/>
    <x v="50"/>
    <x v="800"/>
    <x v="3"/>
    <x v="4"/>
    <x v="16"/>
    <x v="8"/>
    <x v="769"/>
    <x v="0"/>
    <x v="0"/>
    <x v="0"/>
    <x v="12"/>
    <x v="750"/>
  </r>
  <r>
    <x v="801"/>
    <x v="50"/>
    <x v="801"/>
    <x v="3"/>
    <x v="0"/>
    <x v="4"/>
    <x v="7"/>
    <x v="770"/>
    <x v="0"/>
    <x v="0"/>
    <x v="0"/>
    <x v="0"/>
    <x v="16"/>
  </r>
  <r>
    <x v="802"/>
    <x v="50"/>
    <x v="802"/>
    <x v="3"/>
    <x v="0"/>
    <x v="4"/>
    <x v="4"/>
    <x v="771"/>
    <x v="0"/>
    <x v="0"/>
    <x v="0"/>
    <x v="2"/>
    <x v="751"/>
  </r>
  <r>
    <x v="803"/>
    <x v="50"/>
    <x v="803"/>
    <x v="0"/>
    <x v="2"/>
    <x v="2"/>
    <x v="4"/>
    <x v="545"/>
    <x v="0"/>
    <x v="0"/>
    <x v="0"/>
    <x v="2"/>
    <x v="728"/>
  </r>
  <r>
    <x v="804"/>
    <x v="50"/>
    <x v="804"/>
    <x v="0"/>
    <x v="0"/>
    <x v="0"/>
    <x v="2"/>
    <x v="772"/>
    <x v="0"/>
    <x v="0"/>
    <x v="0"/>
    <x v="2"/>
    <x v="752"/>
  </r>
  <r>
    <x v="805"/>
    <x v="50"/>
    <x v="805"/>
    <x v="0"/>
    <x v="4"/>
    <x v="11"/>
    <x v="8"/>
    <x v="773"/>
    <x v="0"/>
    <x v="0"/>
    <x v="0"/>
    <x v="17"/>
    <x v="753"/>
  </r>
  <r>
    <x v="806"/>
    <x v="50"/>
    <x v="806"/>
    <x v="0"/>
    <x v="0"/>
    <x v="0"/>
    <x v="1"/>
    <x v="545"/>
    <x v="0"/>
    <x v="0"/>
    <x v="0"/>
    <x v="5"/>
    <x v="754"/>
  </r>
  <r>
    <x v="807"/>
    <x v="50"/>
    <x v="807"/>
    <x v="0"/>
    <x v="0"/>
    <x v="0"/>
    <x v="7"/>
    <x v="545"/>
    <x v="0"/>
    <x v="0"/>
    <x v="0"/>
    <x v="5"/>
    <x v="755"/>
  </r>
  <r>
    <x v="808"/>
    <x v="50"/>
    <x v="808"/>
    <x v="0"/>
    <x v="0"/>
    <x v="0"/>
    <x v="4"/>
    <x v="774"/>
    <x v="0"/>
    <x v="0"/>
    <x v="0"/>
    <x v="7"/>
    <x v="756"/>
  </r>
  <r>
    <x v="809"/>
    <x v="50"/>
    <x v="809"/>
    <x v="0"/>
    <x v="0"/>
    <x v="0"/>
    <x v="0"/>
    <x v="775"/>
    <x v="0"/>
    <x v="0"/>
    <x v="0"/>
    <x v="8"/>
    <x v="757"/>
  </r>
  <r>
    <x v="810"/>
    <x v="50"/>
    <x v="810"/>
    <x v="3"/>
    <x v="4"/>
    <x v="16"/>
    <x v="5"/>
    <x v="776"/>
    <x v="0"/>
    <x v="0"/>
    <x v="0"/>
    <x v="9"/>
    <x v="758"/>
  </r>
  <r>
    <x v="811"/>
    <x v="50"/>
    <x v="811"/>
    <x v="4"/>
    <x v="0"/>
    <x v="6"/>
    <x v="5"/>
    <x v="331"/>
    <x v="0"/>
    <x v="0"/>
    <x v="0"/>
    <x v="9"/>
    <x v="759"/>
  </r>
  <r>
    <x v="812"/>
    <x v="50"/>
    <x v="812"/>
    <x v="0"/>
    <x v="2"/>
    <x v="2"/>
    <x v="5"/>
    <x v="777"/>
    <x v="0"/>
    <x v="0"/>
    <x v="0"/>
    <x v="10"/>
    <x v="760"/>
  </r>
  <r>
    <x v="813"/>
    <x v="50"/>
    <x v="813"/>
    <x v="0"/>
    <x v="4"/>
    <x v="11"/>
    <x v="7"/>
    <x v="778"/>
    <x v="0"/>
    <x v="0"/>
    <x v="0"/>
    <x v="10"/>
    <x v="761"/>
  </r>
  <r>
    <x v="814"/>
    <x v="51"/>
    <x v="814"/>
    <x v="0"/>
    <x v="3"/>
    <x v="47"/>
    <x v="8"/>
    <x v="779"/>
    <x v="0"/>
    <x v="0"/>
    <x v="0"/>
    <x v="0"/>
    <x v="762"/>
  </r>
  <r>
    <x v="815"/>
    <x v="51"/>
    <x v="815"/>
    <x v="1"/>
    <x v="0"/>
    <x v="24"/>
    <x v="4"/>
    <x v="780"/>
    <x v="0"/>
    <x v="0"/>
    <x v="0"/>
    <x v="1"/>
    <x v="763"/>
  </r>
  <r>
    <x v="816"/>
    <x v="51"/>
    <x v="816"/>
    <x v="0"/>
    <x v="2"/>
    <x v="2"/>
    <x v="5"/>
    <x v="781"/>
    <x v="0"/>
    <x v="0"/>
    <x v="0"/>
    <x v="2"/>
    <x v="764"/>
  </r>
  <r>
    <x v="817"/>
    <x v="51"/>
    <x v="817"/>
    <x v="0"/>
    <x v="2"/>
    <x v="2"/>
    <x v="1"/>
    <x v="782"/>
    <x v="0"/>
    <x v="0"/>
    <x v="0"/>
    <x v="2"/>
    <x v="765"/>
  </r>
  <r>
    <x v="818"/>
    <x v="51"/>
    <x v="818"/>
    <x v="0"/>
    <x v="0"/>
    <x v="0"/>
    <x v="4"/>
    <x v="545"/>
    <x v="0"/>
    <x v="0"/>
    <x v="0"/>
    <x v="3"/>
    <x v="766"/>
  </r>
  <r>
    <x v="819"/>
    <x v="51"/>
    <x v="819"/>
    <x v="3"/>
    <x v="3"/>
    <x v="67"/>
    <x v="5"/>
    <x v="545"/>
    <x v="0"/>
    <x v="0"/>
    <x v="0"/>
    <x v="3"/>
    <x v="767"/>
  </r>
  <r>
    <x v="820"/>
    <x v="51"/>
    <x v="820"/>
    <x v="6"/>
    <x v="6"/>
    <x v="63"/>
    <x v="7"/>
    <x v="783"/>
    <x v="0"/>
    <x v="0"/>
    <x v="0"/>
    <x v="3"/>
    <x v="768"/>
  </r>
  <r>
    <x v="821"/>
    <x v="51"/>
    <x v="821"/>
    <x v="4"/>
    <x v="0"/>
    <x v="6"/>
    <x v="5"/>
    <x v="545"/>
    <x v="0"/>
    <x v="0"/>
    <x v="0"/>
    <x v="5"/>
    <x v="407"/>
  </r>
  <r>
    <x v="822"/>
    <x v="51"/>
    <x v="822"/>
    <x v="3"/>
    <x v="0"/>
    <x v="4"/>
    <x v="7"/>
    <x v="784"/>
    <x v="0"/>
    <x v="0"/>
    <x v="0"/>
    <x v="22"/>
    <x v="769"/>
  </r>
  <r>
    <x v="823"/>
    <x v="51"/>
    <x v="823"/>
    <x v="0"/>
    <x v="0"/>
    <x v="0"/>
    <x v="6"/>
    <x v="785"/>
    <x v="0"/>
    <x v="0"/>
    <x v="0"/>
    <x v="6"/>
    <x v="770"/>
  </r>
  <r>
    <x v="824"/>
    <x v="51"/>
    <x v="824"/>
    <x v="3"/>
    <x v="0"/>
    <x v="4"/>
    <x v="3"/>
    <x v="786"/>
    <x v="0"/>
    <x v="0"/>
    <x v="0"/>
    <x v="7"/>
    <x v="546"/>
  </r>
  <r>
    <x v="825"/>
    <x v="51"/>
    <x v="825"/>
    <x v="3"/>
    <x v="0"/>
    <x v="4"/>
    <x v="5"/>
    <x v="787"/>
    <x v="0"/>
    <x v="0"/>
    <x v="0"/>
    <x v="9"/>
    <x v="771"/>
  </r>
  <r>
    <x v="826"/>
    <x v="51"/>
    <x v="826"/>
    <x v="0"/>
    <x v="0"/>
    <x v="0"/>
    <x v="2"/>
    <x v="788"/>
    <x v="0"/>
    <x v="0"/>
    <x v="0"/>
    <x v="9"/>
    <x v="772"/>
  </r>
  <r>
    <x v="827"/>
    <x v="52"/>
    <x v="827"/>
    <x v="2"/>
    <x v="0"/>
    <x v="59"/>
    <x v="5"/>
    <x v="789"/>
    <x v="0"/>
    <x v="0"/>
    <x v="0"/>
    <x v="11"/>
    <x v="773"/>
  </r>
  <r>
    <x v="828"/>
    <x v="52"/>
    <x v="828"/>
    <x v="2"/>
    <x v="3"/>
    <x v="3"/>
    <x v="3"/>
    <x v="790"/>
    <x v="0"/>
    <x v="0"/>
    <x v="0"/>
    <x v="12"/>
    <x v="774"/>
  </r>
  <r>
    <x v="829"/>
    <x v="52"/>
    <x v="829"/>
    <x v="4"/>
    <x v="1"/>
    <x v="5"/>
    <x v="5"/>
    <x v="545"/>
    <x v="0"/>
    <x v="0"/>
    <x v="0"/>
    <x v="1"/>
    <x v="775"/>
  </r>
  <r>
    <x v="830"/>
    <x v="52"/>
    <x v="830"/>
    <x v="6"/>
    <x v="0"/>
    <x v="21"/>
    <x v="0"/>
    <x v="791"/>
    <x v="0"/>
    <x v="0"/>
    <x v="0"/>
    <x v="1"/>
    <x v="776"/>
  </r>
  <r>
    <x v="831"/>
    <x v="52"/>
    <x v="831"/>
    <x v="6"/>
    <x v="4"/>
    <x v="39"/>
    <x v="2"/>
    <x v="545"/>
    <x v="0"/>
    <x v="0"/>
    <x v="0"/>
    <x v="1"/>
    <x v="776"/>
  </r>
  <r>
    <x v="832"/>
    <x v="52"/>
    <x v="832"/>
    <x v="0"/>
    <x v="4"/>
    <x v="11"/>
    <x v="5"/>
    <x v="545"/>
    <x v="0"/>
    <x v="0"/>
    <x v="0"/>
    <x v="2"/>
    <x v="777"/>
  </r>
  <r>
    <x v="833"/>
    <x v="52"/>
    <x v="833"/>
    <x v="4"/>
    <x v="0"/>
    <x v="6"/>
    <x v="7"/>
    <x v="792"/>
    <x v="0"/>
    <x v="0"/>
    <x v="0"/>
    <x v="3"/>
    <x v="778"/>
  </r>
  <r>
    <x v="834"/>
    <x v="52"/>
    <x v="834"/>
    <x v="7"/>
    <x v="4"/>
    <x v="68"/>
    <x v="8"/>
    <x v="793"/>
    <x v="0"/>
    <x v="0"/>
    <x v="0"/>
    <x v="3"/>
    <x v="779"/>
  </r>
  <r>
    <x v="835"/>
    <x v="52"/>
    <x v="835"/>
    <x v="3"/>
    <x v="0"/>
    <x v="4"/>
    <x v="5"/>
    <x v="794"/>
    <x v="0"/>
    <x v="0"/>
    <x v="0"/>
    <x v="18"/>
    <x v="780"/>
  </r>
  <r>
    <x v="836"/>
    <x v="52"/>
    <x v="836"/>
    <x v="0"/>
    <x v="0"/>
    <x v="0"/>
    <x v="2"/>
    <x v="795"/>
    <x v="0"/>
    <x v="0"/>
    <x v="0"/>
    <x v="7"/>
    <x v="490"/>
  </r>
  <r>
    <x v="837"/>
    <x v="52"/>
    <x v="837"/>
    <x v="3"/>
    <x v="0"/>
    <x v="4"/>
    <x v="2"/>
    <x v="796"/>
    <x v="0"/>
    <x v="0"/>
    <x v="0"/>
    <x v="7"/>
    <x v="781"/>
  </r>
  <r>
    <x v="838"/>
    <x v="52"/>
    <x v="838"/>
    <x v="3"/>
    <x v="0"/>
    <x v="4"/>
    <x v="5"/>
    <x v="797"/>
    <x v="0"/>
    <x v="0"/>
    <x v="0"/>
    <x v="13"/>
    <x v="782"/>
  </r>
  <r>
    <x v="839"/>
    <x v="52"/>
    <x v="839"/>
    <x v="4"/>
    <x v="0"/>
    <x v="6"/>
    <x v="5"/>
    <x v="798"/>
    <x v="0"/>
    <x v="0"/>
    <x v="0"/>
    <x v="9"/>
    <x v="783"/>
  </r>
  <r>
    <x v="840"/>
    <x v="52"/>
    <x v="840"/>
    <x v="4"/>
    <x v="6"/>
    <x v="12"/>
    <x v="5"/>
    <x v="799"/>
    <x v="0"/>
    <x v="0"/>
    <x v="0"/>
    <x v="10"/>
    <x v="784"/>
  </r>
  <r>
    <x v="841"/>
    <x v="52"/>
    <x v="841"/>
    <x v="0"/>
    <x v="4"/>
    <x v="11"/>
    <x v="10"/>
    <x v="800"/>
    <x v="0"/>
    <x v="0"/>
    <x v="0"/>
    <x v="14"/>
    <x v="785"/>
  </r>
  <r>
    <x v="842"/>
    <x v="52"/>
    <x v="842"/>
    <x v="3"/>
    <x v="0"/>
    <x v="4"/>
    <x v="6"/>
    <x v="801"/>
    <x v="0"/>
    <x v="0"/>
    <x v="0"/>
    <x v="15"/>
    <x v="786"/>
  </r>
  <r>
    <x v="843"/>
    <x v="53"/>
    <x v="843"/>
    <x v="0"/>
    <x v="0"/>
    <x v="0"/>
    <x v="5"/>
    <x v="545"/>
    <x v="0"/>
    <x v="0"/>
    <x v="0"/>
    <x v="1"/>
    <x v="787"/>
  </r>
  <r>
    <x v="844"/>
    <x v="53"/>
    <x v="844"/>
    <x v="10"/>
    <x v="0"/>
    <x v="48"/>
    <x v="7"/>
    <x v="802"/>
    <x v="0"/>
    <x v="0"/>
    <x v="0"/>
    <x v="2"/>
    <x v="788"/>
  </r>
  <r>
    <x v="845"/>
    <x v="53"/>
    <x v="845"/>
    <x v="0"/>
    <x v="0"/>
    <x v="0"/>
    <x v="7"/>
    <x v="803"/>
    <x v="0"/>
    <x v="0"/>
    <x v="0"/>
    <x v="5"/>
    <x v="789"/>
  </r>
  <r>
    <x v="846"/>
    <x v="53"/>
    <x v="846"/>
    <x v="0"/>
    <x v="0"/>
    <x v="0"/>
    <x v="2"/>
    <x v="545"/>
    <x v="0"/>
    <x v="0"/>
    <x v="0"/>
    <x v="5"/>
    <x v="790"/>
  </r>
  <r>
    <x v="847"/>
    <x v="53"/>
    <x v="847"/>
    <x v="3"/>
    <x v="0"/>
    <x v="4"/>
    <x v="7"/>
    <x v="804"/>
    <x v="0"/>
    <x v="0"/>
    <x v="0"/>
    <x v="5"/>
    <x v="791"/>
  </r>
  <r>
    <x v="848"/>
    <x v="53"/>
    <x v="848"/>
    <x v="0"/>
    <x v="0"/>
    <x v="0"/>
    <x v="2"/>
    <x v="545"/>
    <x v="0"/>
    <x v="0"/>
    <x v="0"/>
    <x v="5"/>
    <x v="11"/>
  </r>
  <r>
    <x v="849"/>
    <x v="53"/>
    <x v="849"/>
    <x v="0"/>
    <x v="0"/>
    <x v="0"/>
    <x v="5"/>
    <x v="805"/>
    <x v="0"/>
    <x v="0"/>
    <x v="0"/>
    <x v="6"/>
    <x v="358"/>
  </r>
  <r>
    <x v="850"/>
    <x v="53"/>
    <x v="850"/>
    <x v="3"/>
    <x v="4"/>
    <x v="16"/>
    <x v="6"/>
    <x v="806"/>
    <x v="0"/>
    <x v="0"/>
    <x v="0"/>
    <x v="16"/>
    <x v="792"/>
  </r>
  <r>
    <x v="851"/>
    <x v="53"/>
    <x v="851"/>
    <x v="0"/>
    <x v="0"/>
    <x v="0"/>
    <x v="5"/>
    <x v="807"/>
    <x v="0"/>
    <x v="0"/>
    <x v="0"/>
    <x v="7"/>
    <x v="793"/>
  </r>
  <r>
    <x v="852"/>
    <x v="53"/>
    <x v="852"/>
    <x v="0"/>
    <x v="6"/>
    <x v="10"/>
    <x v="4"/>
    <x v="808"/>
    <x v="0"/>
    <x v="0"/>
    <x v="0"/>
    <x v="7"/>
    <x v="794"/>
  </r>
  <r>
    <x v="853"/>
    <x v="53"/>
    <x v="853"/>
    <x v="4"/>
    <x v="0"/>
    <x v="6"/>
    <x v="5"/>
    <x v="809"/>
    <x v="0"/>
    <x v="0"/>
    <x v="0"/>
    <x v="13"/>
    <x v="795"/>
  </r>
  <r>
    <x v="854"/>
    <x v="53"/>
    <x v="854"/>
    <x v="4"/>
    <x v="4"/>
    <x v="7"/>
    <x v="3"/>
    <x v="545"/>
    <x v="0"/>
    <x v="0"/>
    <x v="0"/>
    <x v="9"/>
    <x v="235"/>
  </r>
  <r>
    <x v="855"/>
    <x v="53"/>
    <x v="855"/>
    <x v="4"/>
    <x v="2"/>
    <x v="20"/>
    <x v="7"/>
    <x v="810"/>
    <x v="0"/>
    <x v="0"/>
    <x v="0"/>
    <x v="9"/>
    <x v="796"/>
  </r>
  <r>
    <x v="856"/>
    <x v="53"/>
    <x v="856"/>
    <x v="4"/>
    <x v="4"/>
    <x v="7"/>
    <x v="4"/>
    <x v="545"/>
    <x v="0"/>
    <x v="0"/>
    <x v="0"/>
    <x v="9"/>
    <x v="607"/>
  </r>
  <r>
    <x v="857"/>
    <x v="54"/>
    <x v="857"/>
    <x v="6"/>
    <x v="0"/>
    <x v="21"/>
    <x v="6"/>
    <x v="811"/>
    <x v="0"/>
    <x v="0"/>
    <x v="0"/>
    <x v="11"/>
    <x v="797"/>
  </r>
  <r>
    <x v="858"/>
    <x v="54"/>
    <x v="858"/>
    <x v="1"/>
    <x v="0"/>
    <x v="24"/>
    <x v="1"/>
    <x v="812"/>
    <x v="0"/>
    <x v="0"/>
    <x v="0"/>
    <x v="0"/>
    <x v="798"/>
  </r>
  <r>
    <x v="859"/>
    <x v="54"/>
    <x v="859"/>
    <x v="10"/>
    <x v="0"/>
    <x v="48"/>
    <x v="4"/>
    <x v="813"/>
    <x v="0"/>
    <x v="0"/>
    <x v="0"/>
    <x v="1"/>
    <x v="799"/>
  </r>
  <r>
    <x v="860"/>
    <x v="54"/>
    <x v="860"/>
    <x v="0"/>
    <x v="0"/>
    <x v="0"/>
    <x v="2"/>
    <x v="814"/>
    <x v="0"/>
    <x v="0"/>
    <x v="0"/>
    <x v="2"/>
    <x v="800"/>
  </r>
  <r>
    <x v="861"/>
    <x v="54"/>
    <x v="861"/>
    <x v="0"/>
    <x v="0"/>
    <x v="0"/>
    <x v="5"/>
    <x v="545"/>
    <x v="0"/>
    <x v="0"/>
    <x v="0"/>
    <x v="3"/>
    <x v="801"/>
  </r>
  <r>
    <x v="862"/>
    <x v="54"/>
    <x v="862"/>
    <x v="0"/>
    <x v="0"/>
    <x v="0"/>
    <x v="2"/>
    <x v="815"/>
    <x v="0"/>
    <x v="0"/>
    <x v="0"/>
    <x v="22"/>
    <x v="802"/>
  </r>
  <r>
    <x v="863"/>
    <x v="54"/>
    <x v="863"/>
    <x v="0"/>
    <x v="4"/>
    <x v="11"/>
    <x v="7"/>
    <x v="816"/>
    <x v="0"/>
    <x v="0"/>
    <x v="0"/>
    <x v="6"/>
    <x v="248"/>
  </r>
  <r>
    <x v="864"/>
    <x v="54"/>
    <x v="864"/>
    <x v="0"/>
    <x v="1"/>
    <x v="28"/>
    <x v="5"/>
    <x v="817"/>
    <x v="0"/>
    <x v="0"/>
    <x v="0"/>
    <x v="16"/>
    <x v="803"/>
  </r>
  <r>
    <x v="865"/>
    <x v="54"/>
    <x v="865"/>
    <x v="0"/>
    <x v="0"/>
    <x v="0"/>
    <x v="3"/>
    <x v="818"/>
    <x v="0"/>
    <x v="0"/>
    <x v="0"/>
    <x v="7"/>
    <x v="804"/>
  </r>
  <r>
    <x v="866"/>
    <x v="54"/>
    <x v="866"/>
    <x v="3"/>
    <x v="0"/>
    <x v="4"/>
    <x v="9"/>
    <x v="819"/>
    <x v="0"/>
    <x v="0"/>
    <x v="0"/>
    <x v="9"/>
    <x v="805"/>
  </r>
  <r>
    <x v="867"/>
    <x v="54"/>
    <x v="867"/>
    <x v="4"/>
    <x v="0"/>
    <x v="6"/>
    <x v="1"/>
    <x v="820"/>
    <x v="0"/>
    <x v="0"/>
    <x v="0"/>
    <x v="10"/>
    <x v="628"/>
  </r>
  <r>
    <x v="868"/>
    <x v="54"/>
    <x v="868"/>
    <x v="0"/>
    <x v="0"/>
    <x v="0"/>
    <x v="7"/>
    <x v="821"/>
    <x v="0"/>
    <x v="0"/>
    <x v="0"/>
    <x v="10"/>
    <x v="806"/>
  </r>
  <r>
    <x v="869"/>
    <x v="54"/>
    <x v="869"/>
    <x v="4"/>
    <x v="4"/>
    <x v="7"/>
    <x v="2"/>
    <x v="822"/>
    <x v="0"/>
    <x v="0"/>
    <x v="0"/>
    <x v="14"/>
    <x v="807"/>
  </r>
  <r>
    <x v="870"/>
    <x v="55"/>
    <x v="870"/>
    <x v="5"/>
    <x v="0"/>
    <x v="14"/>
    <x v="7"/>
    <x v="823"/>
    <x v="0"/>
    <x v="0"/>
    <x v="0"/>
    <x v="11"/>
    <x v="775"/>
  </r>
  <r>
    <x v="871"/>
    <x v="55"/>
    <x v="871"/>
    <x v="5"/>
    <x v="0"/>
    <x v="14"/>
    <x v="7"/>
    <x v="824"/>
    <x v="0"/>
    <x v="0"/>
    <x v="0"/>
    <x v="11"/>
    <x v="808"/>
  </r>
  <r>
    <x v="872"/>
    <x v="55"/>
    <x v="872"/>
    <x v="0"/>
    <x v="0"/>
    <x v="0"/>
    <x v="7"/>
    <x v="825"/>
    <x v="0"/>
    <x v="0"/>
    <x v="0"/>
    <x v="1"/>
    <x v="809"/>
  </r>
  <r>
    <x v="873"/>
    <x v="55"/>
    <x v="873"/>
    <x v="6"/>
    <x v="0"/>
    <x v="21"/>
    <x v="7"/>
    <x v="826"/>
    <x v="0"/>
    <x v="0"/>
    <x v="0"/>
    <x v="1"/>
    <x v="810"/>
  </r>
  <r>
    <x v="874"/>
    <x v="55"/>
    <x v="874"/>
    <x v="1"/>
    <x v="4"/>
    <x v="35"/>
    <x v="3"/>
    <x v="827"/>
    <x v="0"/>
    <x v="0"/>
    <x v="0"/>
    <x v="1"/>
    <x v="811"/>
  </r>
  <r>
    <x v="875"/>
    <x v="55"/>
    <x v="875"/>
    <x v="1"/>
    <x v="2"/>
    <x v="18"/>
    <x v="3"/>
    <x v="828"/>
    <x v="0"/>
    <x v="0"/>
    <x v="0"/>
    <x v="3"/>
    <x v="812"/>
  </r>
  <r>
    <x v="876"/>
    <x v="55"/>
    <x v="876"/>
    <x v="6"/>
    <x v="1"/>
    <x v="19"/>
    <x v="2"/>
    <x v="829"/>
    <x v="0"/>
    <x v="0"/>
    <x v="0"/>
    <x v="17"/>
    <x v="813"/>
  </r>
  <r>
    <x v="877"/>
    <x v="55"/>
    <x v="877"/>
    <x v="0"/>
    <x v="0"/>
    <x v="0"/>
    <x v="7"/>
    <x v="830"/>
    <x v="0"/>
    <x v="0"/>
    <x v="0"/>
    <x v="5"/>
    <x v="814"/>
  </r>
  <r>
    <x v="878"/>
    <x v="55"/>
    <x v="878"/>
    <x v="0"/>
    <x v="0"/>
    <x v="0"/>
    <x v="0"/>
    <x v="831"/>
    <x v="0"/>
    <x v="0"/>
    <x v="0"/>
    <x v="5"/>
    <x v="815"/>
  </r>
  <r>
    <x v="879"/>
    <x v="55"/>
    <x v="879"/>
    <x v="0"/>
    <x v="0"/>
    <x v="0"/>
    <x v="0"/>
    <x v="832"/>
    <x v="0"/>
    <x v="0"/>
    <x v="0"/>
    <x v="5"/>
    <x v="816"/>
  </r>
  <r>
    <x v="880"/>
    <x v="55"/>
    <x v="880"/>
    <x v="4"/>
    <x v="0"/>
    <x v="6"/>
    <x v="7"/>
    <x v="833"/>
    <x v="0"/>
    <x v="0"/>
    <x v="0"/>
    <x v="7"/>
    <x v="817"/>
  </r>
  <r>
    <x v="881"/>
    <x v="55"/>
    <x v="881"/>
    <x v="3"/>
    <x v="4"/>
    <x v="16"/>
    <x v="3"/>
    <x v="834"/>
    <x v="0"/>
    <x v="0"/>
    <x v="0"/>
    <x v="7"/>
    <x v="818"/>
  </r>
  <r>
    <x v="882"/>
    <x v="55"/>
    <x v="882"/>
    <x v="0"/>
    <x v="0"/>
    <x v="0"/>
    <x v="1"/>
    <x v="835"/>
    <x v="0"/>
    <x v="0"/>
    <x v="0"/>
    <x v="7"/>
    <x v="819"/>
  </r>
  <r>
    <x v="883"/>
    <x v="55"/>
    <x v="883"/>
    <x v="0"/>
    <x v="0"/>
    <x v="0"/>
    <x v="6"/>
    <x v="836"/>
    <x v="0"/>
    <x v="0"/>
    <x v="0"/>
    <x v="13"/>
    <x v="820"/>
  </r>
  <r>
    <x v="884"/>
    <x v="55"/>
    <x v="884"/>
    <x v="3"/>
    <x v="2"/>
    <x v="27"/>
    <x v="5"/>
    <x v="837"/>
    <x v="0"/>
    <x v="0"/>
    <x v="0"/>
    <x v="9"/>
    <x v="821"/>
  </r>
  <r>
    <x v="885"/>
    <x v="55"/>
    <x v="885"/>
    <x v="3"/>
    <x v="4"/>
    <x v="16"/>
    <x v="4"/>
    <x v="838"/>
    <x v="0"/>
    <x v="0"/>
    <x v="0"/>
    <x v="9"/>
    <x v="822"/>
  </r>
  <r>
    <x v="886"/>
    <x v="55"/>
    <x v="886"/>
    <x v="0"/>
    <x v="0"/>
    <x v="0"/>
    <x v="4"/>
    <x v="839"/>
    <x v="0"/>
    <x v="0"/>
    <x v="0"/>
    <x v="9"/>
    <x v="823"/>
  </r>
  <r>
    <x v="887"/>
    <x v="55"/>
    <x v="887"/>
    <x v="4"/>
    <x v="1"/>
    <x v="5"/>
    <x v="7"/>
    <x v="840"/>
    <x v="0"/>
    <x v="0"/>
    <x v="0"/>
    <x v="9"/>
    <x v="824"/>
  </r>
  <r>
    <x v="888"/>
    <x v="55"/>
    <x v="888"/>
    <x v="4"/>
    <x v="0"/>
    <x v="6"/>
    <x v="4"/>
    <x v="841"/>
    <x v="0"/>
    <x v="0"/>
    <x v="0"/>
    <x v="10"/>
    <x v="193"/>
  </r>
  <r>
    <x v="889"/>
    <x v="55"/>
    <x v="889"/>
    <x v="0"/>
    <x v="4"/>
    <x v="11"/>
    <x v="1"/>
    <x v="842"/>
    <x v="0"/>
    <x v="0"/>
    <x v="0"/>
    <x v="14"/>
    <x v="596"/>
  </r>
  <r>
    <x v="890"/>
    <x v="56"/>
    <x v="890"/>
    <x v="3"/>
    <x v="0"/>
    <x v="4"/>
    <x v="6"/>
    <x v="843"/>
    <x v="0"/>
    <x v="0"/>
    <x v="0"/>
    <x v="11"/>
    <x v="825"/>
  </r>
  <r>
    <x v="891"/>
    <x v="56"/>
    <x v="891"/>
    <x v="3"/>
    <x v="0"/>
    <x v="4"/>
    <x v="7"/>
    <x v="844"/>
    <x v="0"/>
    <x v="0"/>
    <x v="0"/>
    <x v="11"/>
    <x v="695"/>
  </r>
  <r>
    <x v="892"/>
    <x v="56"/>
    <x v="892"/>
    <x v="4"/>
    <x v="4"/>
    <x v="7"/>
    <x v="5"/>
    <x v="845"/>
    <x v="0"/>
    <x v="0"/>
    <x v="0"/>
    <x v="0"/>
    <x v="826"/>
  </r>
  <r>
    <x v="893"/>
    <x v="56"/>
    <x v="893"/>
    <x v="6"/>
    <x v="0"/>
    <x v="21"/>
    <x v="5"/>
    <x v="846"/>
    <x v="0"/>
    <x v="0"/>
    <x v="0"/>
    <x v="0"/>
    <x v="827"/>
  </r>
  <r>
    <x v="894"/>
    <x v="56"/>
    <x v="894"/>
    <x v="7"/>
    <x v="3"/>
    <x v="69"/>
    <x v="3"/>
    <x v="847"/>
    <x v="0"/>
    <x v="0"/>
    <x v="0"/>
    <x v="0"/>
    <x v="828"/>
  </r>
  <r>
    <x v="895"/>
    <x v="56"/>
    <x v="895"/>
    <x v="0"/>
    <x v="2"/>
    <x v="2"/>
    <x v="2"/>
    <x v="848"/>
    <x v="0"/>
    <x v="0"/>
    <x v="0"/>
    <x v="2"/>
    <x v="598"/>
  </r>
  <r>
    <x v="896"/>
    <x v="56"/>
    <x v="896"/>
    <x v="0"/>
    <x v="0"/>
    <x v="0"/>
    <x v="13"/>
    <x v="849"/>
    <x v="0"/>
    <x v="0"/>
    <x v="0"/>
    <x v="5"/>
    <x v="816"/>
  </r>
  <r>
    <x v="897"/>
    <x v="56"/>
    <x v="897"/>
    <x v="4"/>
    <x v="1"/>
    <x v="5"/>
    <x v="0"/>
    <x v="850"/>
    <x v="0"/>
    <x v="0"/>
    <x v="0"/>
    <x v="6"/>
    <x v="829"/>
  </r>
  <r>
    <x v="898"/>
    <x v="56"/>
    <x v="898"/>
    <x v="0"/>
    <x v="0"/>
    <x v="0"/>
    <x v="7"/>
    <x v="851"/>
    <x v="0"/>
    <x v="0"/>
    <x v="0"/>
    <x v="16"/>
    <x v="830"/>
  </r>
  <r>
    <x v="899"/>
    <x v="56"/>
    <x v="899"/>
    <x v="0"/>
    <x v="0"/>
    <x v="0"/>
    <x v="5"/>
    <x v="852"/>
    <x v="0"/>
    <x v="0"/>
    <x v="0"/>
    <x v="7"/>
    <x v="831"/>
  </r>
  <r>
    <x v="900"/>
    <x v="56"/>
    <x v="900"/>
    <x v="0"/>
    <x v="0"/>
    <x v="0"/>
    <x v="4"/>
    <x v="853"/>
    <x v="0"/>
    <x v="0"/>
    <x v="0"/>
    <x v="7"/>
    <x v="832"/>
  </r>
  <r>
    <x v="901"/>
    <x v="56"/>
    <x v="901"/>
    <x v="4"/>
    <x v="0"/>
    <x v="6"/>
    <x v="1"/>
    <x v="854"/>
    <x v="0"/>
    <x v="0"/>
    <x v="0"/>
    <x v="7"/>
    <x v="833"/>
  </r>
  <r>
    <x v="902"/>
    <x v="56"/>
    <x v="902"/>
    <x v="0"/>
    <x v="0"/>
    <x v="0"/>
    <x v="7"/>
    <x v="545"/>
    <x v="0"/>
    <x v="0"/>
    <x v="0"/>
    <x v="13"/>
    <x v="834"/>
  </r>
  <r>
    <x v="903"/>
    <x v="56"/>
    <x v="903"/>
    <x v="0"/>
    <x v="1"/>
    <x v="28"/>
    <x v="1"/>
    <x v="855"/>
    <x v="0"/>
    <x v="0"/>
    <x v="0"/>
    <x v="9"/>
    <x v="835"/>
  </r>
  <r>
    <x v="904"/>
    <x v="56"/>
    <x v="904"/>
    <x v="0"/>
    <x v="0"/>
    <x v="0"/>
    <x v="1"/>
    <x v="856"/>
    <x v="0"/>
    <x v="0"/>
    <x v="0"/>
    <x v="15"/>
    <x v="836"/>
  </r>
  <r>
    <x v="905"/>
    <x v="56"/>
    <x v="905"/>
    <x v="0"/>
    <x v="2"/>
    <x v="2"/>
    <x v="7"/>
    <x v="857"/>
    <x v="0"/>
    <x v="0"/>
    <x v="0"/>
    <x v="20"/>
    <x v="837"/>
  </r>
  <r>
    <x v="906"/>
    <x v="57"/>
    <x v="906"/>
    <x v="0"/>
    <x v="0"/>
    <x v="0"/>
    <x v="4"/>
    <x v="858"/>
    <x v="0"/>
    <x v="0"/>
    <x v="0"/>
    <x v="11"/>
    <x v="838"/>
  </r>
  <r>
    <x v="907"/>
    <x v="57"/>
    <x v="907"/>
    <x v="6"/>
    <x v="0"/>
    <x v="21"/>
    <x v="1"/>
    <x v="859"/>
    <x v="0"/>
    <x v="0"/>
    <x v="0"/>
    <x v="11"/>
    <x v="839"/>
  </r>
  <r>
    <x v="908"/>
    <x v="57"/>
    <x v="908"/>
    <x v="6"/>
    <x v="0"/>
    <x v="21"/>
    <x v="5"/>
    <x v="860"/>
    <x v="0"/>
    <x v="0"/>
    <x v="0"/>
    <x v="11"/>
    <x v="840"/>
  </r>
  <r>
    <x v="909"/>
    <x v="57"/>
    <x v="909"/>
    <x v="5"/>
    <x v="1"/>
    <x v="23"/>
    <x v="7"/>
    <x v="861"/>
    <x v="0"/>
    <x v="0"/>
    <x v="0"/>
    <x v="11"/>
    <x v="841"/>
  </r>
  <r>
    <x v="910"/>
    <x v="57"/>
    <x v="910"/>
    <x v="6"/>
    <x v="3"/>
    <x v="40"/>
    <x v="3"/>
    <x v="862"/>
    <x v="0"/>
    <x v="0"/>
    <x v="0"/>
    <x v="12"/>
    <x v="842"/>
  </r>
  <r>
    <x v="911"/>
    <x v="57"/>
    <x v="911"/>
    <x v="6"/>
    <x v="4"/>
    <x v="39"/>
    <x v="6"/>
    <x v="863"/>
    <x v="0"/>
    <x v="0"/>
    <x v="0"/>
    <x v="12"/>
    <x v="843"/>
  </r>
  <r>
    <x v="912"/>
    <x v="57"/>
    <x v="912"/>
    <x v="4"/>
    <x v="0"/>
    <x v="6"/>
    <x v="3"/>
    <x v="864"/>
    <x v="0"/>
    <x v="0"/>
    <x v="0"/>
    <x v="0"/>
    <x v="844"/>
  </r>
  <r>
    <x v="913"/>
    <x v="57"/>
    <x v="913"/>
    <x v="0"/>
    <x v="0"/>
    <x v="0"/>
    <x v="1"/>
    <x v="865"/>
    <x v="0"/>
    <x v="0"/>
    <x v="0"/>
    <x v="1"/>
    <x v="845"/>
  </r>
  <r>
    <x v="914"/>
    <x v="57"/>
    <x v="914"/>
    <x v="0"/>
    <x v="2"/>
    <x v="2"/>
    <x v="6"/>
    <x v="866"/>
    <x v="0"/>
    <x v="0"/>
    <x v="0"/>
    <x v="2"/>
    <x v="846"/>
  </r>
  <r>
    <x v="915"/>
    <x v="57"/>
    <x v="915"/>
    <x v="0"/>
    <x v="4"/>
    <x v="11"/>
    <x v="7"/>
    <x v="867"/>
    <x v="0"/>
    <x v="0"/>
    <x v="0"/>
    <x v="3"/>
    <x v="847"/>
  </r>
  <r>
    <x v="916"/>
    <x v="57"/>
    <x v="916"/>
    <x v="0"/>
    <x v="0"/>
    <x v="0"/>
    <x v="7"/>
    <x v="868"/>
    <x v="0"/>
    <x v="0"/>
    <x v="0"/>
    <x v="5"/>
    <x v="68"/>
  </r>
  <r>
    <x v="917"/>
    <x v="57"/>
    <x v="917"/>
    <x v="0"/>
    <x v="6"/>
    <x v="10"/>
    <x v="8"/>
    <x v="869"/>
    <x v="0"/>
    <x v="0"/>
    <x v="0"/>
    <x v="7"/>
    <x v="848"/>
  </r>
  <r>
    <x v="918"/>
    <x v="57"/>
    <x v="918"/>
    <x v="3"/>
    <x v="0"/>
    <x v="4"/>
    <x v="7"/>
    <x v="870"/>
    <x v="0"/>
    <x v="0"/>
    <x v="0"/>
    <x v="7"/>
    <x v="849"/>
  </r>
  <r>
    <x v="919"/>
    <x v="57"/>
    <x v="919"/>
    <x v="4"/>
    <x v="0"/>
    <x v="6"/>
    <x v="2"/>
    <x v="871"/>
    <x v="0"/>
    <x v="0"/>
    <x v="0"/>
    <x v="7"/>
    <x v="136"/>
  </r>
  <r>
    <x v="920"/>
    <x v="57"/>
    <x v="920"/>
    <x v="4"/>
    <x v="0"/>
    <x v="6"/>
    <x v="4"/>
    <x v="872"/>
    <x v="0"/>
    <x v="0"/>
    <x v="0"/>
    <x v="9"/>
    <x v="850"/>
  </r>
  <r>
    <x v="921"/>
    <x v="57"/>
    <x v="921"/>
    <x v="4"/>
    <x v="4"/>
    <x v="7"/>
    <x v="0"/>
    <x v="873"/>
    <x v="0"/>
    <x v="0"/>
    <x v="0"/>
    <x v="14"/>
    <x v="54"/>
  </r>
  <r>
    <x v="922"/>
    <x v="58"/>
    <x v="922"/>
    <x v="1"/>
    <x v="0"/>
    <x v="24"/>
    <x v="7"/>
    <x v="874"/>
    <x v="0"/>
    <x v="0"/>
    <x v="0"/>
    <x v="11"/>
    <x v="851"/>
  </r>
  <r>
    <x v="923"/>
    <x v="58"/>
    <x v="923"/>
    <x v="4"/>
    <x v="0"/>
    <x v="6"/>
    <x v="5"/>
    <x v="875"/>
    <x v="0"/>
    <x v="0"/>
    <x v="0"/>
    <x v="0"/>
    <x v="852"/>
  </r>
  <r>
    <x v="924"/>
    <x v="58"/>
    <x v="924"/>
    <x v="4"/>
    <x v="5"/>
    <x v="9"/>
    <x v="5"/>
    <x v="876"/>
    <x v="0"/>
    <x v="0"/>
    <x v="0"/>
    <x v="1"/>
    <x v="853"/>
  </r>
  <r>
    <x v="925"/>
    <x v="58"/>
    <x v="925"/>
    <x v="5"/>
    <x v="5"/>
    <x v="70"/>
    <x v="1"/>
    <x v="877"/>
    <x v="0"/>
    <x v="0"/>
    <x v="0"/>
    <x v="1"/>
    <x v="854"/>
  </r>
  <r>
    <x v="926"/>
    <x v="58"/>
    <x v="926"/>
    <x v="2"/>
    <x v="0"/>
    <x v="59"/>
    <x v="5"/>
    <x v="878"/>
    <x v="0"/>
    <x v="0"/>
    <x v="0"/>
    <x v="2"/>
    <x v="855"/>
  </r>
  <r>
    <x v="927"/>
    <x v="58"/>
    <x v="927"/>
    <x v="0"/>
    <x v="0"/>
    <x v="0"/>
    <x v="2"/>
    <x v="879"/>
    <x v="0"/>
    <x v="0"/>
    <x v="0"/>
    <x v="4"/>
    <x v="856"/>
  </r>
  <r>
    <x v="928"/>
    <x v="58"/>
    <x v="928"/>
    <x v="3"/>
    <x v="0"/>
    <x v="4"/>
    <x v="2"/>
    <x v="880"/>
    <x v="0"/>
    <x v="0"/>
    <x v="0"/>
    <x v="5"/>
    <x v="857"/>
  </r>
  <r>
    <x v="929"/>
    <x v="58"/>
    <x v="929"/>
    <x v="3"/>
    <x v="0"/>
    <x v="4"/>
    <x v="6"/>
    <x v="881"/>
    <x v="0"/>
    <x v="0"/>
    <x v="7"/>
    <x v="19"/>
    <x v="858"/>
  </r>
  <r>
    <x v="930"/>
    <x v="58"/>
    <x v="930"/>
    <x v="0"/>
    <x v="1"/>
    <x v="28"/>
    <x v="4"/>
    <x v="882"/>
    <x v="0"/>
    <x v="0"/>
    <x v="0"/>
    <x v="22"/>
    <x v="859"/>
  </r>
  <r>
    <x v="931"/>
    <x v="58"/>
    <x v="931"/>
    <x v="3"/>
    <x v="0"/>
    <x v="4"/>
    <x v="5"/>
    <x v="883"/>
    <x v="0"/>
    <x v="0"/>
    <x v="0"/>
    <x v="22"/>
    <x v="860"/>
  </r>
  <r>
    <x v="932"/>
    <x v="58"/>
    <x v="932"/>
    <x v="4"/>
    <x v="4"/>
    <x v="7"/>
    <x v="6"/>
    <x v="884"/>
    <x v="0"/>
    <x v="0"/>
    <x v="0"/>
    <x v="6"/>
    <x v="861"/>
  </r>
  <r>
    <x v="933"/>
    <x v="58"/>
    <x v="933"/>
    <x v="0"/>
    <x v="0"/>
    <x v="0"/>
    <x v="1"/>
    <x v="885"/>
    <x v="0"/>
    <x v="0"/>
    <x v="0"/>
    <x v="18"/>
    <x v="862"/>
  </r>
  <r>
    <x v="934"/>
    <x v="58"/>
    <x v="934"/>
    <x v="4"/>
    <x v="1"/>
    <x v="5"/>
    <x v="2"/>
    <x v="886"/>
    <x v="0"/>
    <x v="0"/>
    <x v="0"/>
    <x v="7"/>
    <x v="863"/>
  </r>
  <r>
    <x v="935"/>
    <x v="58"/>
    <x v="935"/>
    <x v="0"/>
    <x v="0"/>
    <x v="0"/>
    <x v="1"/>
    <x v="887"/>
    <x v="0"/>
    <x v="0"/>
    <x v="0"/>
    <x v="9"/>
    <x v="864"/>
  </r>
  <r>
    <x v="936"/>
    <x v="58"/>
    <x v="936"/>
    <x v="3"/>
    <x v="0"/>
    <x v="4"/>
    <x v="7"/>
    <x v="888"/>
    <x v="0"/>
    <x v="0"/>
    <x v="0"/>
    <x v="10"/>
    <x v="865"/>
  </r>
  <r>
    <x v="937"/>
    <x v="59"/>
    <x v="937"/>
    <x v="3"/>
    <x v="0"/>
    <x v="4"/>
    <x v="5"/>
    <x v="889"/>
    <x v="0"/>
    <x v="0"/>
    <x v="0"/>
    <x v="11"/>
    <x v="508"/>
  </r>
  <r>
    <x v="938"/>
    <x v="59"/>
    <x v="938"/>
    <x v="0"/>
    <x v="0"/>
    <x v="0"/>
    <x v="5"/>
    <x v="890"/>
    <x v="0"/>
    <x v="0"/>
    <x v="0"/>
    <x v="11"/>
    <x v="866"/>
  </r>
  <r>
    <x v="939"/>
    <x v="59"/>
    <x v="939"/>
    <x v="0"/>
    <x v="0"/>
    <x v="0"/>
    <x v="5"/>
    <x v="891"/>
    <x v="0"/>
    <x v="0"/>
    <x v="0"/>
    <x v="11"/>
    <x v="867"/>
  </r>
  <r>
    <x v="940"/>
    <x v="59"/>
    <x v="940"/>
    <x v="0"/>
    <x v="1"/>
    <x v="28"/>
    <x v="4"/>
    <x v="892"/>
    <x v="0"/>
    <x v="0"/>
    <x v="0"/>
    <x v="11"/>
    <x v="868"/>
  </r>
  <r>
    <x v="941"/>
    <x v="59"/>
    <x v="941"/>
    <x v="1"/>
    <x v="0"/>
    <x v="24"/>
    <x v="7"/>
    <x v="893"/>
    <x v="0"/>
    <x v="0"/>
    <x v="0"/>
    <x v="1"/>
    <x v="869"/>
  </r>
  <r>
    <x v="942"/>
    <x v="59"/>
    <x v="942"/>
    <x v="1"/>
    <x v="2"/>
    <x v="18"/>
    <x v="6"/>
    <x v="894"/>
    <x v="0"/>
    <x v="0"/>
    <x v="0"/>
    <x v="3"/>
    <x v="870"/>
  </r>
  <r>
    <x v="943"/>
    <x v="59"/>
    <x v="943"/>
    <x v="3"/>
    <x v="0"/>
    <x v="4"/>
    <x v="4"/>
    <x v="895"/>
    <x v="0"/>
    <x v="0"/>
    <x v="0"/>
    <x v="4"/>
    <x v="871"/>
  </r>
  <r>
    <x v="944"/>
    <x v="59"/>
    <x v="944"/>
    <x v="0"/>
    <x v="4"/>
    <x v="11"/>
    <x v="6"/>
    <x v="896"/>
    <x v="0"/>
    <x v="0"/>
    <x v="0"/>
    <x v="17"/>
    <x v="571"/>
  </r>
  <r>
    <x v="945"/>
    <x v="59"/>
    <x v="945"/>
    <x v="0"/>
    <x v="0"/>
    <x v="0"/>
    <x v="2"/>
    <x v="897"/>
    <x v="0"/>
    <x v="0"/>
    <x v="0"/>
    <x v="6"/>
    <x v="872"/>
  </r>
  <r>
    <x v="946"/>
    <x v="59"/>
    <x v="946"/>
    <x v="0"/>
    <x v="2"/>
    <x v="2"/>
    <x v="3"/>
    <x v="898"/>
    <x v="0"/>
    <x v="0"/>
    <x v="0"/>
    <x v="18"/>
    <x v="873"/>
  </r>
  <r>
    <x v="947"/>
    <x v="59"/>
    <x v="947"/>
    <x v="4"/>
    <x v="0"/>
    <x v="6"/>
    <x v="7"/>
    <x v="899"/>
    <x v="0"/>
    <x v="0"/>
    <x v="0"/>
    <x v="7"/>
    <x v="874"/>
  </r>
  <r>
    <x v="948"/>
    <x v="59"/>
    <x v="948"/>
    <x v="3"/>
    <x v="0"/>
    <x v="4"/>
    <x v="9"/>
    <x v="900"/>
    <x v="0"/>
    <x v="0"/>
    <x v="0"/>
    <x v="7"/>
    <x v="340"/>
  </r>
  <r>
    <x v="949"/>
    <x v="59"/>
    <x v="949"/>
    <x v="3"/>
    <x v="0"/>
    <x v="4"/>
    <x v="5"/>
    <x v="901"/>
    <x v="0"/>
    <x v="0"/>
    <x v="0"/>
    <x v="13"/>
    <x v="875"/>
  </r>
  <r>
    <x v="950"/>
    <x v="59"/>
    <x v="950"/>
    <x v="4"/>
    <x v="8"/>
    <x v="66"/>
    <x v="6"/>
    <x v="545"/>
    <x v="0"/>
    <x v="0"/>
    <x v="0"/>
    <x v="9"/>
    <x v="876"/>
  </r>
  <r>
    <x v="951"/>
    <x v="59"/>
    <x v="951"/>
    <x v="0"/>
    <x v="6"/>
    <x v="10"/>
    <x v="2"/>
    <x v="902"/>
    <x v="0"/>
    <x v="0"/>
    <x v="0"/>
    <x v="10"/>
    <x v="877"/>
  </r>
  <r>
    <x v="952"/>
    <x v="59"/>
    <x v="952"/>
    <x v="4"/>
    <x v="4"/>
    <x v="7"/>
    <x v="4"/>
    <x v="903"/>
    <x v="0"/>
    <x v="0"/>
    <x v="0"/>
    <x v="14"/>
    <x v="878"/>
  </r>
  <r>
    <x v="953"/>
    <x v="59"/>
    <x v="953"/>
    <x v="4"/>
    <x v="0"/>
    <x v="6"/>
    <x v="4"/>
    <x v="904"/>
    <x v="0"/>
    <x v="0"/>
    <x v="0"/>
    <x v="15"/>
    <x v="879"/>
  </r>
  <r>
    <x v="954"/>
    <x v="60"/>
    <x v="954"/>
    <x v="6"/>
    <x v="1"/>
    <x v="19"/>
    <x v="6"/>
    <x v="905"/>
    <x v="0"/>
    <x v="0"/>
    <x v="0"/>
    <x v="11"/>
    <x v="407"/>
  </r>
  <r>
    <x v="955"/>
    <x v="60"/>
    <x v="955"/>
    <x v="3"/>
    <x v="0"/>
    <x v="4"/>
    <x v="7"/>
    <x v="906"/>
    <x v="0"/>
    <x v="0"/>
    <x v="0"/>
    <x v="11"/>
    <x v="880"/>
  </r>
  <r>
    <x v="956"/>
    <x v="60"/>
    <x v="956"/>
    <x v="3"/>
    <x v="0"/>
    <x v="4"/>
    <x v="4"/>
    <x v="907"/>
    <x v="0"/>
    <x v="0"/>
    <x v="0"/>
    <x v="11"/>
    <x v="881"/>
  </r>
  <r>
    <x v="957"/>
    <x v="60"/>
    <x v="957"/>
    <x v="4"/>
    <x v="0"/>
    <x v="6"/>
    <x v="4"/>
    <x v="908"/>
    <x v="0"/>
    <x v="0"/>
    <x v="0"/>
    <x v="11"/>
    <x v="882"/>
  </r>
  <r>
    <x v="958"/>
    <x v="60"/>
    <x v="958"/>
    <x v="3"/>
    <x v="5"/>
    <x v="8"/>
    <x v="1"/>
    <x v="909"/>
    <x v="0"/>
    <x v="0"/>
    <x v="0"/>
    <x v="0"/>
    <x v="883"/>
  </r>
  <r>
    <x v="959"/>
    <x v="60"/>
    <x v="959"/>
    <x v="6"/>
    <x v="4"/>
    <x v="39"/>
    <x v="1"/>
    <x v="910"/>
    <x v="0"/>
    <x v="0"/>
    <x v="0"/>
    <x v="0"/>
    <x v="884"/>
  </r>
  <r>
    <x v="960"/>
    <x v="60"/>
    <x v="960"/>
    <x v="4"/>
    <x v="0"/>
    <x v="6"/>
    <x v="7"/>
    <x v="911"/>
    <x v="0"/>
    <x v="0"/>
    <x v="0"/>
    <x v="1"/>
    <x v="885"/>
  </r>
  <r>
    <x v="961"/>
    <x v="60"/>
    <x v="961"/>
    <x v="4"/>
    <x v="0"/>
    <x v="6"/>
    <x v="4"/>
    <x v="912"/>
    <x v="0"/>
    <x v="0"/>
    <x v="0"/>
    <x v="1"/>
    <x v="886"/>
  </r>
  <r>
    <x v="962"/>
    <x v="60"/>
    <x v="962"/>
    <x v="1"/>
    <x v="0"/>
    <x v="24"/>
    <x v="4"/>
    <x v="913"/>
    <x v="0"/>
    <x v="0"/>
    <x v="0"/>
    <x v="1"/>
    <x v="887"/>
  </r>
  <r>
    <x v="963"/>
    <x v="60"/>
    <x v="963"/>
    <x v="6"/>
    <x v="5"/>
    <x v="43"/>
    <x v="3"/>
    <x v="914"/>
    <x v="0"/>
    <x v="12"/>
    <x v="0"/>
    <x v="2"/>
    <x v="888"/>
  </r>
  <r>
    <x v="964"/>
    <x v="60"/>
    <x v="964"/>
    <x v="0"/>
    <x v="0"/>
    <x v="0"/>
    <x v="5"/>
    <x v="915"/>
    <x v="0"/>
    <x v="0"/>
    <x v="0"/>
    <x v="2"/>
    <x v="889"/>
  </r>
  <r>
    <x v="965"/>
    <x v="60"/>
    <x v="965"/>
    <x v="0"/>
    <x v="6"/>
    <x v="10"/>
    <x v="4"/>
    <x v="916"/>
    <x v="0"/>
    <x v="0"/>
    <x v="0"/>
    <x v="3"/>
    <x v="890"/>
  </r>
  <r>
    <x v="966"/>
    <x v="60"/>
    <x v="966"/>
    <x v="0"/>
    <x v="0"/>
    <x v="0"/>
    <x v="6"/>
    <x v="917"/>
    <x v="0"/>
    <x v="0"/>
    <x v="0"/>
    <x v="5"/>
    <x v="683"/>
  </r>
  <r>
    <x v="967"/>
    <x v="60"/>
    <x v="967"/>
    <x v="4"/>
    <x v="0"/>
    <x v="6"/>
    <x v="7"/>
    <x v="918"/>
    <x v="0"/>
    <x v="0"/>
    <x v="0"/>
    <x v="18"/>
    <x v="891"/>
  </r>
  <r>
    <x v="968"/>
    <x v="60"/>
    <x v="968"/>
    <x v="4"/>
    <x v="4"/>
    <x v="7"/>
    <x v="2"/>
    <x v="919"/>
    <x v="0"/>
    <x v="0"/>
    <x v="0"/>
    <x v="18"/>
    <x v="51"/>
  </r>
  <r>
    <x v="969"/>
    <x v="60"/>
    <x v="969"/>
    <x v="0"/>
    <x v="6"/>
    <x v="10"/>
    <x v="4"/>
    <x v="920"/>
    <x v="0"/>
    <x v="0"/>
    <x v="0"/>
    <x v="8"/>
    <x v="892"/>
  </r>
  <r>
    <x v="970"/>
    <x v="60"/>
    <x v="970"/>
    <x v="4"/>
    <x v="6"/>
    <x v="12"/>
    <x v="2"/>
    <x v="921"/>
    <x v="0"/>
    <x v="0"/>
    <x v="0"/>
    <x v="9"/>
    <x v="893"/>
  </r>
  <r>
    <x v="971"/>
    <x v="60"/>
    <x v="971"/>
    <x v="4"/>
    <x v="0"/>
    <x v="6"/>
    <x v="0"/>
    <x v="922"/>
    <x v="0"/>
    <x v="0"/>
    <x v="0"/>
    <x v="14"/>
    <x v="894"/>
  </r>
  <r>
    <x v="972"/>
    <x v="61"/>
    <x v="972"/>
    <x v="5"/>
    <x v="0"/>
    <x v="14"/>
    <x v="1"/>
    <x v="923"/>
    <x v="0"/>
    <x v="0"/>
    <x v="0"/>
    <x v="11"/>
    <x v="669"/>
  </r>
  <r>
    <x v="973"/>
    <x v="61"/>
    <x v="973"/>
    <x v="0"/>
    <x v="4"/>
    <x v="11"/>
    <x v="5"/>
    <x v="545"/>
    <x v="0"/>
    <x v="0"/>
    <x v="0"/>
    <x v="3"/>
    <x v="895"/>
  </r>
  <r>
    <x v="974"/>
    <x v="61"/>
    <x v="974"/>
    <x v="4"/>
    <x v="0"/>
    <x v="6"/>
    <x v="7"/>
    <x v="545"/>
    <x v="0"/>
    <x v="0"/>
    <x v="0"/>
    <x v="5"/>
    <x v="896"/>
  </r>
  <r>
    <x v="975"/>
    <x v="61"/>
    <x v="975"/>
    <x v="3"/>
    <x v="4"/>
    <x v="16"/>
    <x v="8"/>
    <x v="924"/>
    <x v="0"/>
    <x v="0"/>
    <x v="0"/>
    <x v="24"/>
    <x v="897"/>
  </r>
  <r>
    <x v="976"/>
    <x v="61"/>
    <x v="976"/>
    <x v="4"/>
    <x v="1"/>
    <x v="5"/>
    <x v="2"/>
    <x v="925"/>
    <x v="0"/>
    <x v="0"/>
    <x v="0"/>
    <x v="16"/>
    <x v="898"/>
  </r>
  <r>
    <x v="977"/>
    <x v="61"/>
    <x v="977"/>
    <x v="4"/>
    <x v="2"/>
    <x v="20"/>
    <x v="6"/>
    <x v="926"/>
    <x v="0"/>
    <x v="0"/>
    <x v="0"/>
    <x v="7"/>
    <x v="193"/>
  </r>
  <r>
    <x v="978"/>
    <x v="61"/>
    <x v="978"/>
    <x v="4"/>
    <x v="4"/>
    <x v="7"/>
    <x v="13"/>
    <x v="927"/>
    <x v="0"/>
    <x v="0"/>
    <x v="0"/>
    <x v="9"/>
    <x v="899"/>
  </r>
  <r>
    <x v="979"/>
    <x v="61"/>
    <x v="979"/>
    <x v="0"/>
    <x v="4"/>
    <x v="11"/>
    <x v="2"/>
    <x v="928"/>
    <x v="0"/>
    <x v="0"/>
    <x v="0"/>
    <x v="14"/>
    <x v="900"/>
  </r>
  <r>
    <x v="980"/>
    <x v="61"/>
    <x v="980"/>
    <x v="0"/>
    <x v="0"/>
    <x v="0"/>
    <x v="13"/>
    <x v="929"/>
    <x v="0"/>
    <x v="0"/>
    <x v="0"/>
    <x v="14"/>
    <x v="901"/>
  </r>
  <r>
    <x v="981"/>
    <x v="62"/>
    <x v="981"/>
    <x v="3"/>
    <x v="0"/>
    <x v="4"/>
    <x v="5"/>
    <x v="930"/>
    <x v="0"/>
    <x v="0"/>
    <x v="0"/>
    <x v="11"/>
    <x v="902"/>
  </r>
  <r>
    <x v="982"/>
    <x v="62"/>
    <x v="982"/>
    <x v="6"/>
    <x v="5"/>
    <x v="43"/>
    <x v="6"/>
    <x v="931"/>
    <x v="0"/>
    <x v="13"/>
    <x v="0"/>
    <x v="11"/>
    <x v="903"/>
  </r>
  <r>
    <x v="983"/>
    <x v="62"/>
    <x v="983"/>
    <x v="3"/>
    <x v="0"/>
    <x v="4"/>
    <x v="1"/>
    <x v="932"/>
    <x v="0"/>
    <x v="0"/>
    <x v="0"/>
    <x v="11"/>
    <x v="904"/>
  </r>
  <r>
    <x v="984"/>
    <x v="62"/>
    <x v="984"/>
    <x v="1"/>
    <x v="0"/>
    <x v="24"/>
    <x v="4"/>
    <x v="933"/>
    <x v="0"/>
    <x v="0"/>
    <x v="8"/>
    <x v="12"/>
    <x v="905"/>
  </r>
  <r>
    <x v="985"/>
    <x v="62"/>
    <x v="985"/>
    <x v="10"/>
    <x v="0"/>
    <x v="48"/>
    <x v="5"/>
    <x v="934"/>
    <x v="0"/>
    <x v="0"/>
    <x v="0"/>
    <x v="0"/>
    <x v="906"/>
  </r>
  <r>
    <x v="986"/>
    <x v="62"/>
    <x v="986"/>
    <x v="4"/>
    <x v="0"/>
    <x v="6"/>
    <x v="7"/>
    <x v="935"/>
    <x v="0"/>
    <x v="0"/>
    <x v="0"/>
    <x v="0"/>
    <x v="907"/>
  </r>
  <r>
    <x v="987"/>
    <x v="62"/>
    <x v="987"/>
    <x v="4"/>
    <x v="0"/>
    <x v="6"/>
    <x v="1"/>
    <x v="936"/>
    <x v="0"/>
    <x v="0"/>
    <x v="0"/>
    <x v="0"/>
    <x v="675"/>
  </r>
  <r>
    <x v="988"/>
    <x v="62"/>
    <x v="988"/>
    <x v="1"/>
    <x v="3"/>
    <x v="57"/>
    <x v="2"/>
    <x v="937"/>
    <x v="0"/>
    <x v="0"/>
    <x v="0"/>
    <x v="0"/>
    <x v="908"/>
  </r>
  <r>
    <x v="989"/>
    <x v="62"/>
    <x v="989"/>
    <x v="0"/>
    <x v="0"/>
    <x v="0"/>
    <x v="4"/>
    <x v="938"/>
    <x v="0"/>
    <x v="0"/>
    <x v="0"/>
    <x v="0"/>
    <x v="909"/>
  </r>
  <r>
    <x v="990"/>
    <x v="62"/>
    <x v="990"/>
    <x v="3"/>
    <x v="0"/>
    <x v="4"/>
    <x v="4"/>
    <x v="939"/>
    <x v="0"/>
    <x v="0"/>
    <x v="0"/>
    <x v="1"/>
    <x v="910"/>
  </r>
  <r>
    <x v="991"/>
    <x v="62"/>
    <x v="991"/>
    <x v="4"/>
    <x v="0"/>
    <x v="6"/>
    <x v="13"/>
    <x v="940"/>
    <x v="0"/>
    <x v="0"/>
    <x v="0"/>
    <x v="1"/>
    <x v="911"/>
  </r>
  <r>
    <x v="992"/>
    <x v="62"/>
    <x v="992"/>
    <x v="0"/>
    <x v="0"/>
    <x v="0"/>
    <x v="7"/>
    <x v="941"/>
    <x v="0"/>
    <x v="0"/>
    <x v="0"/>
    <x v="2"/>
    <x v="912"/>
  </r>
  <r>
    <x v="993"/>
    <x v="62"/>
    <x v="993"/>
    <x v="0"/>
    <x v="0"/>
    <x v="0"/>
    <x v="5"/>
    <x v="942"/>
    <x v="0"/>
    <x v="0"/>
    <x v="0"/>
    <x v="2"/>
    <x v="913"/>
  </r>
  <r>
    <x v="994"/>
    <x v="62"/>
    <x v="994"/>
    <x v="0"/>
    <x v="3"/>
    <x v="47"/>
    <x v="7"/>
    <x v="545"/>
    <x v="0"/>
    <x v="0"/>
    <x v="0"/>
    <x v="3"/>
    <x v="914"/>
  </r>
  <r>
    <x v="995"/>
    <x v="62"/>
    <x v="995"/>
    <x v="8"/>
    <x v="0"/>
    <x v="51"/>
    <x v="0"/>
    <x v="943"/>
    <x v="0"/>
    <x v="0"/>
    <x v="0"/>
    <x v="5"/>
    <x v="140"/>
  </r>
  <r>
    <x v="996"/>
    <x v="62"/>
    <x v="996"/>
    <x v="3"/>
    <x v="14"/>
    <x v="71"/>
    <x v="3"/>
    <x v="944"/>
    <x v="0"/>
    <x v="0"/>
    <x v="0"/>
    <x v="16"/>
    <x v="143"/>
  </r>
  <r>
    <x v="997"/>
    <x v="62"/>
    <x v="997"/>
    <x v="0"/>
    <x v="0"/>
    <x v="0"/>
    <x v="5"/>
    <x v="945"/>
    <x v="0"/>
    <x v="0"/>
    <x v="0"/>
    <x v="18"/>
    <x v="915"/>
  </r>
  <r>
    <x v="998"/>
    <x v="62"/>
    <x v="998"/>
    <x v="4"/>
    <x v="4"/>
    <x v="7"/>
    <x v="10"/>
    <x v="946"/>
    <x v="0"/>
    <x v="0"/>
    <x v="0"/>
    <x v="9"/>
    <x v="916"/>
  </r>
  <r>
    <x v="999"/>
    <x v="62"/>
    <x v="999"/>
    <x v="4"/>
    <x v="0"/>
    <x v="6"/>
    <x v="6"/>
    <x v="947"/>
    <x v="0"/>
    <x v="0"/>
    <x v="0"/>
    <x v="10"/>
    <x v="917"/>
  </r>
  <r>
    <x v="1000"/>
    <x v="63"/>
    <x v="1000"/>
    <x v="0"/>
    <x v="4"/>
    <x v="11"/>
    <x v="6"/>
    <x v="948"/>
    <x v="0"/>
    <x v="0"/>
    <x v="0"/>
    <x v="12"/>
    <x v="918"/>
  </r>
  <r>
    <x v="1001"/>
    <x v="63"/>
    <x v="1001"/>
    <x v="0"/>
    <x v="0"/>
    <x v="0"/>
    <x v="4"/>
    <x v="949"/>
    <x v="0"/>
    <x v="0"/>
    <x v="0"/>
    <x v="2"/>
    <x v="919"/>
  </r>
  <r>
    <x v="1002"/>
    <x v="63"/>
    <x v="1002"/>
    <x v="0"/>
    <x v="0"/>
    <x v="0"/>
    <x v="6"/>
    <x v="950"/>
    <x v="0"/>
    <x v="0"/>
    <x v="0"/>
    <x v="3"/>
    <x v="920"/>
  </r>
  <r>
    <x v="1003"/>
    <x v="63"/>
    <x v="1003"/>
    <x v="0"/>
    <x v="4"/>
    <x v="11"/>
    <x v="4"/>
    <x v="951"/>
    <x v="0"/>
    <x v="0"/>
    <x v="0"/>
    <x v="3"/>
    <x v="28"/>
  </r>
  <r>
    <x v="1004"/>
    <x v="63"/>
    <x v="1004"/>
    <x v="0"/>
    <x v="10"/>
    <x v="37"/>
    <x v="7"/>
    <x v="952"/>
    <x v="0"/>
    <x v="0"/>
    <x v="0"/>
    <x v="4"/>
    <x v="921"/>
  </r>
  <r>
    <x v="1005"/>
    <x v="63"/>
    <x v="1005"/>
    <x v="3"/>
    <x v="0"/>
    <x v="4"/>
    <x v="5"/>
    <x v="953"/>
    <x v="0"/>
    <x v="0"/>
    <x v="0"/>
    <x v="7"/>
    <x v="922"/>
  </r>
  <r>
    <x v="1006"/>
    <x v="63"/>
    <x v="1006"/>
    <x v="0"/>
    <x v="1"/>
    <x v="28"/>
    <x v="5"/>
    <x v="954"/>
    <x v="0"/>
    <x v="0"/>
    <x v="0"/>
    <x v="13"/>
    <x v="923"/>
  </r>
  <r>
    <x v="1007"/>
    <x v="63"/>
    <x v="1007"/>
    <x v="0"/>
    <x v="0"/>
    <x v="0"/>
    <x v="6"/>
    <x v="955"/>
    <x v="0"/>
    <x v="0"/>
    <x v="0"/>
    <x v="13"/>
    <x v="924"/>
  </r>
  <r>
    <x v="1008"/>
    <x v="63"/>
    <x v="1008"/>
    <x v="4"/>
    <x v="0"/>
    <x v="6"/>
    <x v="6"/>
    <x v="956"/>
    <x v="0"/>
    <x v="0"/>
    <x v="0"/>
    <x v="9"/>
    <x v="446"/>
  </r>
  <r>
    <x v="1009"/>
    <x v="63"/>
    <x v="1009"/>
    <x v="3"/>
    <x v="0"/>
    <x v="4"/>
    <x v="5"/>
    <x v="957"/>
    <x v="0"/>
    <x v="0"/>
    <x v="0"/>
    <x v="10"/>
    <x v="131"/>
  </r>
  <r>
    <x v="1010"/>
    <x v="63"/>
    <x v="1010"/>
    <x v="4"/>
    <x v="0"/>
    <x v="6"/>
    <x v="3"/>
    <x v="958"/>
    <x v="0"/>
    <x v="0"/>
    <x v="0"/>
    <x v="10"/>
    <x v="925"/>
  </r>
  <r>
    <x v="1011"/>
    <x v="64"/>
    <x v="1011"/>
    <x v="1"/>
    <x v="0"/>
    <x v="24"/>
    <x v="2"/>
    <x v="959"/>
    <x v="0"/>
    <x v="0"/>
    <x v="0"/>
    <x v="11"/>
    <x v="926"/>
  </r>
  <r>
    <x v="1012"/>
    <x v="64"/>
    <x v="1012"/>
    <x v="0"/>
    <x v="0"/>
    <x v="0"/>
    <x v="13"/>
    <x v="960"/>
    <x v="0"/>
    <x v="0"/>
    <x v="0"/>
    <x v="0"/>
    <x v="927"/>
  </r>
  <r>
    <x v="1013"/>
    <x v="64"/>
    <x v="1013"/>
    <x v="4"/>
    <x v="0"/>
    <x v="6"/>
    <x v="2"/>
    <x v="961"/>
    <x v="0"/>
    <x v="0"/>
    <x v="0"/>
    <x v="0"/>
    <x v="928"/>
  </r>
  <r>
    <x v="1014"/>
    <x v="64"/>
    <x v="1014"/>
    <x v="3"/>
    <x v="0"/>
    <x v="4"/>
    <x v="7"/>
    <x v="962"/>
    <x v="0"/>
    <x v="0"/>
    <x v="0"/>
    <x v="0"/>
    <x v="87"/>
  </r>
  <r>
    <x v="1015"/>
    <x v="64"/>
    <x v="1015"/>
    <x v="5"/>
    <x v="0"/>
    <x v="14"/>
    <x v="14"/>
    <x v="963"/>
    <x v="0"/>
    <x v="0"/>
    <x v="0"/>
    <x v="0"/>
    <x v="929"/>
  </r>
  <r>
    <x v="1016"/>
    <x v="64"/>
    <x v="1016"/>
    <x v="6"/>
    <x v="3"/>
    <x v="40"/>
    <x v="8"/>
    <x v="964"/>
    <x v="0"/>
    <x v="0"/>
    <x v="0"/>
    <x v="4"/>
    <x v="930"/>
  </r>
  <r>
    <x v="1017"/>
    <x v="64"/>
    <x v="1017"/>
    <x v="0"/>
    <x v="0"/>
    <x v="0"/>
    <x v="2"/>
    <x v="965"/>
    <x v="0"/>
    <x v="0"/>
    <x v="0"/>
    <x v="5"/>
    <x v="931"/>
  </r>
  <r>
    <x v="1018"/>
    <x v="64"/>
    <x v="1018"/>
    <x v="0"/>
    <x v="0"/>
    <x v="0"/>
    <x v="5"/>
    <x v="966"/>
    <x v="0"/>
    <x v="0"/>
    <x v="0"/>
    <x v="5"/>
    <x v="932"/>
  </r>
  <r>
    <x v="1019"/>
    <x v="64"/>
    <x v="1019"/>
    <x v="0"/>
    <x v="0"/>
    <x v="0"/>
    <x v="7"/>
    <x v="967"/>
    <x v="0"/>
    <x v="0"/>
    <x v="0"/>
    <x v="22"/>
    <x v="99"/>
  </r>
  <r>
    <x v="1020"/>
    <x v="64"/>
    <x v="1020"/>
    <x v="4"/>
    <x v="0"/>
    <x v="6"/>
    <x v="5"/>
    <x v="968"/>
    <x v="0"/>
    <x v="0"/>
    <x v="0"/>
    <x v="7"/>
    <x v="933"/>
  </r>
  <r>
    <x v="1021"/>
    <x v="64"/>
    <x v="1021"/>
    <x v="0"/>
    <x v="0"/>
    <x v="0"/>
    <x v="2"/>
    <x v="969"/>
    <x v="0"/>
    <x v="0"/>
    <x v="0"/>
    <x v="7"/>
    <x v="934"/>
  </r>
  <r>
    <x v="1022"/>
    <x v="64"/>
    <x v="1022"/>
    <x v="4"/>
    <x v="0"/>
    <x v="6"/>
    <x v="1"/>
    <x v="970"/>
    <x v="0"/>
    <x v="0"/>
    <x v="0"/>
    <x v="7"/>
    <x v="12"/>
  </r>
  <r>
    <x v="1023"/>
    <x v="64"/>
    <x v="1023"/>
    <x v="3"/>
    <x v="0"/>
    <x v="4"/>
    <x v="4"/>
    <x v="971"/>
    <x v="0"/>
    <x v="0"/>
    <x v="0"/>
    <x v="13"/>
    <x v="935"/>
  </r>
  <r>
    <x v="1024"/>
    <x v="64"/>
    <x v="1024"/>
    <x v="4"/>
    <x v="5"/>
    <x v="9"/>
    <x v="6"/>
    <x v="972"/>
    <x v="0"/>
    <x v="0"/>
    <x v="0"/>
    <x v="13"/>
    <x v="936"/>
  </r>
  <r>
    <x v="1025"/>
    <x v="64"/>
    <x v="1025"/>
    <x v="3"/>
    <x v="0"/>
    <x v="4"/>
    <x v="7"/>
    <x v="973"/>
    <x v="0"/>
    <x v="0"/>
    <x v="0"/>
    <x v="13"/>
    <x v="937"/>
  </r>
  <r>
    <x v="1026"/>
    <x v="64"/>
    <x v="1026"/>
    <x v="0"/>
    <x v="0"/>
    <x v="0"/>
    <x v="0"/>
    <x v="974"/>
    <x v="0"/>
    <x v="0"/>
    <x v="0"/>
    <x v="9"/>
    <x v="938"/>
  </r>
  <r>
    <x v="1027"/>
    <x v="64"/>
    <x v="1027"/>
    <x v="4"/>
    <x v="4"/>
    <x v="7"/>
    <x v="7"/>
    <x v="975"/>
    <x v="0"/>
    <x v="0"/>
    <x v="0"/>
    <x v="14"/>
    <x v="939"/>
  </r>
  <r>
    <x v="1028"/>
    <x v="65"/>
    <x v="1028"/>
    <x v="5"/>
    <x v="0"/>
    <x v="14"/>
    <x v="7"/>
    <x v="976"/>
    <x v="0"/>
    <x v="0"/>
    <x v="0"/>
    <x v="0"/>
    <x v="940"/>
  </r>
  <r>
    <x v="1029"/>
    <x v="65"/>
    <x v="1029"/>
    <x v="0"/>
    <x v="2"/>
    <x v="2"/>
    <x v="5"/>
    <x v="545"/>
    <x v="0"/>
    <x v="0"/>
    <x v="0"/>
    <x v="1"/>
    <x v="941"/>
  </r>
  <r>
    <x v="1030"/>
    <x v="65"/>
    <x v="1030"/>
    <x v="10"/>
    <x v="1"/>
    <x v="65"/>
    <x v="7"/>
    <x v="977"/>
    <x v="0"/>
    <x v="0"/>
    <x v="0"/>
    <x v="2"/>
    <x v="942"/>
  </r>
  <r>
    <x v="1031"/>
    <x v="65"/>
    <x v="1031"/>
    <x v="0"/>
    <x v="0"/>
    <x v="0"/>
    <x v="7"/>
    <x v="545"/>
    <x v="0"/>
    <x v="0"/>
    <x v="0"/>
    <x v="2"/>
    <x v="943"/>
  </r>
  <r>
    <x v="1032"/>
    <x v="65"/>
    <x v="1032"/>
    <x v="0"/>
    <x v="0"/>
    <x v="0"/>
    <x v="7"/>
    <x v="978"/>
    <x v="0"/>
    <x v="0"/>
    <x v="0"/>
    <x v="5"/>
    <x v="944"/>
  </r>
  <r>
    <x v="1033"/>
    <x v="65"/>
    <x v="1033"/>
    <x v="4"/>
    <x v="0"/>
    <x v="6"/>
    <x v="7"/>
    <x v="979"/>
    <x v="0"/>
    <x v="0"/>
    <x v="0"/>
    <x v="5"/>
    <x v="945"/>
  </r>
  <r>
    <x v="1034"/>
    <x v="65"/>
    <x v="1034"/>
    <x v="0"/>
    <x v="0"/>
    <x v="0"/>
    <x v="0"/>
    <x v="545"/>
    <x v="0"/>
    <x v="0"/>
    <x v="0"/>
    <x v="5"/>
    <x v="417"/>
  </r>
  <r>
    <x v="1035"/>
    <x v="65"/>
    <x v="1035"/>
    <x v="0"/>
    <x v="0"/>
    <x v="0"/>
    <x v="4"/>
    <x v="980"/>
    <x v="0"/>
    <x v="0"/>
    <x v="0"/>
    <x v="6"/>
    <x v="946"/>
  </r>
  <r>
    <x v="1036"/>
    <x v="65"/>
    <x v="1036"/>
    <x v="0"/>
    <x v="4"/>
    <x v="11"/>
    <x v="2"/>
    <x v="981"/>
    <x v="0"/>
    <x v="0"/>
    <x v="0"/>
    <x v="18"/>
    <x v="947"/>
  </r>
  <r>
    <x v="1037"/>
    <x v="65"/>
    <x v="1037"/>
    <x v="3"/>
    <x v="0"/>
    <x v="4"/>
    <x v="7"/>
    <x v="982"/>
    <x v="0"/>
    <x v="0"/>
    <x v="0"/>
    <x v="13"/>
    <x v="948"/>
  </r>
  <r>
    <x v="1038"/>
    <x v="65"/>
    <x v="1038"/>
    <x v="0"/>
    <x v="2"/>
    <x v="2"/>
    <x v="6"/>
    <x v="545"/>
    <x v="0"/>
    <x v="0"/>
    <x v="0"/>
    <x v="13"/>
    <x v="949"/>
  </r>
  <r>
    <x v="1039"/>
    <x v="65"/>
    <x v="1039"/>
    <x v="0"/>
    <x v="4"/>
    <x v="11"/>
    <x v="5"/>
    <x v="983"/>
    <x v="0"/>
    <x v="0"/>
    <x v="0"/>
    <x v="14"/>
    <x v="950"/>
  </r>
  <r>
    <x v="1040"/>
    <x v="65"/>
    <x v="1040"/>
    <x v="0"/>
    <x v="2"/>
    <x v="2"/>
    <x v="7"/>
    <x v="984"/>
    <x v="0"/>
    <x v="0"/>
    <x v="0"/>
    <x v="15"/>
    <x v="766"/>
  </r>
  <r>
    <x v="1041"/>
    <x v="66"/>
    <x v="1041"/>
    <x v="7"/>
    <x v="0"/>
    <x v="53"/>
    <x v="2"/>
    <x v="985"/>
    <x v="0"/>
    <x v="0"/>
    <x v="0"/>
    <x v="11"/>
    <x v="951"/>
  </r>
  <r>
    <x v="1042"/>
    <x v="66"/>
    <x v="1042"/>
    <x v="2"/>
    <x v="0"/>
    <x v="59"/>
    <x v="3"/>
    <x v="986"/>
    <x v="0"/>
    <x v="0"/>
    <x v="0"/>
    <x v="11"/>
    <x v="503"/>
  </r>
  <r>
    <x v="1043"/>
    <x v="66"/>
    <x v="1043"/>
    <x v="5"/>
    <x v="0"/>
    <x v="14"/>
    <x v="4"/>
    <x v="987"/>
    <x v="0"/>
    <x v="0"/>
    <x v="0"/>
    <x v="11"/>
    <x v="952"/>
  </r>
  <r>
    <x v="1044"/>
    <x v="66"/>
    <x v="1044"/>
    <x v="3"/>
    <x v="0"/>
    <x v="4"/>
    <x v="7"/>
    <x v="988"/>
    <x v="0"/>
    <x v="0"/>
    <x v="0"/>
    <x v="11"/>
    <x v="953"/>
  </r>
  <r>
    <x v="1045"/>
    <x v="66"/>
    <x v="1045"/>
    <x v="7"/>
    <x v="0"/>
    <x v="53"/>
    <x v="4"/>
    <x v="989"/>
    <x v="0"/>
    <x v="0"/>
    <x v="0"/>
    <x v="0"/>
    <x v="954"/>
  </r>
  <r>
    <x v="1046"/>
    <x v="66"/>
    <x v="1046"/>
    <x v="5"/>
    <x v="0"/>
    <x v="14"/>
    <x v="5"/>
    <x v="990"/>
    <x v="0"/>
    <x v="0"/>
    <x v="0"/>
    <x v="0"/>
    <x v="955"/>
  </r>
  <r>
    <x v="1047"/>
    <x v="66"/>
    <x v="1047"/>
    <x v="4"/>
    <x v="0"/>
    <x v="6"/>
    <x v="7"/>
    <x v="991"/>
    <x v="0"/>
    <x v="0"/>
    <x v="0"/>
    <x v="1"/>
    <x v="956"/>
  </r>
  <r>
    <x v="1048"/>
    <x v="66"/>
    <x v="1048"/>
    <x v="2"/>
    <x v="4"/>
    <x v="72"/>
    <x v="6"/>
    <x v="992"/>
    <x v="0"/>
    <x v="0"/>
    <x v="0"/>
    <x v="3"/>
    <x v="957"/>
  </r>
  <r>
    <x v="1049"/>
    <x v="66"/>
    <x v="1049"/>
    <x v="0"/>
    <x v="0"/>
    <x v="0"/>
    <x v="4"/>
    <x v="993"/>
    <x v="0"/>
    <x v="0"/>
    <x v="0"/>
    <x v="4"/>
    <x v="958"/>
  </r>
  <r>
    <x v="1050"/>
    <x v="66"/>
    <x v="1050"/>
    <x v="0"/>
    <x v="0"/>
    <x v="0"/>
    <x v="1"/>
    <x v="994"/>
    <x v="0"/>
    <x v="0"/>
    <x v="0"/>
    <x v="5"/>
    <x v="959"/>
  </r>
  <r>
    <x v="1051"/>
    <x v="66"/>
    <x v="1051"/>
    <x v="4"/>
    <x v="0"/>
    <x v="6"/>
    <x v="11"/>
    <x v="995"/>
    <x v="0"/>
    <x v="0"/>
    <x v="0"/>
    <x v="22"/>
    <x v="960"/>
  </r>
  <r>
    <x v="1052"/>
    <x v="66"/>
    <x v="1052"/>
    <x v="0"/>
    <x v="1"/>
    <x v="28"/>
    <x v="5"/>
    <x v="996"/>
    <x v="0"/>
    <x v="0"/>
    <x v="0"/>
    <x v="7"/>
    <x v="961"/>
  </r>
  <r>
    <x v="1053"/>
    <x v="66"/>
    <x v="1053"/>
    <x v="3"/>
    <x v="0"/>
    <x v="4"/>
    <x v="4"/>
    <x v="997"/>
    <x v="0"/>
    <x v="0"/>
    <x v="0"/>
    <x v="13"/>
    <x v="962"/>
  </r>
  <r>
    <x v="1054"/>
    <x v="66"/>
    <x v="1054"/>
    <x v="3"/>
    <x v="0"/>
    <x v="4"/>
    <x v="6"/>
    <x v="998"/>
    <x v="0"/>
    <x v="0"/>
    <x v="0"/>
    <x v="9"/>
    <x v="131"/>
  </r>
  <r>
    <x v="1055"/>
    <x v="66"/>
    <x v="1055"/>
    <x v="4"/>
    <x v="4"/>
    <x v="7"/>
    <x v="2"/>
    <x v="999"/>
    <x v="0"/>
    <x v="0"/>
    <x v="0"/>
    <x v="9"/>
    <x v="963"/>
  </r>
  <r>
    <x v="1056"/>
    <x v="66"/>
    <x v="1056"/>
    <x v="4"/>
    <x v="4"/>
    <x v="7"/>
    <x v="5"/>
    <x v="1000"/>
    <x v="0"/>
    <x v="0"/>
    <x v="0"/>
    <x v="14"/>
    <x v="77"/>
  </r>
  <r>
    <x v="1057"/>
    <x v="67"/>
    <x v="1057"/>
    <x v="3"/>
    <x v="0"/>
    <x v="4"/>
    <x v="5"/>
    <x v="1001"/>
    <x v="0"/>
    <x v="0"/>
    <x v="0"/>
    <x v="11"/>
    <x v="964"/>
  </r>
  <r>
    <x v="1058"/>
    <x v="67"/>
    <x v="1058"/>
    <x v="0"/>
    <x v="1"/>
    <x v="28"/>
    <x v="1"/>
    <x v="1002"/>
    <x v="0"/>
    <x v="0"/>
    <x v="0"/>
    <x v="0"/>
    <x v="965"/>
  </r>
  <r>
    <x v="1059"/>
    <x v="67"/>
    <x v="1059"/>
    <x v="4"/>
    <x v="5"/>
    <x v="9"/>
    <x v="2"/>
    <x v="1003"/>
    <x v="0"/>
    <x v="0"/>
    <x v="0"/>
    <x v="0"/>
    <x v="966"/>
  </r>
  <r>
    <x v="1060"/>
    <x v="67"/>
    <x v="1060"/>
    <x v="6"/>
    <x v="2"/>
    <x v="44"/>
    <x v="2"/>
    <x v="1004"/>
    <x v="0"/>
    <x v="0"/>
    <x v="0"/>
    <x v="1"/>
    <x v="967"/>
  </r>
  <r>
    <x v="1061"/>
    <x v="67"/>
    <x v="1061"/>
    <x v="4"/>
    <x v="0"/>
    <x v="6"/>
    <x v="4"/>
    <x v="1005"/>
    <x v="0"/>
    <x v="0"/>
    <x v="0"/>
    <x v="1"/>
    <x v="968"/>
  </r>
  <r>
    <x v="1062"/>
    <x v="67"/>
    <x v="1062"/>
    <x v="0"/>
    <x v="10"/>
    <x v="37"/>
    <x v="7"/>
    <x v="545"/>
    <x v="0"/>
    <x v="0"/>
    <x v="0"/>
    <x v="5"/>
    <x v="969"/>
  </r>
  <r>
    <x v="1063"/>
    <x v="67"/>
    <x v="1063"/>
    <x v="3"/>
    <x v="0"/>
    <x v="4"/>
    <x v="7"/>
    <x v="1006"/>
    <x v="0"/>
    <x v="0"/>
    <x v="0"/>
    <x v="5"/>
    <x v="57"/>
  </r>
  <r>
    <x v="1064"/>
    <x v="67"/>
    <x v="1064"/>
    <x v="0"/>
    <x v="5"/>
    <x v="25"/>
    <x v="4"/>
    <x v="1007"/>
    <x v="0"/>
    <x v="0"/>
    <x v="0"/>
    <x v="7"/>
    <x v="970"/>
  </r>
  <r>
    <x v="1065"/>
    <x v="67"/>
    <x v="1065"/>
    <x v="4"/>
    <x v="6"/>
    <x v="12"/>
    <x v="1"/>
    <x v="1008"/>
    <x v="0"/>
    <x v="0"/>
    <x v="0"/>
    <x v="9"/>
    <x v="971"/>
  </r>
  <r>
    <x v="1066"/>
    <x v="67"/>
    <x v="1066"/>
    <x v="0"/>
    <x v="0"/>
    <x v="0"/>
    <x v="7"/>
    <x v="1009"/>
    <x v="0"/>
    <x v="0"/>
    <x v="0"/>
    <x v="9"/>
    <x v="972"/>
  </r>
  <r>
    <x v="1067"/>
    <x v="67"/>
    <x v="1067"/>
    <x v="4"/>
    <x v="4"/>
    <x v="7"/>
    <x v="2"/>
    <x v="1010"/>
    <x v="0"/>
    <x v="0"/>
    <x v="0"/>
    <x v="14"/>
    <x v="973"/>
  </r>
  <r>
    <x v="1068"/>
    <x v="67"/>
    <x v="1068"/>
    <x v="0"/>
    <x v="4"/>
    <x v="11"/>
    <x v="0"/>
    <x v="1011"/>
    <x v="0"/>
    <x v="0"/>
    <x v="0"/>
    <x v="14"/>
    <x v="974"/>
  </r>
  <r>
    <x v="1069"/>
    <x v="67"/>
    <x v="1069"/>
    <x v="4"/>
    <x v="0"/>
    <x v="6"/>
    <x v="5"/>
    <x v="1012"/>
    <x v="0"/>
    <x v="0"/>
    <x v="0"/>
    <x v="15"/>
    <x v="975"/>
  </r>
  <r>
    <x v="1070"/>
    <x v="67"/>
    <x v="1070"/>
    <x v="4"/>
    <x v="4"/>
    <x v="7"/>
    <x v="8"/>
    <x v="1013"/>
    <x v="0"/>
    <x v="0"/>
    <x v="0"/>
    <x v="20"/>
    <x v="976"/>
  </r>
  <r>
    <x v="1071"/>
    <x v="68"/>
    <x v="1071"/>
    <x v="5"/>
    <x v="0"/>
    <x v="14"/>
    <x v="1"/>
    <x v="1014"/>
    <x v="0"/>
    <x v="0"/>
    <x v="0"/>
    <x v="11"/>
    <x v="977"/>
  </r>
  <r>
    <x v="1072"/>
    <x v="68"/>
    <x v="1072"/>
    <x v="6"/>
    <x v="4"/>
    <x v="39"/>
    <x v="7"/>
    <x v="1015"/>
    <x v="0"/>
    <x v="0"/>
    <x v="0"/>
    <x v="12"/>
    <x v="978"/>
  </r>
  <r>
    <x v="1073"/>
    <x v="68"/>
    <x v="1073"/>
    <x v="4"/>
    <x v="3"/>
    <x v="55"/>
    <x v="6"/>
    <x v="1016"/>
    <x v="0"/>
    <x v="0"/>
    <x v="0"/>
    <x v="0"/>
    <x v="979"/>
  </r>
  <r>
    <x v="1074"/>
    <x v="68"/>
    <x v="1074"/>
    <x v="3"/>
    <x v="15"/>
    <x v="73"/>
    <x v="2"/>
    <x v="1017"/>
    <x v="0"/>
    <x v="0"/>
    <x v="0"/>
    <x v="5"/>
    <x v="980"/>
  </r>
  <r>
    <x v="1075"/>
    <x v="68"/>
    <x v="1075"/>
    <x v="0"/>
    <x v="0"/>
    <x v="0"/>
    <x v="4"/>
    <x v="1018"/>
    <x v="0"/>
    <x v="0"/>
    <x v="0"/>
    <x v="5"/>
    <x v="981"/>
  </r>
  <r>
    <x v="1076"/>
    <x v="68"/>
    <x v="1076"/>
    <x v="0"/>
    <x v="0"/>
    <x v="0"/>
    <x v="2"/>
    <x v="545"/>
    <x v="0"/>
    <x v="0"/>
    <x v="0"/>
    <x v="5"/>
    <x v="223"/>
  </r>
  <r>
    <x v="1077"/>
    <x v="68"/>
    <x v="1077"/>
    <x v="4"/>
    <x v="0"/>
    <x v="6"/>
    <x v="7"/>
    <x v="1019"/>
    <x v="0"/>
    <x v="0"/>
    <x v="0"/>
    <x v="7"/>
    <x v="746"/>
  </r>
  <r>
    <x v="1078"/>
    <x v="68"/>
    <x v="1078"/>
    <x v="0"/>
    <x v="0"/>
    <x v="0"/>
    <x v="7"/>
    <x v="1020"/>
    <x v="0"/>
    <x v="0"/>
    <x v="0"/>
    <x v="7"/>
    <x v="982"/>
  </r>
  <r>
    <x v="1079"/>
    <x v="68"/>
    <x v="1079"/>
    <x v="4"/>
    <x v="6"/>
    <x v="12"/>
    <x v="3"/>
    <x v="1021"/>
    <x v="0"/>
    <x v="0"/>
    <x v="0"/>
    <x v="9"/>
    <x v="983"/>
  </r>
  <r>
    <x v="1080"/>
    <x v="68"/>
    <x v="1080"/>
    <x v="3"/>
    <x v="4"/>
    <x v="16"/>
    <x v="6"/>
    <x v="1022"/>
    <x v="0"/>
    <x v="0"/>
    <x v="0"/>
    <x v="10"/>
    <x v="984"/>
  </r>
  <r>
    <x v="1081"/>
    <x v="69"/>
    <x v="1081"/>
    <x v="6"/>
    <x v="0"/>
    <x v="21"/>
    <x v="3"/>
    <x v="1023"/>
    <x v="0"/>
    <x v="0"/>
    <x v="0"/>
    <x v="11"/>
    <x v="701"/>
  </r>
  <r>
    <x v="1082"/>
    <x v="69"/>
    <x v="1082"/>
    <x v="0"/>
    <x v="0"/>
    <x v="0"/>
    <x v="2"/>
    <x v="1024"/>
    <x v="0"/>
    <x v="0"/>
    <x v="0"/>
    <x v="0"/>
    <x v="985"/>
  </r>
  <r>
    <x v="1083"/>
    <x v="69"/>
    <x v="1083"/>
    <x v="0"/>
    <x v="0"/>
    <x v="0"/>
    <x v="7"/>
    <x v="1025"/>
    <x v="0"/>
    <x v="0"/>
    <x v="0"/>
    <x v="0"/>
    <x v="986"/>
  </r>
  <r>
    <x v="1084"/>
    <x v="69"/>
    <x v="1084"/>
    <x v="3"/>
    <x v="0"/>
    <x v="4"/>
    <x v="5"/>
    <x v="1026"/>
    <x v="0"/>
    <x v="0"/>
    <x v="0"/>
    <x v="1"/>
    <x v="987"/>
  </r>
  <r>
    <x v="1085"/>
    <x v="69"/>
    <x v="1085"/>
    <x v="10"/>
    <x v="0"/>
    <x v="48"/>
    <x v="6"/>
    <x v="1027"/>
    <x v="0"/>
    <x v="0"/>
    <x v="0"/>
    <x v="1"/>
    <x v="988"/>
  </r>
  <r>
    <x v="1086"/>
    <x v="69"/>
    <x v="1086"/>
    <x v="6"/>
    <x v="2"/>
    <x v="44"/>
    <x v="5"/>
    <x v="545"/>
    <x v="0"/>
    <x v="0"/>
    <x v="0"/>
    <x v="1"/>
    <x v="989"/>
  </r>
  <r>
    <x v="1087"/>
    <x v="69"/>
    <x v="1087"/>
    <x v="0"/>
    <x v="1"/>
    <x v="28"/>
    <x v="4"/>
    <x v="1028"/>
    <x v="0"/>
    <x v="0"/>
    <x v="0"/>
    <x v="2"/>
    <x v="990"/>
  </r>
  <r>
    <x v="1088"/>
    <x v="69"/>
    <x v="1088"/>
    <x v="4"/>
    <x v="2"/>
    <x v="20"/>
    <x v="5"/>
    <x v="1029"/>
    <x v="0"/>
    <x v="0"/>
    <x v="0"/>
    <x v="2"/>
    <x v="991"/>
  </r>
  <r>
    <x v="1089"/>
    <x v="69"/>
    <x v="1089"/>
    <x v="0"/>
    <x v="0"/>
    <x v="0"/>
    <x v="2"/>
    <x v="545"/>
    <x v="0"/>
    <x v="0"/>
    <x v="0"/>
    <x v="3"/>
    <x v="992"/>
  </r>
  <r>
    <x v="1090"/>
    <x v="69"/>
    <x v="1090"/>
    <x v="0"/>
    <x v="1"/>
    <x v="28"/>
    <x v="9"/>
    <x v="1030"/>
    <x v="0"/>
    <x v="0"/>
    <x v="0"/>
    <x v="17"/>
    <x v="993"/>
  </r>
  <r>
    <x v="1091"/>
    <x v="69"/>
    <x v="1091"/>
    <x v="0"/>
    <x v="0"/>
    <x v="0"/>
    <x v="2"/>
    <x v="545"/>
    <x v="0"/>
    <x v="0"/>
    <x v="0"/>
    <x v="5"/>
    <x v="994"/>
  </r>
  <r>
    <x v="1092"/>
    <x v="69"/>
    <x v="1092"/>
    <x v="0"/>
    <x v="1"/>
    <x v="28"/>
    <x v="0"/>
    <x v="1031"/>
    <x v="0"/>
    <x v="0"/>
    <x v="0"/>
    <x v="6"/>
    <x v="995"/>
  </r>
  <r>
    <x v="1093"/>
    <x v="69"/>
    <x v="1093"/>
    <x v="3"/>
    <x v="0"/>
    <x v="4"/>
    <x v="2"/>
    <x v="1032"/>
    <x v="0"/>
    <x v="0"/>
    <x v="0"/>
    <x v="18"/>
    <x v="996"/>
  </r>
  <r>
    <x v="1094"/>
    <x v="69"/>
    <x v="1094"/>
    <x v="0"/>
    <x v="10"/>
    <x v="37"/>
    <x v="5"/>
    <x v="1033"/>
    <x v="0"/>
    <x v="0"/>
    <x v="0"/>
    <x v="7"/>
    <x v="997"/>
  </r>
  <r>
    <x v="1095"/>
    <x v="69"/>
    <x v="1095"/>
    <x v="0"/>
    <x v="0"/>
    <x v="0"/>
    <x v="7"/>
    <x v="1034"/>
    <x v="0"/>
    <x v="0"/>
    <x v="0"/>
    <x v="7"/>
    <x v="998"/>
  </r>
  <r>
    <x v="1096"/>
    <x v="69"/>
    <x v="1096"/>
    <x v="4"/>
    <x v="0"/>
    <x v="6"/>
    <x v="7"/>
    <x v="545"/>
    <x v="0"/>
    <x v="0"/>
    <x v="0"/>
    <x v="13"/>
    <x v="999"/>
  </r>
  <r>
    <x v="1097"/>
    <x v="69"/>
    <x v="1097"/>
    <x v="3"/>
    <x v="1"/>
    <x v="13"/>
    <x v="5"/>
    <x v="1035"/>
    <x v="0"/>
    <x v="0"/>
    <x v="0"/>
    <x v="13"/>
    <x v="1000"/>
  </r>
  <r>
    <x v="1098"/>
    <x v="69"/>
    <x v="1098"/>
    <x v="0"/>
    <x v="0"/>
    <x v="0"/>
    <x v="1"/>
    <x v="1036"/>
    <x v="0"/>
    <x v="0"/>
    <x v="0"/>
    <x v="14"/>
    <x v="1001"/>
  </r>
  <r>
    <x v="1099"/>
    <x v="70"/>
    <x v="1099"/>
    <x v="5"/>
    <x v="1"/>
    <x v="23"/>
    <x v="4"/>
    <x v="1037"/>
    <x v="0"/>
    <x v="0"/>
    <x v="0"/>
    <x v="11"/>
    <x v="1002"/>
  </r>
  <r>
    <x v="1100"/>
    <x v="70"/>
    <x v="1100"/>
    <x v="10"/>
    <x v="0"/>
    <x v="48"/>
    <x v="6"/>
    <x v="1038"/>
    <x v="0"/>
    <x v="0"/>
    <x v="0"/>
    <x v="11"/>
    <x v="15"/>
  </r>
  <r>
    <x v="1101"/>
    <x v="70"/>
    <x v="1101"/>
    <x v="5"/>
    <x v="0"/>
    <x v="14"/>
    <x v="7"/>
    <x v="1039"/>
    <x v="0"/>
    <x v="0"/>
    <x v="0"/>
    <x v="11"/>
    <x v="1003"/>
  </r>
  <r>
    <x v="1102"/>
    <x v="70"/>
    <x v="1102"/>
    <x v="3"/>
    <x v="0"/>
    <x v="4"/>
    <x v="2"/>
    <x v="1040"/>
    <x v="0"/>
    <x v="0"/>
    <x v="0"/>
    <x v="0"/>
    <x v="1004"/>
  </r>
  <r>
    <x v="1103"/>
    <x v="70"/>
    <x v="1103"/>
    <x v="0"/>
    <x v="2"/>
    <x v="2"/>
    <x v="5"/>
    <x v="545"/>
    <x v="0"/>
    <x v="0"/>
    <x v="0"/>
    <x v="2"/>
    <x v="1005"/>
  </r>
  <r>
    <x v="1104"/>
    <x v="70"/>
    <x v="1104"/>
    <x v="0"/>
    <x v="0"/>
    <x v="0"/>
    <x v="4"/>
    <x v="545"/>
    <x v="0"/>
    <x v="0"/>
    <x v="0"/>
    <x v="2"/>
    <x v="1006"/>
  </r>
  <r>
    <x v="1105"/>
    <x v="70"/>
    <x v="1105"/>
    <x v="7"/>
    <x v="4"/>
    <x v="68"/>
    <x v="7"/>
    <x v="1041"/>
    <x v="0"/>
    <x v="0"/>
    <x v="0"/>
    <x v="4"/>
    <x v="1007"/>
  </r>
  <r>
    <x v="1106"/>
    <x v="70"/>
    <x v="1106"/>
    <x v="0"/>
    <x v="0"/>
    <x v="0"/>
    <x v="10"/>
    <x v="1042"/>
    <x v="0"/>
    <x v="0"/>
    <x v="0"/>
    <x v="5"/>
    <x v="186"/>
  </r>
  <r>
    <x v="1107"/>
    <x v="70"/>
    <x v="1107"/>
    <x v="0"/>
    <x v="0"/>
    <x v="0"/>
    <x v="2"/>
    <x v="1043"/>
    <x v="0"/>
    <x v="0"/>
    <x v="0"/>
    <x v="5"/>
    <x v="622"/>
  </r>
  <r>
    <x v="1108"/>
    <x v="70"/>
    <x v="1108"/>
    <x v="4"/>
    <x v="2"/>
    <x v="20"/>
    <x v="6"/>
    <x v="1044"/>
    <x v="0"/>
    <x v="0"/>
    <x v="0"/>
    <x v="6"/>
    <x v="1008"/>
  </r>
  <r>
    <x v="1109"/>
    <x v="70"/>
    <x v="1109"/>
    <x v="4"/>
    <x v="0"/>
    <x v="6"/>
    <x v="5"/>
    <x v="1045"/>
    <x v="0"/>
    <x v="0"/>
    <x v="0"/>
    <x v="7"/>
    <x v="1009"/>
  </r>
  <r>
    <x v="1110"/>
    <x v="70"/>
    <x v="1110"/>
    <x v="4"/>
    <x v="0"/>
    <x v="6"/>
    <x v="7"/>
    <x v="1046"/>
    <x v="0"/>
    <x v="0"/>
    <x v="0"/>
    <x v="13"/>
    <x v="181"/>
  </r>
  <r>
    <x v="1111"/>
    <x v="70"/>
    <x v="1111"/>
    <x v="0"/>
    <x v="2"/>
    <x v="2"/>
    <x v="5"/>
    <x v="1047"/>
    <x v="0"/>
    <x v="0"/>
    <x v="0"/>
    <x v="13"/>
    <x v="759"/>
  </r>
  <r>
    <x v="1112"/>
    <x v="70"/>
    <x v="1112"/>
    <x v="4"/>
    <x v="0"/>
    <x v="6"/>
    <x v="9"/>
    <x v="1048"/>
    <x v="0"/>
    <x v="0"/>
    <x v="0"/>
    <x v="9"/>
    <x v="1010"/>
  </r>
  <r>
    <x v="1113"/>
    <x v="70"/>
    <x v="1113"/>
    <x v="4"/>
    <x v="0"/>
    <x v="6"/>
    <x v="13"/>
    <x v="1049"/>
    <x v="0"/>
    <x v="0"/>
    <x v="0"/>
    <x v="9"/>
    <x v="1011"/>
  </r>
  <r>
    <x v="1114"/>
    <x v="70"/>
    <x v="1114"/>
    <x v="0"/>
    <x v="4"/>
    <x v="11"/>
    <x v="9"/>
    <x v="1050"/>
    <x v="0"/>
    <x v="0"/>
    <x v="0"/>
    <x v="14"/>
    <x v="1012"/>
  </r>
  <r>
    <x v="1115"/>
    <x v="71"/>
    <x v="1115"/>
    <x v="10"/>
    <x v="0"/>
    <x v="48"/>
    <x v="6"/>
    <x v="1051"/>
    <x v="0"/>
    <x v="0"/>
    <x v="0"/>
    <x v="11"/>
    <x v="1013"/>
  </r>
  <r>
    <x v="1116"/>
    <x v="71"/>
    <x v="1116"/>
    <x v="1"/>
    <x v="4"/>
    <x v="35"/>
    <x v="14"/>
    <x v="1052"/>
    <x v="0"/>
    <x v="0"/>
    <x v="0"/>
    <x v="11"/>
    <x v="1014"/>
  </r>
  <r>
    <x v="1117"/>
    <x v="71"/>
    <x v="1117"/>
    <x v="5"/>
    <x v="1"/>
    <x v="23"/>
    <x v="4"/>
    <x v="1053"/>
    <x v="0"/>
    <x v="0"/>
    <x v="0"/>
    <x v="12"/>
    <x v="1015"/>
  </r>
  <r>
    <x v="1118"/>
    <x v="71"/>
    <x v="1118"/>
    <x v="3"/>
    <x v="0"/>
    <x v="4"/>
    <x v="1"/>
    <x v="1054"/>
    <x v="0"/>
    <x v="0"/>
    <x v="0"/>
    <x v="0"/>
    <x v="1016"/>
  </r>
  <r>
    <x v="1119"/>
    <x v="71"/>
    <x v="1119"/>
    <x v="3"/>
    <x v="3"/>
    <x v="67"/>
    <x v="4"/>
    <x v="1055"/>
    <x v="0"/>
    <x v="0"/>
    <x v="0"/>
    <x v="0"/>
    <x v="534"/>
  </r>
  <r>
    <x v="1120"/>
    <x v="71"/>
    <x v="1120"/>
    <x v="0"/>
    <x v="0"/>
    <x v="0"/>
    <x v="1"/>
    <x v="1056"/>
    <x v="0"/>
    <x v="0"/>
    <x v="0"/>
    <x v="2"/>
    <x v="1017"/>
  </r>
  <r>
    <x v="1121"/>
    <x v="71"/>
    <x v="1121"/>
    <x v="0"/>
    <x v="5"/>
    <x v="25"/>
    <x v="5"/>
    <x v="1057"/>
    <x v="0"/>
    <x v="0"/>
    <x v="0"/>
    <x v="5"/>
    <x v="1018"/>
  </r>
  <r>
    <x v="1122"/>
    <x v="71"/>
    <x v="1122"/>
    <x v="0"/>
    <x v="0"/>
    <x v="0"/>
    <x v="6"/>
    <x v="1058"/>
    <x v="0"/>
    <x v="0"/>
    <x v="0"/>
    <x v="5"/>
    <x v="1019"/>
  </r>
  <r>
    <x v="1123"/>
    <x v="71"/>
    <x v="1123"/>
    <x v="0"/>
    <x v="0"/>
    <x v="0"/>
    <x v="4"/>
    <x v="1059"/>
    <x v="0"/>
    <x v="0"/>
    <x v="0"/>
    <x v="5"/>
    <x v="1020"/>
  </r>
  <r>
    <x v="1124"/>
    <x v="71"/>
    <x v="1124"/>
    <x v="3"/>
    <x v="0"/>
    <x v="4"/>
    <x v="4"/>
    <x v="1060"/>
    <x v="0"/>
    <x v="0"/>
    <x v="0"/>
    <x v="7"/>
    <x v="1021"/>
  </r>
  <r>
    <x v="1125"/>
    <x v="71"/>
    <x v="1125"/>
    <x v="4"/>
    <x v="1"/>
    <x v="5"/>
    <x v="4"/>
    <x v="1061"/>
    <x v="0"/>
    <x v="0"/>
    <x v="0"/>
    <x v="9"/>
    <x v="1022"/>
  </r>
  <r>
    <x v="1126"/>
    <x v="71"/>
    <x v="1126"/>
    <x v="0"/>
    <x v="4"/>
    <x v="11"/>
    <x v="2"/>
    <x v="1062"/>
    <x v="0"/>
    <x v="0"/>
    <x v="0"/>
    <x v="14"/>
    <x v="1023"/>
  </r>
  <r>
    <x v="1127"/>
    <x v="71"/>
    <x v="1127"/>
    <x v="0"/>
    <x v="4"/>
    <x v="11"/>
    <x v="0"/>
    <x v="1063"/>
    <x v="0"/>
    <x v="0"/>
    <x v="0"/>
    <x v="14"/>
    <x v="1024"/>
  </r>
  <r>
    <x v="1128"/>
    <x v="72"/>
    <x v="1128"/>
    <x v="5"/>
    <x v="0"/>
    <x v="14"/>
    <x v="5"/>
    <x v="1064"/>
    <x v="0"/>
    <x v="0"/>
    <x v="0"/>
    <x v="11"/>
    <x v="646"/>
  </r>
  <r>
    <x v="1129"/>
    <x v="72"/>
    <x v="1129"/>
    <x v="6"/>
    <x v="0"/>
    <x v="21"/>
    <x v="0"/>
    <x v="1065"/>
    <x v="0"/>
    <x v="0"/>
    <x v="0"/>
    <x v="11"/>
    <x v="1025"/>
  </r>
  <r>
    <x v="1130"/>
    <x v="72"/>
    <x v="1130"/>
    <x v="3"/>
    <x v="0"/>
    <x v="4"/>
    <x v="7"/>
    <x v="1066"/>
    <x v="0"/>
    <x v="0"/>
    <x v="0"/>
    <x v="0"/>
    <x v="1026"/>
  </r>
  <r>
    <x v="1131"/>
    <x v="72"/>
    <x v="1131"/>
    <x v="4"/>
    <x v="0"/>
    <x v="6"/>
    <x v="7"/>
    <x v="1067"/>
    <x v="0"/>
    <x v="0"/>
    <x v="0"/>
    <x v="1"/>
    <x v="1027"/>
  </r>
  <r>
    <x v="1132"/>
    <x v="72"/>
    <x v="1132"/>
    <x v="6"/>
    <x v="0"/>
    <x v="21"/>
    <x v="9"/>
    <x v="1068"/>
    <x v="0"/>
    <x v="0"/>
    <x v="0"/>
    <x v="1"/>
    <x v="1028"/>
  </r>
  <r>
    <x v="1133"/>
    <x v="72"/>
    <x v="1133"/>
    <x v="0"/>
    <x v="4"/>
    <x v="11"/>
    <x v="5"/>
    <x v="1069"/>
    <x v="0"/>
    <x v="0"/>
    <x v="0"/>
    <x v="3"/>
    <x v="1029"/>
  </r>
  <r>
    <x v="1134"/>
    <x v="72"/>
    <x v="1134"/>
    <x v="3"/>
    <x v="0"/>
    <x v="4"/>
    <x v="5"/>
    <x v="1070"/>
    <x v="0"/>
    <x v="0"/>
    <x v="0"/>
    <x v="22"/>
    <x v="1030"/>
  </r>
  <r>
    <x v="1135"/>
    <x v="72"/>
    <x v="1135"/>
    <x v="4"/>
    <x v="0"/>
    <x v="6"/>
    <x v="4"/>
    <x v="1071"/>
    <x v="0"/>
    <x v="0"/>
    <x v="0"/>
    <x v="18"/>
    <x v="1031"/>
  </r>
  <r>
    <x v="1136"/>
    <x v="72"/>
    <x v="1136"/>
    <x v="0"/>
    <x v="0"/>
    <x v="0"/>
    <x v="5"/>
    <x v="1072"/>
    <x v="0"/>
    <x v="0"/>
    <x v="0"/>
    <x v="13"/>
    <x v="1032"/>
  </r>
  <r>
    <x v="1137"/>
    <x v="72"/>
    <x v="1137"/>
    <x v="4"/>
    <x v="4"/>
    <x v="7"/>
    <x v="6"/>
    <x v="1073"/>
    <x v="0"/>
    <x v="0"/>
    <x v="0"/>
    <x v="20"/>
    <x v="1033"/>
  </r>
  <r>
    <x v="1138"/>
    <x v="72"/>
    <x v="1138"/>
    <x v="0"/>
    <x v="4"/>
    <x v="11"/>
    <x v="3"/>
    <x v="1074"/>
    <x v="0"/>
    <x v="0"/>
    <x v="0"/>
    <x v="25"/>
    <x v="1034"/>
  </r>
  <r>
    <x v="1139"/>
    <x v="73"/>
    <x v="1139"/>
    <x v="4"/>
    <x v="0"/>
    <x v="6"/>
    <x v="5"/>
    <x v="1075"/>
    <x v="0"/>
    <x v="0"/>
    <x v="0"/>
    <x v="0"/>
    <x v="235"/>
  </r>
  <r>
    <x v="1140"/>
    <x v="73"/>
    <x v="1140"/>
    <x v="6"/>
    <x v="0"/>
    <x v="21"/>
    <x v="2"/>
    <x v="1076"/>
    <x v="0"/>
    <x v="0"/>
    <x v="0"/>
    <x v="2"/>
    <x v="821"/>
  </r>
  <r>
    <x v="1141"/>
    <x v="73"/>
    <x v="1141"/>
    <x v="0"/>
    <x v="0"/>
    <x v="0"/>
    <x v="7"/>
    <x v="1077"/>
    <x v="0"/>
    <x v="0"/>
    <x v="0"/>
    <x v="2"/>
    <x v="841"/>
  </r>
  <r>
    <x v="1142"/>
    <x v="73"/>
    <x v="1142"/>
    <x v="0"/>
    <x v="0"/>
    <x v="0"/>
    <x v="2"/>
    <x v="545"/>
    <x v="0"/>
    <x v="0"/>
    <x v="0"/>
    <x v="5"/>
    <x v="1035"/>
  </r>
  <r>
    <x v="1143"/>
    <x v="73"/>
    <x v="1143"/>
    <x v="0"/>
    <x v="6"/>
    <x v="10"/>
    <x v="4"/>
    <x v="1078"/>
    <x v="0"/>
    <x v="0"/>
    <x v="9"/>
    <x v="6"/>
    <x v="1036"/>
  </r>
  <r>
    <x v="1144"/>
    <x v="73"/>
    <x v="1144"/>
    <x v="0"/>
    <x v="4"/>
    <x v="11"/>
    <x v="5"/>
    <x v="1079"/>
    <x v="0"/>
    <x v="0"/>
    <x v="0"/>
    <x v="18"/>
    <x v="1037"/>
  </r>
  <r>
    <x v="1145"/>
    <x v="73"/>
    <x v="1145"/>
    <x v="3"/>
    <x v="5"/>
    <x v="8"/>
    <x v="4"/>
    <x v="1080"/>
    <x v="0"/>
    <x v="0"/>
    <x v="0"/>
    <x v="7"/>
    <x v="1038"/>
  </r>
  <r>
    <x v="1146"/>
    <x v="73"/>
    <x v="1146"/>
    <x v="0"/>
    <x v="0"/>
    <x v="0"/>
    <x v="5"/>
    <x v="1081"/>
    <x v="0"/>
    <x v="0"/>
    <x v="0"/>
    <x v="7"/>
    <x v="1039"/>
  </r>
  <r>
    <x v="1147"/>
    <x v="73"/>
    <x v="1147"/>
    <x v="3"/>
    <x v="0"/>
    <x v="4"/>
    <x v="5"/>
    <x v="1082"/>
    <x v="0"/>
    <x v="0"/>
    <x v="0"/>
    <x v="13"/>
    <x v="1040"/>
  </r>
  <r>
    <x v="1148"/>
    <x v="73"/>
    <x v="1148"/>
    <x v="0"/>
    <x v="4"/>
    <x v="11"/>
    <x v="6"/>
    <x v="545"/>
    <x v="0"/>
    <x v="0"/>
    <x v="0"/>
    <x v="9"/>
    <x v="1041"/>
  </r>
  <r>
    <x v="1149"/>
    <x v="73"/>
    <x v="1149"/>
    <x v="4"/>
    <x v="6"/>
    <x v="12"/>
    <x v="4"/>
    <x v="1083"/>
    <x v="0"/>
    <x v="0"/>
    <x v="0"/>
    <x v="9"/>
    <x v="391"/>
  </r>
  <r>
    <x v="1150"/>
    <x v="73"/>
    <x v="1150"/>
    <x v="0"/>
    <x v="0"/>
    <x v="0"/>
    <x v="5"/>
    <x v="1084"/>
    <x v="0"/>
    <x v="0"/>
    <x v="0"/>
    <x v="10"/>
    <x v="1042"/>
  </r>
  <r>
    <x v="1151"/>
    <x v="73"/>
    <x v="1151"/>
    <x v="4"/>
    <x v="0"/>
    <x v="6"/>
    <x v="7"/>
    <x v="1085"/>
    <x v="0"/>
    <x v="0"/>
    <x v="0"/>
    <x v="10"/>
    <x v="1043"/>
  </r>
  <r>
    <x v="1152"/>
    <x v="74"/>
    <x v="1152"/>
    <x v="5"/>
    <x v="1"/>
    <x v="23"/>
    <x v="7"/>
    <x v="1086"/>
    <x v="0"/>
    <x v="0"/>
    <x v="0"/>
    <x v="11"/>
    <x v="1044"/>
  </r>
  <r>
    <x v="1153"/>
    <x v="74"/>
    <x v="1153"/>
    <x v="7"/>
    <x v="3"/>
    <x v="69"/>
    <x v="2"/>
    <x v="1087"/>
    <x v="0"/>
    <x v="0"/>
    <x v="0"/>
    <x v="12"/>
    <x v="36"/>
  </r>
  <r>
    <x v="1154"/>
    <x v="74"/>
    <x v="1154"/>
    <x v="9"/>
    <x v="0"/>
    <x v="31"/>
    <x v="4"/>
    <x v="1088"/>
    <x v="0"/>
    <x v="0"/>
    <x v="0"/>
    <x v="0"/>
    <x v="1045"/>
  </r>
  <r>
    <x v="1155"/>
    <x v="74"/>
    <x v="1155"/>
    <x v="3"/>
    <x v="0"/>
    <x v="4"/>
    <x v="9"/>
    <x v="1089"/>
    <x v="0"/>
    <x v="0"/>
    <x v="0"/>
    <x v="0"/>
    <x v="83"/>
  </r>
  <r>
    <x v="1156"/>
    <x v="74"/>
    <x v="1156"/>
    <x v="5"/>
    <x v="0"/>
    <x v="14"/>
    <x v="2"/>
    <x v="1090"/>
    <x v="0"/>
    <x v="0"/>
    <x v="0"/>
    <x v="0"/>
    <x v="1046"/>
  </r>
  <r>
    <x v="1157"/>
    <x v="74"/>
    <x v="1157"/>
    <x v="0"/>
    <x v="0"/>
    <x v="0"/>
    <x v="4"/>
    <x v="545"/>
    <x v="0"/>
    <x v="0"/>
    <x v="0"/>
    <x v="1"/>
    <x v="606"/>
  </r>
  <r>
    <x v="1158"/>
    <x v="74"/>
    <x v="1158"/>
    <x v="4"/>
    <x v="0"/>
    <x v="6"/>
    <x v="7"/>
    <x v="1091"/>
    <x v="0"/>
    <x v="0"/>
    <x v="0"/>
    <x v="2"/>
    <x v="1047"/>
  </r>
  <r>
    <x v="1159"/>
    <x v="74"/>
    <x v="1159"/>
    <x v="10"/>
    <x v="1"/>
    <x v="65"/>
    <x v="5"/>
    <x v="1092"/>
    <x v="0"/>
    <x v="0"/>
    <x v="0"/>
    <x v="2"/>
    <x v="942"/>
  </r>
  <r>
    <x v="1160"/>
    <x v="74"/>
    <x v="1160"/>
    <x v="0"/>
    <x v="4"/>
    <x v="11"/>
    <x v="6"/>
    <x v="1093"/>
    <x v="0"/>
    <x v="0"/>
    <x v="0"/>
    <x v="3"/>
    <x v="1048"/>
  </r>
  <r>
    <x v="1161"/>
    <x v="74"/>
    <x v="1161"/>
    <x v="8"/>
    <x v="4"/>
    <x v="74"/>
    <x v="4"/>
    <x v="1094"/>
    <x v="0"/>
    <x v="0"/>
    <x v="0"/>
    <x v="4"/>
    <x v="1049"/>
  </r>
  <r>
    <x v="1162"/>
    <x v="74"/>
    <x v="1162"/>
    <x v="0"/>
    <x v="6"/>
    <x v="10"/>
    <x v="3"/>
    <x v="1095"/>
    <x v="0"/>
    <x v="0"/>
    <x v="0"/>
    <x v="17"/>
    <x v="1050"/>
  </r>
  <r>
    <x v="1163"/>
    <x v="74"/>
    <x v="1163"/>
    <x v="0"/>
    <x v="0"/>
    <x v="0"/>
    <x v="5"/>
    <x v="1096"/>
    <x v="0"/>
    <x v="0"/>
    <x v="0"/>
    <x v="22"/>
    <x v="1051"/>
  </r>
  <r>
    <x v="1164"/>
    <x v="74"/>
    <x v="1164"/>
    <x v="0"/>
    <x v="0"/>
    <x v="0"/>
    <x v="4"/>
    <x v="1097"/>
    <x v="0"/>
    <x v="0"/>
    <x v="0"/>
    <x v="13"/>
    <x v="1052"/>
  </r>
  <r>
    <x v="1165"/>
    <x v="74"/>
    <x v="1165"/>
    <x v="0"/>
    <x v="0"/>
    <x v="0"/>
    <x v="0"/>
    <x v="1098"/>
    <x v="0"/>
    <x v="0"/>
    <x v="0"/>
    <x v="10"/>
    <x v="1053"/>
  </r>
  <r>
    <x v="1166"/>
    <x v="74"/>
    <x v="1166"/>
    <x v="0"/>
    <x v="4"/>
    <x v="11"/>
    <x v="8"/>
    <x v="1099"/>
    <x v="0"/>
    <x v="0"/>
    <x v="0"/>
    <x v="20"/>
    <x v="175"/>
  </r>
  <r>
    <x v="1167"/>
    <x v="75"/>
    <x v="1167"/>
    <x v="6"/>
    <x v="5"/>
    <x v="43"/>
    <x v="15"/>
    <x v="1100"/>
    <x v="0"/>
    <x v="0"/>
    <x v="0"/>
    <x v="11"/>
    <x v="28"/>
  </r>
  <r>
    <x v="1168"/>
    <x v="75"/>
    <x v="1168"/>
    <x v="6"/>
    <x v="5"/>
    <x v="43"/>
    <x v="3"/>
    <x v="1101"/>
    <x v="0"/>
    <x v="0"/>
    <x v="0"/>
    <x v="11"/>
    <x v="1054"/>
  </r>
  <r>
    <x v="1169"/>
    <x v="75"/>
    <x v="1169"/>
    <x v="1"/>
    <x v="0"/>
    <x v="24"/>
    <x v="0"/>
    <x v="1102"/>
    <x v="0"/>
    <x v="0"/>
    <x v="0"/>
    <x v="0"/>
    <x v="1055"/>
  </r>
  <r>
    <x v="1170"/>
    <x v="75"/>
    <x v="1170"/>
    <x v="1"/>
    <x v="0"/>
    <x v="24"/>
    <x v="2"/>
    <x v="1103"/>
    <x v="0"/>
    <x v="0"/>
    <x v="0"/>
    <x v="1"/>
    <x v="869"/>
  </r>
  <r>
    <x v="1171"/>
    <x v="75"/>
    <x v="1171"/>
    <x v="6"/>
    <x v="1"/>
    <x v="19"/>
    <x v="4"/>
    <x v="1104"/>
    <x v="0"/>
    <x v="0"/>
    <x v="0"/>
    <x v="2"/>
    <x v="1056"/>
  </r>
  <r>
    <x v="1172"/>
    <x v="75"/>
    <x v="1172"/>
    <x v="0"/>
    <x v="0"/>
    <x v="0"/>
    <x v="1"/>
    <x v="1105"/>
    <x v="0"/>
    <x v="0"/>
    <x v="0"/>
    <x v="5"/>
    <x v="186"/>
  </r>
  <r>
    <x v="1173"/>
    <x v="75"/>
    <x v="1173"/>
    <x v="0"/>
    <x v="4"/>
    <x v="11"/>
    <x v="4"/>
    <x v="1106"/>
    <x v="0"/>
    <x v="0"/>
    <x v="0"/>
    <x v="16"/>
    <x v="1057"/>
  </r>
  <r>
    <x v="1174"/>
    <x v="75"/>
    <x v="1174"/>
    <x v="0"/>
    <x v="0"/>
    <x v="0"/>
    <x v="4"/>
    <x v="1107"/>
    <x v="0"/>
    <x v="0"/>
    <x v="0"/>
    <x v="7"/>
    <x v="1058"/>
  </r>
  <r>
    <x v="1175"/>
    <x v="75"/>
    <x v="1175"/>
    <x v="3"/>
    <x v="0"/>
    <x v="4"/>
    <x v="2"/>
    <x v="1108"/>
    <x v="0"/>
    <x v="0"/>
    <x v="0"/>
    <x v="9"/>
    <x v="1010"/>
  </r>
  <r>
    <x v="1176"/>
    <x v="75"/>
    <x v="1176"/>
    <x v="4"/>
    <x v="0"/>
    <x v="6"/>
    <x v="4"/>
    <x v="1109"/>
    <x v="0"/>
    <x v="0"/>
    <x v="0"/>
    <x v="10"/>
    <x v="1059"/>
  </r>
  <r>
    <x v="1177"/>
    <x v="76"/>
    <x v="1177"/>
    <x v="6"/>
    <x v="5"/>
    <x v="43"/>
    <x v="4"/>
    <x v="1110"/>
    <x v="0"/>
    <x v="0"/>
    <x v="0"/>
    <x v="11"/>
    <x v="1060"/>
  </r>
  <r>
    <x v="1178"/>
    <x v="76"/>
    <x v="1178"/>
    <x v="4"/>
    <x v="3"/>
    <x v="55"/>
    <x v="4"/>
    <x v="1111"/>
    <x v="0"/>
    <x v="0"/>
    <x v="0"/>
    <x v="12"/>
    <x v="1061"/>
  </r>
  <r>
    <x v="1179"/>
    <x v="76"/>
    <x v="1179"/>
    <x v="4"/>
    <x v="3"/>
    <x v="55"/>
    <x v="6"/>
    <x v="1112"/>
    <x v="0"/>
    <x v="0"/>
    <x v="0"/>
    <x v="0"/>
    <x v="1062"/>
  </r>
  <r>
    <x v="1180"/>
    <x v="76"/>
    <x v="1180"/>
    <x v="7"/>
    <x v="10"/>
    <x v="75"/>
    <x v="7"/>
    <x v="1113"/>
    <x v="0"/>
    <x v="0"/>
    <x v="0"/>
    <x v="0"/>
    <x v="1063"/>
  </r>
  <r>
    <x v="1181"/>
    <x v="76"/>
    <x v="1181"/>
    <x v="0"/>
    <x v="4"/>
    <x v="11"/>
    <x v="1"/>
    <x v="545"/>
    <x v="0"/>
    <x v="0"/>
    <x v="0"/>
    <x v="1"/>
    <x v="1064"/>
  </r>
  <r>
    <x v="1182"/>
    <x v="76"/>
    <x v="1182"/>
    <x v="3"/>
    <x v="0"/>
    <x v="4"/>
    <x v="6"/>
    <x v="1114"/>
    <x v="0"/>
    <x v="0"/>
    <x v="0"/>
    <x v="3"/>
    <x v="1065"/>
  </r>
  <r>
    <x v="1183"/>
    <x v="76"/>
    <x v="1183"/>
    <x v="6"/>
    <x v="6"/>
    <x v="63"/>
    <x v="4"/>
    <x v="1115"/>
    <x v="0"/>
    <x v="0"/>
    <x v="0"/>
    <x v="4"/>
    <x v="1066"/>
  </r>
  <r>
    <x v="1184"/>
    <x v="76"/>
    <x v="1184"/>
    <x v="3"/>
    <x v="0"/>
    <x v="4"/>
    <x v="2"/>
    <x v="1116"/>
    <x v="0"/>
    <x v="0"/>
    <x v="0"/>
    <x v="5"/>
    <x v="1067"/>
  </r>
  <r>
    <x v="1185"/>
    <x v="76"/>
    <x v="1185"/>
    <x v="0"/>
    <x v="0"/>
    <x v="0"/>
    <x v="5"/>
    <x v="545"/>
    <x v="0"/>
    <x v="0"/>
    <x v="0"/>
    <x v="5"/>
    <x v="1068"/>
  </r>
  <r>
    <x v="1186"/>
    <x v="76"/>
    <x v="1186"/>
    <x v="3"/>
    <x v="0"/>
    <x v="4"/>
    <x v="5"/>
    <x v="1117"/>
    <x v="0"/>
    <x v="0"/>
    <x v="0"/>
    <x v="7"/>
    <x v="415"/>
  </r>
  <r>
    <x v="1187"/>
    <x v="76"/>
    <x v="1187"/>
    <x v="3"/>
    <x v="0"/>
    <x v="4"/>
    <x v="2"/>
    <x v="1118"/>
    <x v="0"/>
    <x v="0"/>
    <x v="0"/>
    <x v="7"/>
    <x v="1069"/>
  </r>
  <r>
    <x v="1188"/>
    <x v="76"/>
    <x v="1188"/>
    <x v="3"/>
    <x v="0"/>
    <x v="4"/>
    <x v="9"/>
    <x v="1119"/>
    <x v="0"/>
    <x v="0"/>
    <x v="0"/>
    <x v="7"/>
    <x v="1070"/>
  </r>
  <r>
    <x v="1189"/>
    <x v="76"/>
    <x v="1189"/>
    <x v="4"/>
    <x v="0"/>
    <x v="6"/>
    <x v="7"/>
    <x v="1120"/>
    <x v="0"/>
    <x v="0"/>
    <x v="0"/>
    <x v="13"/>
    <x v="1071"/>
  </r>
  <r>
    <x v="1190"/>
    <x v="76"/>
    <x v="1190"/>
    <x v="0"/>
    <x v="4"/>
    <x v="11"/>
    <x v="5"/>
    <x v="1121"/>
    <x v="0"/>
    <x v="0"/>
    <x v="0"/>
    <x v="14"/>
    <x v="1072"/>
  </r>
  <r>
    <x v="1191"/>
    <x v="77"/>
    <x v="1191"/>
    <x v="3"/>
    <x v="0"/>
    <x v="4"/>
    <x v="3"/>
    <x v="1122"/>
    <x v="0"/>
    <x v="0"/>
    <x v="0"/>
    <x v="11"/>
    <x v="1069"/>
  </r>
  <r>
    <x v="1192"/>
    <x v="77"/>
    <x v="1192"/>
    <x v="3"/>
    <x v="0"/>
    <x v="4"/>
    <x v="4"/>
    <x v="1123"/>
    <x v="0"/>
    <x v="0"/>
    <x v="0"/>
    <x v="11"/>
    <x v="1073"/>
  </r>
  <r>
    <x v="1193"/>
    <x v="77"/>
    <x v="1193"/>
    <x v="1"/>
    <x v="2"/>
    <x v="18"/>
    <x v="5"/>
    <x v="1124"/>
    <x v="0"/>
    <x v="0"/>
    <x v="0"/>
    <x v="12"/>
    <x v="1074"/>
  </r>
  <r>
    <x v="1194"/>
    <x v="77"/>
    <x v="1194"/>
    <x v="0"/>
    <x v="0"/>
    <x v="0"/>
    <x v="7"/>
    <x v="1125"/>
    <x v="0"/>
    <x v="0"/>
    <x v="0"/>
    <x v="0"/>
    <x v="1075"/>
  </r>
  <r>
    <x v="1195"/>
    <x v="77"/>
    <x v="1195"/>
    <x v="3"/>
    <x v="0"/>
    <x v="4"/>
    <x v="5"/>
    <x v="1126"/>
    <x v="0"/>
    <x v="0"/>
    <x v="0"/>
    <x v="0"/>
    <x v="1076"/>
  </r>
  <r>
    <x v="1196"/>
    <x v="77"/>
    <x v="1196"/>
    <x v="10"/>
    <x v="0"/>
    <x v="48"/>
    <x v="8"/>
    <x v="1127"/>
    <x v="0"/>
    <x v="0"/>
    <x v="0"/>
    <x v="0"/>
    <x v="1077"/>
  </r>
  <r>
    <x v="1197"/>
    <x v="77"/>
    <x v="1197"/>
    <x v="6"/>
    <x v="0"/>
    <x v="21"/>
    <x v="5"/>
    <x v="1128"/>
    <x v="0"/>
    <x v="0"/>
    <x v="0"/>
    <x v="1"/>
    <x v="1078"/>
  </r>
  <r>
    <x v="1198"/>
    <x v="77"/>
    <x v="1198"/>
    <x v="6"/>
    <x v="2"/>
    <x v="44"/>
    <x v="5"/>
    <x v="1129"/>
    <x v="0"/>
    <x v="0"/>
    <x v="0"/>
    <x v="1"/>
    <x v="701"/>
  </r>
  <r>
    <x v="1199"/>
    <x v="77"/>
    <x v="1199"/>
    <x v="4"/>
    <x v="5"/>
    <x v="9"/>
    <x v="4"/>
    <x v="1130"/>
    <x v="0"/>
    <x v="0"/>
    <x v="0"/>
    <x v="2"/>
    <x v="1079"/>
  </r>
  <r>
    <x v="1200"/>
    <x v="77"/>
    <x v="1200"/>
    <x v="0"/>
    <x v="0"/>
    <x v="0"/>
    <x v="3"/>
    <x v="1131"/>
    <x v="0"/>
    <x v="0"/>
    <x v="0"/>
    <x v="2"/>
    <x v="1080"/>
  </r>
  <r>
    <x v="1201"/>
    <x v="77"/>
    <x v="1201"/>
    <x v="0"/>
    <x v="0"/>
    <x v="0"/>
    <x v="7"/>
    <x v="1132"/>
    <x v="0"/>
    <x v="0"/>
    <x v="0"/>
    <x v="2"/>
    <x v="1081"/>
  </r>
  <r>
    <x v="1202"/>
    <x v="77"/>
    <x v="1202"/>
    <x v="4"/>
    <x v="2"/>
    <x v="20"/>
    <x v="4"/>
    <x v="1133"/>
    <x v="0"/>
    <x v="0"/>
    <x v="0"/>
    <x v="17"/>
    <x v="307"/>
  </r>
  <r>
    <x v="1203"/>
    <x v="77"/>
    <x v="1203"/>
    <x v="0"/>
    <x v="2"/>
    <x v="2"/>
    <x v="6"/>
    <x v="1134"/>
    <x v="0"/>
    <x v="0"/>
    <x v="0"/>
    <x v="5"/>
    <x v="749"/>
  </r>
  <r>
    <x v="1204"/>
    <x v="77"/>
    <x v="1204"/>
    <x v="0"/>
    <x v="0"/>
    <x v="0"/>
    <x v="1"/>
    <x v="1135"/>
    <x v="0"/>
    <x v="0"/>
    <x v="0"/>
    <x v="5"/>
    <x v="1082"/>
  </r>
  <r>
    <x v="1205"/>
    <x v="77"/>
    <x v="1205"/>
    <x v="0"/>
    <x v="0"/>
    <x v="0"/>
    <x v="5"/>
    <x v="1136"/>
    <x v="0"/>
    <x v="0"/>
    <x v="0"/>
    <x v="5"/>
    <x v="1083"/>
  </r>
  <r>
    <x v="1206"/>
    <x v="77"/>
    <x v="1206"/>
    <x v="3"/>
    <x v="0"/>
    <x v="4"/>
    <x v="1"/>
    <x v="1137"/>
    <x v="0"/>
    <x v="0"/>
    <x v="0"/>
    <x v="6"/>
    <x v="1084"/>
  </r>
  <r>
    <x v="1207"/>
    <x v="77"/>
    <x v="1207"/>
    <x v="4"/>
    <x v="8"/>
    <x v="66"/>
    <x v="3"/>
    <x v="1138"/>
    <x v="0"/>
    <x v="0"/>
    <x v="0"/>
    <x v="6"/>
    <x v="1085"/>
  </r>
  <r>
    <x v="1208"/>
    <x v="77"/>
    <x v="1208"/>
    <x v="0"/>
    <x v="0"/>
    <x v="0"/>
    <x v="4"/>
    <x v="1139"/>
    <x v="0"/>
    <x v="0"/>
    <x v="0"/>
    <x v="16"/>
    <x v="1086"/>
  </r>
  <r>
    <x v="1209"/>
    <x v="77"/>
    <x v="1209"/>
    <x v="4"/>
    <x v="4"/>
    <x v="7"/>
    <x v="5"/>
    <x v="1140"/>
    <x v="0"/>
    <x v="0"/>
    <x v="0"/>
    <x v="13"/>
    <x v="628"/>
  </r>
  <r>
    <x v="1210"/>
    <x v="77"/>
    <x v="1210"/>
    <x v="4"/>
    <x v="4"/>
    <x v="7"/>
    <x v="3"/>
    <x v="1141"/>
    <x v="0"/>
    <x v="0"/>
    <x v="0"/>
    <x v="9"/>
    <x v="226"/>
  </r>
  <r>
    <x v="1211"/>
    <x v="77"/>
    <x v="1211"/>
    <x v="0"/>
    <x v="4"/>
    <x v="11"/>
    <x v="8"/>
    <x v="1142"/>
    <x v="0"/>
    <x v="0"/>
    <x v="0"/>
    <x v="9"/>
    <x v="707"/>
  </r>
  <r>
    <x v="1212"/>
    <x v="77"/>
    <x v="1212"/>
    <x v="4"/>
    <x v="0"/>
    <x v="6"/>
    <x v="2"/>
    <x v="1143"/>
    <x v="0"/>
    <x v="0"/>
    <x v="0"/>
    <x v="9"/>
    <x v="1087"/>
  </r>
  <r>
    <x v="1213"/>
    <x v="78"/>
    <x v="1213"/>
    <x v="0"/>
    <x v="1"/>
    <x v="28"/>
    <x v="5"/>
    <x v="1144"/>
    <x v="0"/>
    <x v="0"/>
    <x v="0"/>
    <x v="11"/>
    <x v="1088"/>
  </r>
  <r>
    <x v="1214"/>
    <x v="78"/>
    <x v="1214"/>
    <x v="4"/>
    <x v="3"/>
    <x v="55"/>
    <x v="5"/>
    <x v="1145"/>
    <x v="0"/>
    <x v="0"/>
    <x v="0"/>
    <x v="12"/>
    <x v="1089"/>
  </r>
  <r>
    <x v="1215"/>
    <x v="78"/>
    <x v="1215"/>
    <x v="3"/>
    <x v="0"/>
    <x v="4"/>
    <x v="1"/>
    <x v="1146"/>
    <x v="0"/>
    <x v="0"/>
    <x v="0"/>
    <x v="0"/>
    <x v="1090"/>
  </r>
  <r>
    <x v="1216"/>
    <x v="78"/>
    <x v="1216"/>
    <x v="0"/>
    <x v="0"/>
    <x v="0"/>
    <x v="6"/>
    <x v="1147"/>
    <x v="0"/>
    <x v="0"/>
    <x v="0"/>
    <x v="5"/>
    <x v="1091"/>
  </r>
  <r>
    <x v="1217"/>
    <x v="78"/>
    <x v="1217"/>
    <x v="3"/>
    <x v="0"/>
    <x v="4"/>
    <x v="7"/>
    <x v="1148"/>
    <x v="0"/>
    <x v="0"/>
    <x v="0"/>
    <x v="7"/>
    <x v="25"/>
  </r>
  <r>
    <x v="1218"/>
    <x v="78"/>
    <x v="1218"/>
    <x v="4"/>
    <x v="9"/>
    <x v="26"/>
    <x v="5"/>
    <x v="1149"/>
    <x v="0"/>
    <x v="0"/>
    <x v="0"/>
    <x v="8"/>
    <x v="1092"/>
  </r>
  <r>
    <x v="1219"/>
    <x v="78"/>
    <x v="1219"/>
    <x v="0"/>
    <x v="6"/>
    <x v="10"/>
    <x v="6"/>
    <x v="1150"/>
    <x v="0"/>
    <x v="0"/>
    <x v="10"/>
    <x v="13"/>
    <x v="1093"/>
  </r>
  <r>
    <x v="1220"/>
    <x v="78"/>
    <x v="1220"/>
    <x v="3"/>
    <x v="0"/>
    <x v="4"/>
    <x v="1"/>
    <x v="1151"/>
    <x v="0"/>
    <x v="0"/>
    <x v="0"/>
    <x v="13"/>
    <x v="1094"/>
  </r>
  <r>
    <x v="1221"/>
    <x v="78"/>
    <x v="1221"/>
    <x v="3"/>
    <x v="4"/>
    <x v="16"/>
    <x v="0"/>
    <x v="1152"/>
    <x v="0"/>
    <x v="0"/>
    <x v="0"/>
    <x v="9"/>
    <x v="1095"/>
  </r>
  <r>
    <x v="1222"/>
    <x v="78"/>
    <x v="1222"/>
    <x v="4"/>
    <x v="0"/>
    <x v="6"/>
    <x v="1"/>
    <x v="1153"/>
    <x v="0"/>
    <x v="0"/>
    <x v="0"/>
    <x v="10"/>
    <x v="1096"/>
  </r>
  <r>
    <x v="1223"/>
    <x v="78"/>
    <x v="1223"/>
    <x v="4"/>
    <x v="0"/>
    <x v="6"/>
    <x v="2"/>
    <x v="1154"/>
    <x v="0"/>
    <x v="0"/>
    <x v="0"/>
    <x v="10"/>
    <x v="1097"/>
  </r>
  <r>
    <x v="1224"/>
    <x v="79"/>
    <x v="1224"/>
    <x v="4"/>
    <x v="0"/>
    <x v="6"/>
    <x v="4"/>
    <x v="1155"/>
    <x v="0"/>
    <x v="0"/>
    <x v="0"/>
    <x v="0"/>
    <x v="1098"/>
  </r>
  <r>
    <x v="1225"/>
    <x v="79"/>
    <x v="1225"/>
    <x v="12"/>
    <x v="0"/>
    <x v="46"/>
    <x v="3"/>
    <x v="1156"/>
    <x v="0"/>
    <x v="0"/>
    <x v="0"/>
    <x v="1"/>
    <x v="1099"/>
  </r>
  <r>
    <x v="1226"/>
    <x v="79"/>
    <x v="1226"/>
    <x v="0"/>
    <x v="0"/>
    <x v="0"/>
    <x v="2"/>
    <x v="1157"/>
    <x v="0"/>
    <x v="0"/>
    <x v="0"/>
    <x v="5"/>
    <x v="1100"/>
  </r>
  <r>
    <x v="1227"/>
    <x v="79"/>
    <x v="1227"/>
    <x v="0"/>
    <x v="4"/>
    <x v="11"/>
    <x v="2"/>
    <x v="1158"/>
    <x v="0"/>
    <x v="0"/>
    <x v="0"/>
    <x v="6"/>
    <x v="1101"/>
  </r>
  <r>
    <x v="1228"/>
    <x v="79"/>
    <x v="1228"/>
    <x v="3"/>
    <x v="0"/>
    <x v="4"/>
    <x v="4"/>
    <x v="1159"/>
    <x v="0"/>
    <x v="0"/>
    <x v="0"/>
    <x v="18"/>
    <x v="1102"/>
  </r>
  <r>
    <x v="1229"/>
    <x v="79"/>
    <x v="1229"/>
    <x v="0"/>
    <x v="4"/>
    <x v="11"/>
    <x v="5"/>
    <x v="1160"/>
    <x v="0"/>
    <x v="0"/>
    <x v="0"/>
    <x v="18"/>
    <x v="1103"/>
  </r>
  <r>
    <x v="1230"/>
    <x v="79"/>
    <x v="1230"/>
    <x v="3"/>
    <x v="1"/>
    <x v="13"/>
    <x v="7"/>
    <x v="1161"/>
    <x v="0"/>
    <x v="0"/>
    <x v="0"/>
    <x v="7"/>
    <x v="1104"/>
  </r>
  <r>
    <x v="1231"/>
    <x v="79"/>
    <x v="1231"/>
    <x v="4"/>
    <x v="0"/>
    <x v="6"/>
    <x v="9"/>
    <x v="1162"/>
    <x v="0"/>
    <x v="0"/>
    <x v="0"/>
    <x v="9"/>
    <x v="1105"/>
  </r>
  <r>
    <x v="1232"/>
    <x v="79"/>
    <x v="1232"/>
    <x v="0"/>
    <x v="0"/>
    <x v="0"/>
    <x v="5"/>
    <x v="1163"/>
    <x v="0"/>
    <x v="0"/>
    <x v="0"/>
    <x v="10"/>
    <x v="248"/>
  </r>
  <r>
    <x v="1233"/>
    <x v="79"/>
    <x v="1233"/>
    <x v="0"/>
    <x v="0"/>
    <x v="0"/>
    <x v="4"/>
    <x v="1164"/>
    <x v="0"/>
    <x v="0"/>
    <x v="0"/>
    <x v="14"/>
    <x v="1106"/>
  </r>
  <r>
    <x v="1234"/>
    <x v="79"/>
    <x v="1234"/>
    <x v="0"/>
    <x v="4"/>
    <x v="11"/>
    <x v="6"/>
    <x v="1165"/>
    <x v="0"/>
    <x v="0"/>
    <x v="0"/>
    <x v="20"/>
    <x v="299"/>
  </r>
  <r>
    <x v="1235"/>
    <x v="80"/>
    <x v="1235"/>
    <x v="3"/>
    <x v="0"/>
    <x v="4"/>
    <x v="5"/>
    <x v="1166"/>
    <x v="0"/>
    <x v="0"/>
    <x v="0"/>
    <x v="11"/>
    <x v="1107"/>
  </r>
  <r>
    <x v="1236"/>
    <x v="80"/>
    <x v="1236"/>
    <x v="3"/>
    <x v="0"/>
    <x v="4"/>
    <x v="8"/>
    <x v="1167"/>
    <x v="0"/>
    <x v="0"/>
    <x v="0"/>
    <x v="11"/>
    <x v="522"/>
  </r>
  <r>
    <x v="1237"/>
    <x v="80"/>
    <x v="1237"/>
    <x v="0"/>
    <x v="0"/>
    <x v="0"/>
    <x v="16"/>
    <x v="1168"/>
    <x v="0"/>
    <x v="0"/>
    <x v="0"/>
    <x v="0"/>
    <x v="1108"/>
  </r>
  <r>
    <x v="1238"/>
    <x v="80"/>
    <x v="1238"/>
    <x v="0"/>
    <x v="0"/>
    <x v="0"/>
    <x v="5"/>
    <x v="1169"/>
    <x v="0"/>
    <x v="0"/>
    <x v="0"/>
    <x v="1"/>
    <x v="1109"/>
  </r>
  <r>
    <x v="1239"/>
    <x v="80"/>
    <x v="1239"/>
    <x v="3"/>
    <x v="0"/>
    <x v="4"/>
    <x v="7"/>
    <x v="1170"/>
    <x v="0"/>
    <x v="0"/>
    <x v="0"/>
    <x v="2"/>
    <x v="1110"/>
  </r>
  <r>
    <x v="1240"/>
    <x v="80"/>
    <x v="1240"/>
    <x v="7"/>
    <x v="4"/>
    <x v="68"/>
    <x v="8"/>
    <x v="1171"/>
    <x v="0"/>
    <x v="0"/>
    <x v="0"/>
    <x v="3"/>
    <x v="1111"/>
  </r>
  <r>
    <x v="1241"/>
    <x v="80"/>
    <x v="1241"/>
    <x v="0"/>
    <x v="3"/>
    <x v="47"/>
    <x v="4"/>
    <x v="1172"/>
    <x v="0"/>
    <x v="0"/>
    <x v="0"/>
    <x v="3"/>
    <x v="1112"/>
  </r>
  <r>
    <x v="1242"/>
    <x v="80"/>
    <x v="1242"/>
    <x v="0"/>
    <x v="0"/>
    <x v="0"/>
    <x v="0"/>
    <x v="1173"/>
    <x v="0"/>
    <x v="0"/>
    <x v="0"/>
    <x v="5"/>
    <x v="1107"/>
  </r>
  <r>
    <x v="1243"/>
    <x v="80"/>
    <x v="1243"/>
    <x v="4"/>
    <x v="0"/>
    <x v="6"/>
    <x v="1"/>
    <x v="1174"/>
    <x v="0"/>
    <x v="0"/>
    <x v="0"/>
    <x v="6"/>
    <x v="1113"/>
  </r>
  <r>
    <x v="1244"/>
    <x v="80"/>
    <x v="1244"/>
    <x v="3"/>
    <x v="0"/>
    <x v="4"/>
    <x v="6"/>
    <x v="1175"/>
    <x v="0"/>
    <x v="0"/>
    <x v="0"/>
    <x v="6"/>
    <x v="1114"/>
  </r>
  <r>
    <x v="1245"/>
    <x v="80"/>
    <x v="1245"/>
    <x v="3"/>
    <x v="0"/>
    <x v="4"/>
    <x v="2"/>
    <x v="1176"/>
    <x v="0"/>
    <x v="0"/>
    <x v="0"/>
    <x v="7"/>
    <x v="1115"/>
  </r>
  <r>
    <x v="1246"/>
    <x v="80"/>
    <x v="1246"/>
    <x v="3"/>
    <x v="0"/>
    <x v="4"/>
    <x v="6"/>
    <x v="1177"/>
    <x v="0"/>
    <x v="0"/>
    <x v="0"/>
    <x v="7"/>
    <x v="1116"/>
  </r>
  <r>
    <x v="1247"/>
    <x v="80"/>
    <x v="1247"/>
    <x v="4"/>
    <x v="4"/>
    <x v="7"/>
    <x v="3"/>
    <x v="1178"/>
    <x v="0"/>
    <x v="0"/>
    <x v="0"/>
    <x v="9"/>
    <x v="1117"/>
  </r>
  <r>
    <x v="1248"/>
    <x v="80"/>
    <x v="1248"/>
    <x v="4"/>
    <x v="0"/>
    <x v="6"/>
    <x v="5"/>
    <x v="1179"/>
    <x v="0"/>
    <x v="0"/>
    <x v="0"/>
    <x v="15"/>
    <x v="1118"/>
  </r>
  <r>
    <x v="1249"/>
    <x v="81"/>
    <x v="1249"/>
    <x v="5"/>
    <x v="0"/>
    <x v="14"/>
    <x v="7"/>
    <x v="1180"/>
    <x v="0"/>
    <x v="0"/>
    <x v="0"/>
    <x v="11"/>
    <x v="1119"/>
  </r>
  <r>
    <x v="1250"/>
    <x v="81"/>
    <x v="1250"/>
    <x v="1"/>
    <x v="1"/>
    <x v="1"/>
    <x v="7"/>
    <x v="1181"/>
    <x v="0"/>
    <x v="0"/>
    <x v="0"/>
    <x v="11"/>
    <x v="1120"/>
  </r>
  <r>
    <x v="1251"/>
    <x v="81"/>
    <x v="1251"/>
    <x v="4"/>
    <x v="2"/>
    <x v="20"/>
    <x v="4"/>
    <x v="1182"/>
    <x v="0"/>
    <x v="0"/>
    <x v="0"/>
    <x v="12"/>
    <x v="1121"/>
  </r>
  <r>
    <x v="1252"/>
    <x v="81"/>
    <x v="1252"/>
    <x v="0"/>
    <x v="0"/>
    <x v="0"/>
    <x v="4"/>
    <x v="1183"/>
    <x v="0"/>
    <x v="0"/>
    <x v="0"/>
    <x v="12"/>
    <x v="1122"/>
  </r>
  <r>
    <x v="1253"/>
    <x v="81"/>
    <x v="1253"/>
    <x v="10"/>
    <x v="1"/>
    <x v="65"/>
    <x v="7"/>
    <x v="1184"/>
    <x v="0"/>
    <x v="0"/>
    <x v="0"/>
    <x v="1"/>
    <x v="1123"/>
  </r>
  <r>
    <x v="1254"/>
    <x v="81"/>
    <x v="1254"/>
    <x v="4"/>
    <x v="5"/>
    <x v="9"/>
    <x v="8"/>
    <x v="1185"/>
    <x v="0"/>
    <x v="0"/>
    <x v="0"/>
    <x v="1"/>
    <x v="533"/>
  </r>
  <r>
    <x v="1255"/>
    <x v="81"/>
    <x v="1255"/>
    <x v="3"/>
    <x v="0"/>
    <x v="4"/>
    <x v="9"/>
    <x v="1186"/>
    <x v="0"/>
    <x v="0"/>
    <x v="0"/>
    <x v="4"/>
    <x v="1124"/>
  </r>
  <r>
    <x v="1256"/>
    <x v="81"/>
    <x v="1256"/>
    <x v="4"/>
    <x v="4"/>
    <x v="7"/>
    <x v="2"/>
    <x v="1187"/>
    <x v="0"/>
    <x v="0"/>
    <x v="0"/>
    <x v="17"/>
    <x v="1125"/>
  </r>
  <r>
    <x v="1257"/>
    <x v="81"/>
    <x v="1257"/>
    <x v="4"/>
    <x v="0"/>
    <x v="6"/>
    <x v="7"/>
    <x v="1188"/>
    <x v="0"/>
    <x v="0"/>
    <x v="0"/>
    <x v="22"/>
    <x v="637"/>
  </r>
  <r>
    <x v="1258"/>
    <x v="81"/>
    <x v="1258"/>
    <x v="0"/>
    <x v="14"/>
    <x v="64"/>
    <x v="3"/>
    <x v="1189"/>
    <x v="0"/>
    <x v="0"/>
    <x v="0"/>
    <x v="16"/>
    <x v="1126"/>
  </r>
  <r>
    <x v="1259"/>
    <x v="81"/>
    <x v="1259"/>
    <x v="0"/>
    <x v="0"/>
    <x v="0"/>
    <x v="2"/>
    <x v="1190"/>
    <x v="0"/>
    <x v="0"/>
    <x v="0"/>
    <x v="9"/>
    <x v="1127"/>
  </r>
  <r>
    <x v="1260"/>
    <x v="82"/>
    <x v="1260"/>
    <x v="6"/>
    <x v="4"/>
    <x v="39"/>
    <x v="3"/>
    <x v="1191"/>
    <x v="0"/>
    <x v="0"/>
    <x v="0"/>
    <x v="0"/>
    <x v="1128"/>
  </r>
  <r>
    <x v="1261"/>
    <x v="82"/>
    <x v="1261"/>
    <x v="0"/>
    <x v="0"/>
    <x v="0"/>
    <x v="0"/>
    <x v="1192"/>
    <x v="0"/>
    <x v="0"/>
    <x v="0"/>
    <x v="0"/>
    <x v="1129"/>
  </r>
  <r>
    <x v="1262"/>
    <x v="82"/>
    <x v="1262"/>
    <x v="0"/>
    <x v="0"/>
    <x v="0"/>
    <x v="4"/>
    <x v="1193"/>
    <x v="0"/>
    <x v="0"/>
    <x v="0"/>
    <x v="0"/>
    <x v="1130"/>
  </r>
  <r>
    <x v="1263"/>
    <x v="82"/>
    <x v="1263"/>
    <x v="5"/>
    <x v="1"/>
    <x v="23"/>
    <x v="5"/>
    <x v="1194"/>
    <x v="0"/>
    <x v="0"/>
    <x v="0"/>
    <x v="2"/>
    <x v="1131"/>
  </r>
  <r>
    <x v="1264"/>
    <x v="82"/>
    <x v="1264"/>
    <x v="0"/>
    <x v="0"/>
    <x v="0"/>
    <x v="9"/>
    <x v="1195"/>
    <x v="0"/>
    <x v="0"/>
    <x v="0"/>
    <x v="5"/>
    <x v="1132"/>
  </r>
  <r>
    <x v="1265"/>
    <x v="82"/>
    <x v="1265"/>
    <x v="3"/>
    <x v="4"/>
    <x v="16"/>
    <x v="3"/>
    <x v="1196"/>
    <x v="0"/>
    <x v="0"/>
    <x v="0"/>
    <x v="22"/>
    <x v="1133"/>
  </r>
  <r>
    <x v="1266"/>
    <x v="82"/>
    <x v="1266"/>
    <x v="3"/>
    <x v="0"/>
    <x v="4"/>
    <x v="2"/>
    <x v="1197"/>
    <x v="0"/>
    <x v="0"/>
    <x v="0"/>
    <x v="13"/>
    <x v="1134"/>
  </r>
  <r>
    <x v="1267"/>
    <x v="82"/>
    <x v="1267"/>
    <x v="0"/>
    <x v="0"/>
    <x v="0"/>
    <x v="2"/>
    <x v="1198"/>
    <x v="0"/>
    <x v="0"/>
    <x v="0"/>
    <x v="13"/>
    <x v="28"/>
  </r>
  <r>
    <x v="1268"/>
    <x v="82"/>
    <x v="1268"/>
    <x v="4"/>
    <x v="1"/>
    <x v="5"/>
    <x v="6"/>
    <x v="1199"/>
    <x v="0"/>
    <x v="0"/>
    <x v="0"/>
    <x v="23"/>
    <x v="522"/>
  </r>
  <r>
    <x v="1269"/>
    <x v="82"/>
    <x v="1269"/>
    <x v="0"/>
    <x v="0"/>
    <x v="0"/>
    <x v="6"/>
    <x v="1200"/>
    <x v="0"/>
    <x v="0"/>
    <x v="0"/>
    <x v="23"/>
    <x v="1135"/>
  </r>
  <r>
    <x v="1270"/>
    <x v="83"/>
    <x v="1270"/>
    <x v="6"/>
    <x v="0"/>
    <x v="21"/>
    <x v="4"/>
    <x v="1201"/>
    <x v="0"/>
    <x v="0"/>
    <x v="0"/>
    <x v="11"/>
    <x v="1136"/>
  </r>
  <r>
    <x v="1271"/>
    <x v="83"/>
    <x v="1271"/>
    <x v="4"/>
    <x v="4"/>
    <x v="7"/>
    <x v="6"/>
    <x v="1202"/>
    <x v="0"/>
    <x v="0"/>
    <x v="0"/>
    <x v="12"/>
    <x v="1137"/>
  </r>
  <r>
    <x v="1272"/>
    <x v="83"/>
    <x v="1272"/>
    <x v="1"/>
    <x v="0"/>
    <x v="24"/>
    <x v="5"/>
    <x v="1203"/>
    <x v="0"/>
    <x v="0"/>
    <x v="0"/>
    <x v="12"/>
    <x v="1138"/>
  </r>
  <r>
    <x v="1273"/>
    <x v="83"/>
    <x v="1273"/>
    <x v="0"/>
    <x v="0"/>
    <x v="0"/>
    <x v="2"/>
    <x v="1204"/>
    <x v="0"/>
    <x v="0"/>
    <x v="0"/>
    <x v="0"/>
    <x v="1139"/>
  </r>
  <r>
    <x v="1274"/>
    <x v="83"/>
    <x v="1274"/>
    <x v="4"/>
    <x v="0"/>
    <x v="6"/>
    <x v="5"/>
    <x v="1205"/>
    <x v="0"/>
    <x v="0"/>
    <x v="0"/>
    <x v="0"/>
    <x v="1140"/>
  </r>
  <r>
    <x v="1275"/>
    <x v="83"/>
    <x v="1275"/>
    <x v="1"/>
    <x v="4"/>
    <x v="35"/>
    <x v="3"/>
    <x v="1206"/>
    <x v="0"/>
    <x v="0"/>
    <x v="0"/>
    <x v="0"/>
    <x v="1141"/>
  </r>
  <r>
    <x v="1276"/>
    <x v="83"/>
    <x v="1276"/>
    <x v="1"/>
    <x v="1"/>
    <x v="1"/>
    <x v="0"/>
    <x v="1207"/>
    <x v="0"/>
    <x v="0"/>
    <x v="0"/>
    <x v="0"/>
    <x v="1142"/>
  </r>
  <r>
    <x v="1277"/>
    <x v="83"/>
    <x v="1277"/>
    <x v="4"/>
    <x v="0"/>
    <x v="6"/>
    <x v="1"/>
    <x v="1208"/>
    <x v="0"/>
    <x v="0"/>
    <x v="0"/>
    <x v="1"/>
    <x v="655"/>
  </r>
  <r>
    <x v="1278"/>
    <x v="83"/>
    <x v="1278"/>
    <x v="0"/>
    <x v="0"/>
    <x v="0"/>
    <x v="2"/>
    <x v="1209"/>
    <x v="0"/>
    <x v="0"/>
    <x v="0"/>
    <x v="2"/>
    <x v="1143"/>
  </r>
  <r>
    <x v="1279"/>
    <x v="83"/>
    <x v="1279"/>
    <x v="1"/>
    <x v="1"/>
    <x v="1"/>
    <x v="4"/>
    <x v="1210"/>
    <x v="0"/>
    <x v="0"/>
    <x v="0"/>
    <x v="2"/>
    <x v="1144"/>
  </r>
  <r>
    <x v="1280"/>
    <x v="83"/>
    <x v="1280"/>
    <x v="0"/>
    <x v="3"/>
    <x v="47"/>
    <x v="5"/>
    <x v="1211"/>
    <x v="0"/>
    <x v="0"/>
    <x v="0"/>
    <x v="3"/>
    <x v="43"/>
  </r>
  <r>
    <x v="1281"/>
    <x v="83"/>
    <x v="1281"/>
    <x v="3"/>
    <x v="0"/>
    <x v="4"/>
    <x v="2"/>
    <x v="1212"/>
    <x v="0"/>
    <x v="0"/>
    <x v="0"/>
    <x v="3"/>
    <x v="1145"/>
  </r>
  <r>
    <x v="1282"/>
    <x v="83"/>
    <x v="1282"/>
    <x v="0"/>
    <x v="0"/>
    <x v="0"/>
    <x v="9"/>
    <x v="1213"/>
    <x v="0"/>
    <x v="0"/>
    <x v="0"/>
    <x v="19"/>
    <x v="1146"/>
  </r>
  <r>
    <x v="1283"/>
    <x v="83"/>
    <x v="1283"/>
    <x v="0"/>
    <x v="4"/>
    <x v="11"/>
    <x v="4"/>
    <x v="1214"/>
    <x v="0"/>
    <x v="0"/>
    <x v="0"/>
    <x v="24"/>
    <x v="1147"/>
  </r>
  <r>
    <x v="1284"/>
    <x v="83"/>
    <x v="1284"/>
    <x v="0"/>
    <x v="0"/>
    <x v="0"/>
    <x v="6"/>
    <x v="1215"/>
    <x v="0"/>
    <x v="0"/>
    <x v="0"/>
    <x v="22"/>
    <x v="1148"/>
  </r>
  <r>
    <x v="1285"/>
    <x v="83"/>
    <x v="1285"/>
    <x v="0"/>
    <x v="0"/>
    <x v="0"/>
    <x v="17"/>
    <x v="1216"/>
    <x v="0"/>
    <x v="0"/>
    <x v="0"/>
    <x v="16"/>
    <x v="1149"/>
  </r>
  <r>
    <x v="1286"/>
    <x v="83"/>
    <x v="1286"/>
    <x v="0"/>
    <x v="0"/>
    <x v="0"/>
    <x v="6"/>
    <x v="1217"/>
    <x v="0"/>
    <x v="0"/>
    <x v="0"/>
    <x v="18"/>
    <x v="1150"/>
  </r>
  <r>
    <x v="1287"/>
    <x v="83"/>
    <x v="1287"/>
    <x v="0"/>
    <x v="4"/>
    <x v="11"/>
    <x v="7"/>
    <x v="1218"/>
    <x v="0"/>
    <x v="0"/>
    <x v="0"/>
    <x v="18"/>
    <x v="1151"/>
  </r>
  <r>
    <x v="1288"/>
    <x v="83"/>
    <x v="1288"/>
    <x v="0"/>
    <x v="1"/>
    <x v="28"/>
    <x v="5"/>
    <x v="1219"/>
    <x v="0"/>
    <x v="0"/>
    <x v="0"/>
    <x v="7"/>
    <x v="1152"/>
  </r>
  <r>
    <x v="1289"/>
    <x v="83"/>
    <x v="1289"/>
    <x v="4"/>
    <x v="6"/>
    <x v="12"/>
    <x v="3"/>
    <x v="1220"/>
    <x v="0"/>
    <x v="0"/>
    <x v="0"/>
    <x v="8"/>
    <x v="1153"/>
  </r>
  <r>
    <x v="1290"/>
    <x v="83"/>
    <x v="1290"/>
    <x v="4"/>
    <x v="6"/>
    <x v="12"/>
    <x v="5"/>
    <x v="1221"/>
    <x v="0"/>
    <x v="0"/>
    <x v="0"/>
    <x v="9"/>
    <x v="1154"/>
  </r>
  <r>
    <x v="1291"/>
    <x v="84"/>
    <x v="1291"/>
    <x v="3"/>
    <x v="0"/>
    <x v="4"/>
    <x v="4"/>
    <x v="1222"/>
    <x v="0"/>
    <x v="0"/>
    <x v="0"/>
    <x v="11"/>
    <x v="1155"/>
  </r>
  <r>
    <x v="1292"/>
    <x v="84"/>
    <x v="1292"/>
    <x v="6"/>
    <x v="0"/>
    <x v="21"/>
    <x v="7"/>
    <x v="1223"/>
    <x v="0"/>
    <x v="0"/>
    <x v="0"/>
    <x v="11"/>
    <x v="1156"/>
  </r>
  <r>
    <x v="1293"/>
    <x v="84"/>
    <x v="1293"/>
    <x v="6"/>
    <x v="1"/>
    <x v="19"/>
    <x v="7"/>
    <x v="1224"/>
    <x v="0"/>
    <x v="0"/>
    <x v="0"/>
    <x v="0"/>
    <x v="1157"/>
  </r>
  <r>
    <x v="1294"/>
    <x v="84"/>
    <x v="1294"/>
    <x v="4"/>
    <x v="3"/>
    <x v="55"/>
    <x v="3"/>
    <x v="1225"/>
    <x v="0"/>
    <x v="0"/>
    <x v="0"/>
    <x v="1"/>
    <x v="1158"/>
  </r>
  <r>
    <x v="1295"/>
    <x v="84"/>
    <x v="1295"/>
    <x v="3"/>
    <x v="3"/>
    <x v="67"/>
    <x v="3"/>
    <x v="1226"/>
    <x v="0"/>
    <x v="0"/>
    <x v="0"/>
    <x v="1"/>
    <x v="1159"/>
  </r>
  <r>
    <x v="1296"/>
    <x v="84"/>
    <x v="1296"/>
    <x v="0"/>
    <x v="0"/>
    <x v="0"/>
    <x v="7"/>
    <x v="1227"/>
    <x v="0"/>
    <x v="0"/>
    <x v="0"/>
    <x v="2"/>
    <x v="1160"/>
  </r>
  <r>
    <x v="1297"/>
    <x v="84"/>
    <x v="1297"/>
    <x v="3"/>
    <x v="0"/>
    <x v="4"/>
    <x v="7"/>
    <x v="1228"/>
    <x v="0"/>
    <x v="0"/>
    <x v="0"/>
    <x v="3"/>
    <x v="1161"/>
  </r>
  <r>
    <x v="1298"/>
    <x v="84"/>
    <x v="1298"/>
    <x v="4"/>
    <x v="0"/>
    <x v="6"/>
    <x v="6"/>
    <x v="1229"/>
    <x v="0"/>
    <x v="0"/>
    <x v="0"/>
    <x v="15"/>
    <x v="1027"/>
  </r>
  <r>
    <x v="1299"/>
    <x v="85"/>
    <x v="1299"/>
    <x v="2"/>
    <x v="4"/>
    <x v="72"/>
    <x v="5"/>
    <x v="1230"/>
    <x v="0"/>
    <x v="0"/>
    <x v="0"/>
    <x v="2"/>
    <x v="1162"/>
  </r>
  <r>
    <x v="1300"/>
    <x v="85"/>
    <x v="1300"/>
    <x v="0"/>
    <x v="0"/>
    <x v="0"/>
    <x v="2"/>
    <x v="1231"/>
    <x v="0"/>
    <x v="0"/>
    <x v="0"/>
    <x v="2"/>
    <x v="1163"/>
  </r>
  <r>
    <x v="1301"/>
    <x v="85"/>
    <x v="1301"/>
    <x v="0"/>
    <x v="4"/>
    <x v="11"/>
    <x v="8"/>
    <x v="1232"/>
    <x v="0"/>
    <x v="0"/>
    <x v="0"/>
    <x v="4"/>
    <x v="1164"/>
  </r>
  <r>
    <x v="1302"/>
    <x v="85"/>
    <x v="1302"/>
    <x v="0"/>
    <x v="0"/>
    <x v="0"/>
    <x v="13"/>
    <x v="1233"/>
    <x v="0"/>
    <x v="0"/>
    <x v="0"/>
    <x v="5"/>
    <x v="1165"/>
  </r>
  <r>
    <x v="1303"/>
    <x v="85"/>
    <x v="1303"/>
    <x v="4"/>
    <x v="0"/>
    <x v="6"/>
    <x v="7"/>
    <x v="1234"/>
    <x v="0"/>
    <x v="0"/>
    <x v="0"/>
    <x v="6"/>
    <x v="1166"/>
  </r>
  <r>
    <x v="1304"/>
    <x v="85"/>
    <x v="1304"/>
    <x v="4"/>
    <x v="4"/>
    <x v="7"/>
    <x v="4"/>
    <x v="1235"/>
    <x v="0"/>
    <x v="0"/>
    <x v="0"/>
    <x v="6"/>
    <x v="1167"/>
  </r>
  <r>
    <x v="1305"/>
    <x v="85"/>
    <x v="1305"/>
    <x v="0"/>
    <x v="0"/>
    <x v="0"/>
    <x v="4"/>
    <x v="1236"/>
    <x v="0"/>
    <x v="0"/>
    <x v="0"/>
    <x v="6"/>
    <x v="1168"/>
  </r>
  <r>
    <x v="1306"/>
    <x v="85"/>
    <x v="1306"/>
    <x v="4"/>
    <x v="0"/>
    <x v="6"/>
    <x v="5"/>
    <x v="1237"/>
    <x v="0"/>
    <x v="0"/>
    <x v="0"/>
    <x v="18"/>
    <x v="1169"/>
  </r>
  <r>
    <x v="1307"/>
    <x v="85"/>
    <x v="1307"/>
    <x v="0"/>
    <x v="0"/>
    <x v="0"/>
    <x v="6"/>
    <x v="1238"/>
    <x v="0"/>
    <x v="0"/>
    <x v="0"/>
    <x v="18"/>
    <x v="915"/>
  </r>
  <r>
    <x v="1308"/>
    <x v="85"/>
    <x v="1308"/>
    <x v="0"/>
    <x v="4"/>
    <x v="11"/>
    <x v="8"/>
    <x v="1239"/>
    <x v="0"/>
    <x v="0"/>
    <x v="0"/>
    <x v="10"/>
    <x v="1170"/>
  </r>
  <r>
    <x v="1309"/>
    <x v="85"/>
    <x v="1309"/>
    <x v="0"/>
    <x v="4"/>
    <x v="11"/>
    <x v="0"/>
    <x v="1240"/>
    <x v="0"/>
    <x v="0"/>
    <x v="0"/>
    <x v="14"/>
    <x v="1171"/>
  </r>
  <r>
    <x v="1310"/>
    <x v="86"/>
    <x v="1310"/>
    <x v="3"/>
    <x v="0"/>
    <x v="4"/>
    <x v="4"/>
    <x v="1241"/>
    <x v="0"/>
    <x v="0"/>
    <x v="0"/>
    <x v="11"/>
    <x v="1172"/>
  </r>
  <r>
    <x v="1311"/>
    <x v="86"/>
    <x v="1311"/>
    <x v="4"/>
    <x v="0"/>
    <x v="6"/>
    <x v="4"/>
    <x v="1242"/>
    <x v="0"/>
    <x v="0"/>
    <x v="0"/>
    <x v="11"/>
    <x v="1173"/>
  </r>
  <r>
    <x v="1312"/>
    <x v="86"/>
    <x v="1312"/>
    <x v="0"/>
    <x v="1"/>
    <x v="28"/>
    <x v="1"/>
    <x v="1243"/>
    <x v="0"/>
    <x v="0"/>
    <x v="0"/>
    <x v="11"/>
    <x v="281"/>
  </r>
  <r>
    <x v="1313"/>
    <x v="86"/>
    <x v="1313"/>
    <x v="2"/>
    <x v="0"/>
    <x v="59"/>
    <x v="4"/>
    <x v="1244"/>
    <x v="0"/>
    <x v="0"/>
    <x v="0"/>
    <x v="11"/>
    <x v="1174"/>
  </r>
  <r>
    <x v="1314"/>
    <x v="86"/>
    <x v="1314"/>
    <x v="6"/>
    <x v="0"/>
    <x v="21"/>
    <x v="4"/>
    <x v="1245"/>
    <x v="0"/>
    <x v="0"/>
    <x v="0"/>
    <x v="11"/>
    <x v="644"/>
  </r>
  <r>
    <x v="1315"/>
    <x v="86"/>
    <x v="1315"/>
    <x v="5"/>
    <x v="1"/>
    <x v="23"/>
    <x v="2"/>
    <x v="1246"/>
    <x v="0"/>
    <x v="0"/>
    <x v="0"/>
    <x v="11"/>
    <x v="1175"/>
  </r>
  <r>
    <x v="1316"/>
    <x v="86"/>
    <x v="1316"/>
    <x v="2"/>
    <x v="4"/>
    <x v="72"/>
    <x v="6"/>
    <x v="1247"/>
    <x v="0"/>
    <x v="0"/>
    <x v="0"/>
    <x v="12"/>
    <x v="1176"/>
  </r>
  <r>
    <x v="1317"/>
    <x v="86"/>
    <x v="1317"/>
    <x v="3"/>
    <x v="7"/>
    <x v="76"/>
    <x v="3"/>
    <x v="1248"/>
    <x v="0"/>
    <x v="0"/>
    <x v="0"/>
    <x v="0"/>
    <x v="1177"/>
  </r>
  <r>
    <x v="1318"/>
    <x v="86"/>
    <x v="1318"/>
    <x v="4"/>
    <x v="0"/>
    <x v="6"/>
    <x v="9"/>
    <x v="1249"/>
    <x v="0"/>
    <x v="0"/>
    <x v="0"/>
    <x v="0"/>
    <x v="1178"/>
  </r>
  <r>
    <x v="1319"/>
    <x v="86"/>
    <x v="1319"/>
    <x v="6"/>
    <x v="0"/>
    <x v="21"/>
    <x v="2"/>
    <x v="1250"/>
    <x v="0"/>
    <x v="0"/>
    <x v="0"/>
    <x v="1"/>
    <x v="1179"/>
  </r>
  <r>
    <x v="1320"/>
    <x v="86"/>
    <x v="1320"/>
    <x v="4"/>
    <x v="0"/>
    <x v="6"/>
    <x v="7"/>
    <x v="1251"/>
    <x v="0"/>
    <x v="0"/>
    <x v="0"/>
    <x v="1"/>
    <x v="1180"/>
  </r>
  <r>
    <x v="1321"/>
    <x v="86"/>
    <x v="1321"/>
    <x v="0"/>
    <x v="0"/>
    <x v="0"/>
    <x v="2"/>
    <x v="1252"/>
    <x v="0"/>
    <x v="0"/>
    <x v="0"/>
    <x v="2"/>
    <x v="1181"/>
  </r>
  <r>
    <x v="1322"/>
    <x v="86"/>
    <x v="1322"/>
    <x v="0"/>
    <x v="0"/>
    <x v="0"/>
    <x v="4"/>
    <x v="1253"/>
    <x v="0"/>
    <x v="0"/>
    <x v="0"/>
    <x v="2"/>
    <x v="1182"/>
  </r>
  <r>
    <x v="1323"/>
    <x v="86"/>
    <x v="1323"/>
    <x v="0"/>
    <x v="4"/>
    <x v="11"/>
    <x v="2"/>
    <x v="1254"/>
    <x v="0"/>
    <x v="0"/>
    <x v="0"/>
    <x v="3"/>
    <x v="1183"/>
  </r>
  <r>
    <x v="1324"/>
    <x v="86"/>
    <x v="1324"/>
    <x v="0"/>
    <x v="0"/>
    <x v="0"/>
    <x v="7"/>
    <x v="1255"/>
    <x v="0"/>
    <x v="0"/>
    <x v="0"/>
    <x v="5"/>
    <x v="1184"/>
  </r>
  <r>
    <x v="1325"/>
    <x v="86"/>
    <x v="1325"/>
    <x v="3"/>
    <x v="0"/>
    <x v="4"/>
    <x v="5"/>
    <x v="1256"/>
    <x v="0"/>
    <x v="0"/>
    <x v="0"/>
    <x v="22"/>
    <x v="1185"/>
  </r>
  <r>
    <x v="1326"/>
    <x v="86"/>
    <x v="1326"/>
    <x v="4"/>
    <x v="0"/>
    <x v="6"/>
    <x v="7"/>
    <x v="1257"/>
    <x v="0"/>
    <x v="0"/>
    <x v="0"/>
    <x v="6"/>
    <x v="1186"/>
  </r>
  <r>
    <x v="1327"/>
    <x v="86"/>
    <x v="1327"/>
    <x v="0"/>
    <x v="0"/>
    <x v="0"/>
    <x v="9"/>
    <x v="1258"/>
    <x v="0"/>
    <x v="0"/>
    <x v="0"/>
    <x v="6"/>
    <x v="1187"/>
  </r>
  <r>
    <x v="1328"/>
    <x v="86"/>
    <x v="1328"/>
    <x v="4"/>
    <x v="6"/>
    <x v="12"/>
    <x v="3"/>
    <x v="1259"/>
    <x v="0"/>
    <x v="0"/>
    <x v="0"/>
    <x v="9"/>
    <x v="1188"/>
  </r>
  <r>
    <x v="1329"/>
    <x v="87"/>
    <x v="1329"/>
    <x v="3"/>
    <x v="0"/>
    <x v="4"/>
    <x v="7"/>
    <x v="1260"/>
    <x v="0"/>
    <x v="0"/>
    <x v="0"/>
    <x v="11"/>
    <x v="1189"/>
  </r>
  <r>
    <x v="1330"/>
    <x v="87"/>
    <x v="1330"/>
    <x v="4"/>
    <x v="0"/>
    <x v="6"/>
    <x v="2"/>
    <x v="1261"/>
    <x v="0"/>
    <x v="0"/>
    <x v="0"/>
    <x v="11"/>
    <x v="1190"/>
  </r>
  <r>
    <x v="1331"/>
    <x v="87"/>
    <x v="1331"/>
    <x v="1"/>
    <x v="0"/>
    <x v="24"/>
    <x v="5"/>
    <x v="1262"/>
    <x v="0"/>
    <x v="0"/>
    <x v="0"/>
    <x v="0"/>
    <x v="1191"/>
  </r>
  <r>
    <x v="1332"/>
    <x v="87"/>
    <x v="1332"/>
    <x v="0"/>
    <x v="0"/>
    <x v="0"/>
    <x v="1"/>
    <x v="1263"/>
    <x v="0"/>
    <x v="0"/>
    <x v="0"/>
    <x v="0"/>
    <x v="1192"/>
  </r>
  <r>
    <x v="1333"/>
    <x v="87"/>
    <x v="1333"/>
    <x v="4"/>
    <x v="0"/>
    <x v="6"/>
    <x v="6"/>
    <x v="1264"/>
    <x v="0"/>
    <x v="0"/>
    <x v="0"/>
    <x v="1"/>
    <x v="292"/>
  </r>
  <r>
    <x v="1334"/>
    <x v="87"/>
    <x v="1334"/>
    <x v="0"/>
    <x v="0"/>
    <x v="0"/>
    <x v="4"/>
    <x v="1265"/>
    <x v="0"/>
    <x v="0"/>
    <x v="0"/>
    <x v="2"/>
    <x v="192"/>
  </r>
  <r>
    <x v="1335"/>
    <x v="87"/>
    <x v="1335"/>
    <x v="0"/>
    <x v="2"/>
    <x v="2"/>
    <x v="5"/>
    <x v="1266"/>
    <x v="0"/>
    <x v="0"/>
    <x v="0"/>
    <x v="2"/>
    <x v="1193"/>
  </r>
  <r>
    <x v="1336"/>
    <x v="87"/>
    <x v="1336"/>
    <x v="4"/>
    <x v="0"/>
    <x v="6"/>
    <x v="5"/>
    <x v="1267"/>
    <x v="0"/>
    <x v="0"/>
    <x v="0"/>
    <x v="3"/>
    <x v="1194"/>
  </r>
  <r>
    <x v="1337"/>
    <x v="87"/>
    <x v="1337"/>
    <x v="0"/>
    <x v="0"/>
    <x v="0"/>
    <x v="2"/>
    <x v="1268"/>
    <x v="0"/>
    <x v="0"/>
    <x v="0"/>
    <x v="5"/>
    <x v="1195"/>
  </r>
  <r>
    <x v="1338"/>
    <x v="87"/>
    <x v="1338"/>
    <x v="0"/>
    <x v="0"/>
    <x v="0"/>
    <x v="14"/>
    <x v="1269"/>
    <x v="0"/>
    <x v="0"/>
    <x v="0"/>
    <x v="5"/>
    <x v="1196"/>
  </r>
  <r>
    <x v="1339"/>
    <x v="87"/>
    <x v="1339"/>
    <x v="4"/>
    <x v="0"/>
    <x v="6"/>
    <x v="5"/>
    <x v="1270"/>
    <x v="0"/>
    <x v="0"/>
    <x v="0"/>
    <x v="5"/>
    <x v="307"/>
  </r>
  <r>
    <x v="1340"/>
    <x v="87"/>
    <x v="1340"/>
    <x v="4"/>
    <x v="0"/>
    <x v="6"/>
    <x v="7"/>
    <x v="1271"/>
    <x v="0"/>
    <x v="0"/>
    <x v="0"/>
    <x v="5"/>
    <x v="932"/>
  </r>
  <r>
    <x v="1341"/>
    <x v="87"/>
    <x v="1341"/>
    <x v="0"/>
    <x v="0"/>
    <x v="0"/>
    <x v="1"/>
    <x v="1272"/>
    <x v="0"/>
    <x v="0"/>
    <x v="0"/>
    <x v="5"/>
    <x v="1197"/>
  </r>
  <r>
    <x v="1342"/>
    <x v="87"/>
    <x v="1342"/>
    <x v="4"/>
    <x v="5"/>
    <x v="9"/>
    <x v="4"/>
    <x v="1273"/>
    <x v="0"/>
    <x v="0"/>
    <x v="0"/>
    <x v="6"/>
    <x v="1198"/>
  </r>
  <r>
    <x v="1343"/>
    <x v="87"/>
    <x v="1343"/>
    <x v="0"/>
    <x v="4"/>
    <x v="11"/>
    <x v="5"/>
    <x v="1274"/>
    <x v="0"/>
    <x v="0"/>
    <x v="0"/>
    <x v="18"/>
    <x v="1199"/>
  </r>
  <r>
    <x v="1344"/>
    <x v="87"/>
    <x v="1344"/>
    <x v="3"/>
    <x v="0"/>
    <x v="4"/>
    <x v="6"/>
    <x v="1275"/>
    <x v="0"/>
    <x v="0"/>
    <x v="0"/>
    <x v="13"/>
    <x v="1200"/>
  </r>
  <r>
    <x v="1345"/>
    <x v="87"/>
    <x v="1345"/>
    <x v="0"/>
    <x v="0"/>
    <x v="0"/>
    <x v="0"/>
    <x v="1276"/>
    <x v="0"/>
    <x v="0"/>
    <x v="0"/>
    <x v="13"/>
    <x v="1201"/>
  </r>
  <r>
    <x v="1346"/>
    <x v="87"/>
    <x v="1346"/>
    <x v="3"/>
    <x v="0"/>
    <x v="4"/>
    <x v="2"/>
    <x v="1277"/>
    <x v="0"/>
    <x v="0"/>
    <x v="0"/>
    <x v="9"/>
    <x v="769"/>
  </r>
  <r>
    <x v="1347"/>
    <x v="87"/>
    <x v="1347"/>
    <x v="4"/>
    <x v="4"/>
    <x v="7"/>
    <x v="0"/>
    <x v="1278"/>
    <x v="0"/>
    <x v="0"/>
    <x v="0"/>
    <x v="14"/>
    <x v="1202"/>
  </r>
  <r>
    <x v="1348"/>
    <x v="87"/>
    <x v="1348"/>
    <x v="0"/>
    <x v="2"/>
    <x v="2"/>
    <x v="9"/>
    <x v="1279"/>
    <x v="0"/>
    <x v="0"/>
    <x v="0"/>
    <x v="14"/>
    <x v="1203"/>
  </r>
  <r>
    <x v="1349"/>
    <x v="87"/>
    <x v="1349"/>
    <x v="0"/>
    <x v="4"/>
    <x v="11"/>
    <x v="4"/>
    <x v="1280"/>
    <x v="0"/>
    <x v="0"/>
    <x v="0"/>
    <x v="20"/>
    <x v="1204"/>
  </r>
  <r>
    <x v="1350"/>
    <x v="88"/>
    <x v="1350"/>
    <x v="5"/>
    <x v="0"/>
    <x v="14"/>
    <x v="7"/>
    <x v="1281"/>
    <x v="0"/>
    <x v="0"/>
    <x v="0"/>
    <x v="11"/>
    <x v="1205"/>
  </r>
  <r>
    <x v="1351"/>
    <x v="88"/>
    <x v="1351"/>
    <x v="0"/>
    <x v="0"/>
    <x v="0"/>
    <x v="7"/>
    <x v="1282"/>
    <x v="0"/>
    <x v="0"/>
    <x v="0"/>
    <x v="11"/>
    <x v="1206"/>
  </r>
  <r>
    <x v="1352"/>
    <x v="88"/>
    <x v="1352"/>
    <x v="1"/>
    <x v="3"/>
    <x v="57"/>
    <x v="4"/>
    <x v="1283"/>
    <x v="0"/>
    <x v="0"/>
    <x v="0"/>
    <x v="12"/>
    <x v="1207"/>
  </r>
  <r>
    <x v="1353"/>
    <x v="88"/>
    <x v="1353"/>
    <x v="4"/>
    <x v="10"/>
    <x v="58"/>
    <x v="7"/>
    <x v="1284"/>
    <x v="0"/>
    <x v="0"/>
    <x v="0"/>
    <x v="0"/>
    <x v="1208"/>
  </r>
  <r>
    <x v="1354"/>
    <x v="88"/>
    <x v="1354"/>
    <x v="0"/>
    <x v="0"/>
    <x v="0"/>
    <x v="4"/>
    <x v="545"/>
    <x v="0"/>
    <x v="0"/>
    <x v="0"/>
    <x v="1"/>
    <x v="1209"/>
  </r>
  <r>
    <x v="1355"/>
    <x v="88"/>
    <x v="1355"/>
    <x v="10"/>
    <x v="0"/>
    <x v="48"/>
    <x v="7"/>
    <x v="1285"/>
    <x v="0"/>
    <x v="0"/>
    <x v="0"/>
    <x v="2"/>
    <x v="1210"/>
  </r>
  <r>
    <x v="1356"/>
    <x v="88"/>
    <x v="1356"/>
    <x v="0"/>
    <x v="0"/>
    <x v="0"/>
    <x v="2"/>
    <x v="545"/>
    <x v="0"/>
    <x v="0"/>
    <x v="0"/>
    <x v="5"/>
    <x v="915"/>
  </r>
  <r>
    <x v="1357"/>
    <x v="88"/>
    <x v="1357"/>
    <x v="0"/>
    <x v="0"/>
    <x v="0"/>
    <x v="13"/>
    <x v="1286"/>
    <x v="0"/>
    <x v="0"/>
    <x v="0"/>
    <x v="5"/>
    <x v="572"/>
  </r>
  <r>
    <x v="1358"/>
    <x v="88"/>
    <x v="1358"/>
    <x v="0"/>
    <x v="2"/>
    <x v="2"/>
    <x v="7"/>
    <x v="1287"/>
    <x v="0"/>
    <x v="0"/>
    <x v="0"/>
    <x v="18"/>
    <x v="1211"/>
  </r>
  <r>
    <x v="1359"/>
    <x v="88"/>
    <x v="1359"/>
    <x v="0"/>
    <x v="0"/>
    <x v="0"/>
    <x v="1"/>
    <x v="1288"/>
    <x v="0"/>
    <x v="0"/>
    <x v="0"/>
    <x v="18"/>
    <x v="1212"/>
  </r>
  <r>
    <x v="1360"/>
    <x v="88"/>
    <x v="1360"/>
    <x v="3"/>
    <x v="2"/>
    <x v="27"/>
    <x v="3"/>
    <x v="1289"/>
    <x v="0"/>
    <x v="0"/>
    <x v="0"/>
    <x v="7"/>
    <x v="1213"/>
  </r>
  <r>
    <x v="1361"/>
    <x v="88"/>
    <x v="1361"/>
    <x v="3"/>
    <x v="0"/>
    <x v="4"/>
    <x v="5"/>
    <x v="1290"/>
    <x v="0"/>
    <x v="0"/>
    <x v="0"/>
    <x v="7"/>
    <x v="1214"/>
  </r>
  <r>
    <x v="1362"/>
    <x v="88"/>
    <x v="1362"/>
    <x v="3"/>
    <x v="2"/>
    <x v="27"/>
    <x v="6"/>
    <x v="545"/>
    <x v="0"/>
    <x v="0"/>
    <x v="0"/>
    <x v="13"/>
    <x v="1215"/>
  </r>
  <r>
    <x v="1363"/>
    <x v="88"/>
    <x v="1363"/>
    <x v="4"/>
    <x v="4"/>
    <x v="7"/>
    <x v="7"/>
    <x v="1291"/>
    <x v="0"/>
    <x v="0"/>
    <x v="0"/>
    <x v="14"/>
    <x v="1216"/>
  </r>
  <r>
    <x v="1364"/>
    <x v="89"/>
    <x v="1364"/>
    <x v="1"/>
    <x v="0"/>
    <x v="24"/>
    <x v="2"/>
    <x v="1292"/>
    <x v="0"/>
    <x v="0"/>
    <x v="0"/>
    <x v="11"/>
    <x v="1217"/>
  </r>
  <r>
    <x v="1365"/>
    <x v="89"/>
    <x v="1365"/>
    <x v="0"/>
    <x v="1"/>
    <x v="28"/>
    <x v="1"/>
    <x v="1293"/>
    <x v="0"/>
    <x v="0"/>
    <x v="0"/>
    <x v="11"/>
    <x v="1218"/>
  </r>
  <r>
    <x v="1366"/>
    <x v="89"/>
    <x v="1366"/>
    <x v="3"/>
    <x v="4"/>
    <x v="16"/>
    <x v="4"/>
    <x v="1294"/>
    <x v="0"/>
    <x v="0"/>
    <x v="0"/>
    <x v="11"/>
    <x v="1219"/>
  </r>
  <r>
    <x v="1367"/>
    <x v="89"/>
    <x v="1367"/>
    <x v="10"/>
    <x v="0"/>
    <x v="48"/>
    <x v="5"/>
    <x v="1295"/>
    <x v="0"/>
    <x v="0"/>
    <x v="0"/>
    <x v="0"/>
    <x v="1220"/>
  </r>
  <r>
    <x v="1368"/>
    <x v="89"/>
    <x v="1368"/>
    <x v="3"/>
    <x v="0"/>
    <x v="4"/>
    <x v="9"/>
    <x v="1296"/>
    <x v="0"/>
    <x v="0"/>
    <x v="0"/>
    <x v="0"/>
    <x v="800"/>
  </r>
  <r>
    <x v="1369"/>
    <x v="89"/>
    <x v="1369"/>
    <x v="0"/>
    <x v="0"/>
    <x v="0"/>
    <x v="0"/>
    <x v="1297"/>
    <x v="0"/>
    <x v="0"/>
    <x v="0"/>
    <x v="0"/>
    <x v="1221"/>
  </r>
  <r>
    <x v="1370"/>
    <x v="89"/>
    <x v="1370"/>
    <x v="1"/>
    <x v="3"/>
    <x v="57"/>
    <x v="6"/>
    <x v="1298"/>
    <x v="0"/>
    <x v="0"/>
    <x v="0"/>
    <x v="1"/>
    <x v="1222"/>
  </r>
  <r>
    <x v="1371"/>
    <x v="89"/>
    <x v="1371"/>
    <x v="4"/>
    <x v="0"/>
    <x v="6"/>
    <x v="5"/>
    <x v="1299"/>
    <x v="0"/>
    <x v="0"/>
    <x v="0"/>
    <x v="1"/>
    <x v="1223"/>
  </r>
  <r>
    <x v="1372"/>
    <x v="89"/>
    <x v="1372"/>
    <x v="5"/>
    <x v="1"/>
    <x v="23"/>
    <x v="5"/>
    <x v="1300"/>
    <x v="0"/>
    <x v="0"/>
    <x v="0"/>
    <x v="1"/>
    <x v="1224"/>
  </r>
  <r>
    <x v="1373"/>
    <x v="89"/>
    <x v="1373"/>
    <x v="6"/>
    <x v="1"/>
    <x v="19"/>
    <x v="5"/>
    <x v="1301"/>
    <x v="0"/>
    <x v="0"/>
    <x v="0"/>
    <x v="2"/>
    <x v="1225"/>
  </r>
  <r>
    <x v="1374"/>
    <x v="89"/>
    <x v="1374"/>
    <x v="0"/>
    <x v="0"/>
    <x v="0"/>
    <x v="3"/>
    <x v="545"/>
    <x v="0"/>
    <x v="0"/>
    <x v="0"/>
    <x v="2"/>
    <x v="1226"/>
  </r>
  <r>
    <x v="1375"/>
    <x v="89"/>
    <x v="1375"/>
    <x v="0"/>
    <x v="12"/>
    <x v="49"/>
    <x v="8"/>
    <x v="1302"/>
    <x v="0"/>
    <x v="0"/>
    <x v="0"/>
    <x v="6"/>
    <x v="1227"/>
  </r>
  <r>
    <x v="1376"/>
    <x v="89"/>
    <x v="1376"/>
    <x v="0"/>
    <x v="0"/>
    <x v="0"/>
    <x v="6"/>
    <x v="1303"/>
    <x v="0"/>
    <x v="0"/>
    <x v="0"/>
    <x v="7"/>
    <x v="86"/>
  </r>
  <r>
    <x v="1377"/>
    <x v="89"/>
    <x v="1377"/>
    <x v="4"/>
    <x v="0"/>
    <x v="6"/>
    <x v="5"/>
    <x v="1304"/>
    <x v="0"/>
    <x v="0"/>
    <x v="0"/>
    <x v="7"/>
    <x v="1228"/>
  </r>
  <r>
    <x v="1378"/>
    <x v="89"/>
    <x v="1378"/>
    <x v="0"/>
    <x v="0"/>
    <x v="0"/>
    <x v="1"/>
    <x v="1305"/>
    <x v="0"/>
    <x v="0"/>
    <x v="0"/>
    <x v="7"/>
    <x v="1229"/>
  </r>
  <r>
    <x v="1379"/>
    <x v="89"/>
    <x v="1379"/>
    <x v="3"/>
    <x v="0"/>
    <x v="4"/>
    <x v="7"/>
    <x v="545"/>
    <x v="0"/>
    <x v="0"/>
    <x v="0"/>
    <x v="13"/>
    <x v="1230"/>
  </r>
  <r>
    <x v="1380"/>
    <x v="89"/>
    <x v="1380"/>
    <x v="0"/>
    <x v="4"/>
    <x v="11"/>
    <x v="2"/>
    <x v="545"/>
    <x v="0"/>
    <x v="0"/>
    <x v="0"/>
    <x v="9"/>
    <x v="1231"/>
  </r>
  <r>
    <x v="1381"/>
    <x v="89"/>
    <x v="1381"/>
    <x v="4"/>
    <x v="4"/>
    <x v="7"/>
    <x v="6"/>
    <x v="545"/>
    <x v="0"/>
    <x v="0"/>
    <x v="0"/>
    <x v="9"/>
    <x v="1232"/>
  </r>
  <r>
    <x v="1382"/>
    <x v="89"/>
    <x v="1382"/>
    <x v="4"/>
    <x v="0"/>
    <x v="6"/>
    <x v="5"/>
    <x v="1306"/>
    <x v="0"/>
    <x v="0"/>
    <x v="0"/>
    <x v="9"/>
    <x v="1233"/>
  </r>
  <r>
    <x v="1383"/>
    <x v="89"/>
    <x v="1383"/>
    <x v="4"/>
    <x v="0"/>
    <x v="6"/>
    <x v="6"/>
    <x v="1307"/>
    <x v="0"/>
    <x v="0"/>
    <x v="0"/>
    <x v="10"/>
    <x v="628"/>
  </r>
  <r>
    <x v="1384"/>
    <x v="90"/>
    <x v="1384"/>
    <x v="4"/>
    <x v="0"/>
    <x v="6"/>
    <x v="2"/>
    <x v="1308"/>
    <x v="0"/>
    <x v="0"/>
    <x v="0"/>
    <x v="11"/>
    <x v="1234"/>
  </r>
  <r>
    <x v="1385"/>
    <x v="90"/>
    <x v="1385"/>
    <x v="6"/>
    <x v="0"/>
    <x v="21"/>
    <x v="6"/>
    <x v="1309"/>
    <x v="0"/>
    <x v="0"/>
    <x v="0"/>
    <x v="11"/>
    <x v="1235"/>
  </r>
  <r>
    <x v="1386"/>
    <x v="90"/>
    <x v="1386"/>
    <x v="4"/>
    <x v="0"/>
    <x v="6"/>
    <x v="6"/>
    <x v="1310"/>
    <x v="0"/>
    <x v="0"/>
    <x v="0"/>
    <x v="1"/>
    <x v="1236"/>
  </r>
  <r>
    <x v="1387"/>
    <x v="90"/>
    <x v="1387"/>
    <x v="0"/>
    <x v="0"/>
    <x v="0"/>
    <x v="7"/>
    <x v="545"/>
    <x v="0"/>
    <x v="0"/>
    <x v="0"/>
    <x v="1"/>
    <x v="1237"/>
  </r>
  <r>
    <x v="1388"/>
    <x v="90"/>
    <x v="1388"/>
    <x v="0"/>
    <x v="0"/>
    <x v="0"/>
    <x v="6"/>
    <x v="545"/>
    <x v="0"/>
    <x v="0"/>
    <x v="0"/>
    <x v="3"/>
    <x v="1238"/>
  </r>
  <r>
    <x v="1389"/>
    <x v="90"/>
    <x v="1389"/>
    <x v="3"/>
    <x v="4"/>
    <x v="16"/>
    <x v="5"/>
    <x v="545"/>
    <x v="0"/>
    <x v="0"/>
    <x v="0"/>
    <x v="3"/>
    <x v="1239"/>
  </r>
  <r>
    <x v="1390"/>
    <x v="90"/>
    <x v="1390"/>
    <x v="7"/>
    <x v="0"/>
    <x v="53"/>
    <x v="7"/>
    <x v="1311"/>
    <x v="0"/>
    <x v="0"/>
    <x v="0"/>
    <x v="4"/>
    <x v="1240"/>
  </r>
  <r>
    <x v="1391"/>
    <x v="90"/>
    <x v="1391"/>
    <x v="0"/>
    <x v="0"/>
    <x v="0"/>
    <x v="2"/>
    <x v="545"/>
    <x v="0"/>
    <x v="0"/>
    <x v="0"/>
    <x v="5"/>
    <x v="398"/>
  </r>
  <r>
    <x v="1392"/>
    <x v="90"/>
    <x v="1392"/>
    <x v="0"/>
    <x v="0"/>
    <x v="0"/>
    <x v="1"/>
    <x v="545"/>
    <x v="0"/>
    <x v="0"/>
    <x v="0"/>
    <x v="5"/>
    <x v="1241"/>
  </r>
  <r>
    <x v="1393"/>
    <x v="90"/>
    <x v="1393"/>
    <x v="0"/>
    <x v="0"/>
    <x v="0"/>
    <x v="2"/>
    <x v="1312"/>
    <x v="0"/>
    <x v="0"/>
    <x v="0"/>
    <x v="7"/>
    <x v="1242"/>
  </r>
  <r>
    <x v="1394"/>
    <x v="90"/>
    <x v="1394"/>
    <x v="3"/>
    <x v="2"/>
    <x v="27"/>
    <x v="4"/>
    <x v="1313"/>
    <x v="0"/>
    <x v="0"/>
    <x v="0"/>
    <x v="7"/>
    <x v="1243"/>
  </r>
  <r>
    <x v="1395"/>
    <x v="90"/>
    <x v="1395"/>
    <x v="3"/>
    <x v="0"/>
    <x v="4"/>
    <x v="7"/>
    <x v="1314"/>
    <x v="0"/>
    <x v="0"/>
    <x v="0"/>
    <x v="9"/>
    <x v="1244"/>
  </r>
  <r>
    <x v="1396"/>
    <x v="90"/>
    <x v="1396"/>
    <x v="4"/>
    <x v="0"/>
    <x v="6"/>
    <x v="1"/>
    <x v="1315"/>
    <x v="0"/>
    <x v="0"/>
    <x v="0"/>
    <x v="9"/>
    <x v="1245"/>
  </r>
  <r>
    <x v="1397"/>
    <x v="90"/>
    <x v="1397"/>
    <x v="0"/>
    <x v="4"/>
    <x v="11"/>
    <x v="1"/>
    <x v="1316"/>
    <x v="0"/>
    <x v="0"/>
    <x v="0"/>
    <x v="14"/>
    <x v="1246"/>
  </r>
  <r>
    <x v="1398"/>
    <x v="91"/>
    <x v="1398"/>
    <x v="5"/>
    <x v="0"/>
    <x v="14"/>
    <x v="7"/>
    <x v="1317"/>
    <x v="0"/>
    <x v="0"/>
    <x v="0"/>
    <x v="11"/>
    <x v="1247"/>
  </r>
  <r>
    <x v="1399"/>
    <x v="91"/>
    <x v="1399"/>
    <x v="3"/>
    <x v="0"/>
    <x v="4"/>
    <x v="7"/>
    <x v="1318"/>
    <x v="0"/>
    <x v="0"/>
    <x v="0"/>
    <x v="0"/>
    <x v="69"/>
  </r>
  <r>
    <x v="1400"/>
    <x v="91"/>
    <x v="1400"/>
    <x v="4"/>
    <x v="0"/>
    <x v="6"/>
    <x v="5"/>
    <x v="1319"/>
    <x v="0"/>
    <x v="0"/>
    <x v="0"/>
    <x v="0"/>
    <x v="1248"/>
  </r>
  <r>
    <x v="1401"/>
    <x v="91"/>
    <x v="1401"/>
    <x v="1"/>
    <x v="4"/>
    <x v="35"/>
    <x v="11"/>
    <x v="1320"/>
    <x v="0"/>
    <x v="0"/>
    <x v="0"/>
    <x v="0"/>
    <x v="1249"/>
  </r>
  <r>
    <x v="1402"/>
    <x v="91"/>
    <x v="1402"/>
    <x v="0"/>
    <x v="1"/>
    <x v="28"/>
    <x v="7"/>
    <x v="1321"/>
    <x v="0"/>
    <x v="0"/>
    <x v="0"/>
    <x v="2"/>
    <x v="1250"/>
  </r>
  <r>
    <x v="1403"/>
    <x v="91"/>
    <x v="1403"/>
    <x v="8"/>
    <x v="1"/>
    <x v="30"/>
    <x v="7"/>
    <x v="1322"/>
    <x v="0"/>
    <x v="0"/>
    <x v="11"/>
    <x v="2"/>
    <x v="1251"/>
  </r>
  <r>
    <x v="1404"/>
    <x v="91"/>
    <x v="1404"/>
    <x v="0"/>
    <x v="2"/>
    <x v="2"/>
    <x v="1"/>
    <x v="1323"/>
    <x v="0"/>
    <x v="0"/>
    <x v="0"/>
    <x v="6"/>
    <x v="1252"/>
  </r>
  <r>
    <x v="1405"/>
    <x v="91"/>
    <x v="1405"/>
    <x v="4"/>
    <x v="0"/>
    <x v="6"/>
    <x v="7"/>
    <x v="1324"/>
    <x v="0"/>
    <x v="0"/>
    <x v="0"/>
    <x v="6"/>
    <x v="1253"/>
  </r>
  <r>
    <x v="1406"/>
    <x v="91"/>
    <x v="1406"/>
    <x v="3"/>
    <x v="4"/>
    <x v="16"/>
    <x v="2"/>
    <x v="1325"/>
    <x v="0"/>
    <x v="0"/>
    <x v="0"/>
    <x v="6"/>
    <x v="1254"/>
  </r>
  <r>
    <x v="1407"/>
    <x v="91"/>
    <x v="1407"/>
    <x v="0"/>
    <x v="1"/>
    <x v="28"/>
    <x v="3"/>
    <x v="1326"/>
    <x v="0"/>
    <x v="0"/>
    <x v="0"/>
    <x v="6"/>
    <x v="1255"/>
  </r>
  <r>
    <x v="1408"/>
    <x v="91"/>
    <x v="1408"/>
    <x v="4"/>
    <x v="0"/>
    <x v="6"/>
    <x v="2"/>
    <x v="1327"/>
    <x v="0"/>
    <x v="0"/>
    <x v="0"/>
    <x v="18"/>
    <x v="1256"/>
  </r>
  <r>
    <x v="1409"/>
    <x v="91"/>
    <x v="1409"/>
    <x v="0"/>
    <x v="0"/>
    <x v="0"/>
    <x v="7"/>
    <x v="1328"/>
    <x v="0"/>
    <x v="0"/>
    <x v="0"/>
    <x v="13"/>
    <x v="1257"/>
  </r>
  <r>
    <x v="1410"/>
    <x v="92"/>
    <x v="1410"/>
    <x v="1"/>
    <x v="4"/>
    <x v="35"/>
    <x v="4"/>
    <x v="1329"/>
    <x v="0"/>
    <x v="0"/>
    <x v="0"/>
    <x v="11"/>
    <x v="1258"/>
  </r>
  <r>
    <x v="1411"/>
    <x v="92"/>
    <x v="1411"/>
    <x v="6"/>
    <x v="0"/>
    <x v="21"/>
    <x v="7"/>
    <x v="1330"/>
    <x v="0"/>
    <x v="0"/>
    <x v="0"/>
    <x v="11"/>
    <x v="1259"/>
  </r>
  <r>
    <x v="1412"/>
    <x v="92"/>
    <x v="1412"/>
    <x v="9"/>
    <x v="0"/>
    <x v="31"/>
    <x v="2"/>
    <x v="1331"/>
    <x v="0"/>
    <x v="0"/>
    <x v="0"/>
    <x v="11"/>
    <x v="1260"/>
  </r>
  <r>
    <x v="1413"/>
    <x v="92"/>
    <x v="1413"/>
    <x v="1"/>
    <x v="10"/>
    <x v="77"/>
    <x v="4"/>
    <x v="1332"/>
    <x v="0"/>
    <x v="0"/>
    <x v="0"/>
    <x v="12"/>
    <x v="1261"/>
  </r>
  <r>
    <x v="1414"/>
    <x v="92"/>
    <x v="1414"/>
    <x v="3"/>
    <x v="5"/>
    <x v="8"/>
    <x v="6"/>
    <x v="1333"/>
    <x v="0"/>
    <x v="0"/>
    <x v="0"/>
    <x v="12"/>
    <x v="1262"/>
  </r>
  <r>
    <x v="1415"/>
    <x v="92"/>
    <x v="1415"/>
    <x v="7"/>
    <x v="1"/>
    <x v="60"/>
    <x v="7"/>
    <x v="1334"/>
    <x v="0"/>
    <x v="0"/>
    <x v="0"/>
    <x v="12"/>
    <x v="1263"/>
  </r>
  <r>
    <x v="1416"/>
    <x v="92"/>
    <x v="1416"/>
    <x v="5"/>
    <x v="0"/>
    <x v="14"/>
    <x v="1"/>
    <x v="1335"/>
    <x v="0"/>
    <x v="0"/>
    <x v="0"/>
    <x v="0"/>
    <x v="1264"/>
  </r>
  <r>
    <x v="1417"/>
    <x v="92"/>
    <x v="1417"/>
    <x v="0"/>
    <x v="5"/>
    <x v="25"/>
    <x v="1"/>
    <x v="1336"/>
    <x v="0"/>
    <x v="0"/>
    <x v="0"/>
    <x v="0"/>
    <x v="1265"/>
  </r>
  <r>
    <x v="1418"/>
    <x v="92"/>
    <x v="1418"/>
    <x v="4"/>
    <x v="1"/>
    <x v="5"/>
    <x v="4"/>
    <x v="1337"/>
    <x v="0"/>
    <x v="0"/>
    <x v="0"/>
    <x v="0"/>
    <x v="1266"/>
  </r>
  <r>
    <x v="1419"/>
    <x v="92"/>
    <x v="1419"/>
    <x v="4"/>
    <x v="0"/>
    <x v="6"/>
    <x v="6"/>
    <x v="1338"/>
    <x v="0"/>
    <x v="0"/>
    <x v="0"/>
    <x v="1"/>
    <x v="1267"/>
  </r>
  <r>
    <x v="1420"/>
    <x v="92"/>
    <x v="1420"/>
    <x v="2"/>
    <x v="4"/>
    <x v="72"/>
    <x v="8"/>
    <x v="1339"/>
    <x v="0"/>
    <x v="0"/>
    <x v="0"/>
    <x v="1"/>
    <x v="57"/>
  </r>
  <r>
    <x v="1421"/>
    <x v="92"/>
    <x v="1421"/>
    <x v="1"/>
    <x v="0"/>
    <x v="24"/>
    <x v="4"/>
    <x v="1340"/>
    <x v="0"/>
    <x v="0"/>
    <x v="0"/>
    <x v="1"/>
    <x v="1268"/>
  </r>
  <r>
    <x v="1422"/>
    <x v="92"/>
    <x v="1422"/>
    <x v="12"/>
    <x v="0"/>
    <x v="46"/>
    <x v="5"/>
    <x v="1341"/>
    <x v="0"/>
    <x v="0"/>
    <x v="0"/>
    <x v="2"/>
    <x v="1269"/>
  </r>
  <r>
    <x v="1423"/>
    <x v="92"/>
    <x v="1423"/>
    <x v="0"/>
    <x v="0"/>
    <x v="0"/>
    <x v="5"/>
    <x v="1342"/>
    <x v="0"/>
    <x v="0"/>
    <x v="0"/>
    <x v="5"/>
    <x v="88"/>
  </r>
  <r>
    <x v="1424"/>
    <x v="92"/>
    <x v="1424"/>
    <x v="4"/>
    <x v="0"/>
    <x v="6"/>
    <x v="6"/>
    <x v="1343"/>
    <x v="0"/>
    <x v="0"/>
    <x v="0"/>
    <x v="6"/>
    <x v="1270"/>
  </r>
  <r>
    <x v="1425"/>
    <x v="92"/>
    <x v="1425"/>
    <x v="4"/>
    <x v="5"/>
    <x v="9"/>
    <x v="2"/>
    <x v="1344"/>
    <x v="0"/>
    <x v="0"/>
    <x v="0"/>
    <x v="16"/>
    <x v="1271"/>
  </r>
  <r>
    <x v="1426"/>
    <x v="92"/>
    <x v="1426"/>
    <x v="4"/>
    <x v="0"/>
    <x v="6"/>
    <x v="4"/>
    <x v="1345"/>
    <x v="0"/>
    <x v="0"/>
    <x v="0"/>
    <x v="7"/>
    <x v="614"/>
  </r>
  <r>
    <x v="1427"/>
    <x v="92"/>
    <x v="1427"/>
    <x v="3"/>
    <x v="0"/>
    <x v="4"/>
    <x v="2"/>
    <x v="1346"/>
    <x v="0"/>
    <x v="0"/>
    <x v="0"/>
    <x v="13"/>
    <x v="1272"/>
  </r>
  <r>
    <x v="1428"/>
    <x v="92"/>
    <x v="1428"/>
    <x v="0"/>
    <x v="0"/>
    <x v="0"/>
    <x v="6"/>
    <x v="1347"/>
    <x v="0"/>
    <x v="0"/>
    <x v="0"/>
    <x v="13"/>
    <x v="1273"/>
  </r>
  <r>
    <x v="1429"/>
    <x v="92"/>
    <x v="1429"/>
    <x v="0"/>
    <x v="0"/>
    <x v="0"/>
    <x v="5"/>
    <x v="1348"/>
    <x v="0"/>
    <x v="0"/>
    <x v="0"/>
    <x v="13"/>
    <x v="1274"/>
  </r>
  <r>
    <x v="1430"/>
    <x v="92"/>
    <x v="1430"/>
    <x v="0"/>
    <x v="1"/>
    <x v="28"/>
    <x v="2"/>
    <x v="1349"/>
    <x v="0"/>
    <x v="0"/>
    <x v="0"/>
    <x v="9"/>
    <x v="1275"/>
  </r>
  <r>
    <x v="1431"/>
    <x v="93"/>
    <x v="1431"/>
    <x v="5"/>
    <x v="1"/>
    <x v="23"/>
    <x v="5"/>
    <x v="1350"/>
    <x v="0"/>
    <x v="0"/>
    <x v="0"/>
    <x v="11"/>
    <x v="51"/>
  </r>
  <r>
    <x v="1432"/>
    <x v="93"/>
    <x v="1432"/>
    <x v="6"/>
    <x v="0"/>
    <x v="21"/>
    <x v="0"/>
    <x v="1351"/>
    <x v="0"/>
    <x v="0"/>
    <x v="0"/>
    <x v="12"/>
    <x v="1276"/>
  </r>
  <r>
    <x v="1433"/>
    <x v="93"/>
    <x v="1433"/>
    <x v="0"/>
    <x v="0"/>
    <x v="0"/>
    <x v="4"/>
    <x v="1352"/>
    <x v="0"/>
    <x v="0"/>
    <x v="0"/>
    <x v="0"/>
    <x v="841"/>
  </r>
  <r>
    <x v="1434"/>
    <x v="93"/>
    <x v="1434"/>
    <x v="0"/>
    <x v="16"/>
    <x v="78"/>
    <x v="5"/>
    <x v="1353"/>
    <x v="0"/>
    <x v="0"/>
    <x v="0"/>
    <x v="17"/>
    <x v="1277"/>
  </r>
  <r>
    <x v="1435"/>
    <x v="93"/>
    <x v="1435"/>
    <x v="4"/>
    <x v="0"/>
    <x v="6"/>
    <x v="3"/>
    <x v="1354"/>
    <x v="0"/>
    <x v="0"/>
    <x v="0"/>
    <x v="5"/>
    <x v="1278"/>
  </r>
  <r>
    <x v="1436"/>
    <x v="93"/>
    <x v="1436"/>
    <x v="0"/>
    <x v="0"/>
    <x v="0"/>
    <x v="5"/>
    <x v="1355"/>
    <x v="0"/>
    <x v="0"/>
    <x v="0"/>
    <x v="7"/>
    <x v="1279"/>
  </r>
  <r>
    <x v="1437"/>
    <x v="93"/>
    <x v="1437"/>
    <x v="4"/>
    <x v="0"/>
    <x v="6"/>
    <x v="4"/>
    <x v="1356"/>
    <x v="0"/>
    <x v="0"/>
    <x v="0"/>
    <x v="7"/>
    <x v="1222"/>
  </r>
  <r>
    <x v="1438"/>
    <x v="93"/>
    <x v="1438"/>
    <x v="0"/>
    <x v="1"/>
    <x v="28"/>
    <x v="4"/>
    <x v="1357"/>
    <x v="0"/>
    <x v="0"/>
    <x v="0"/>
    <x v="7"/>
    <x v="1280"/>
  </r>
  <r>
    <x v="1439"/>
    <x v="93"/>
    <x v="1439"/>
    <x v="0"/>
    <x v="0"/>
    <x v="0"/>
    <x v="7"/>
    <x v="1358"/>
    <x v="0"/>
    <x v="14"/>
    <x v="0"/>
    <x v="8"/>
    <x v="1281"/>
  </r>
  <r>
    <x v="1440"/>
    <x v="93"/>
    <x v="1440"/>
    <x v="0"/>
    <x v="0"/>
    <x v="0"/>
    <x v="5"/>
    <x v="1359"/>
    <x v="0"/>
    <x v="0"/>
    <x v="0"/>
    <x v="9"/>
    <x v="1282"/>
  </r>
  <r>
    <x v="1441"/>
    <x v="93"/>
    <x v="1441"/>
    <x v="0"/>
    <x v="6"/>
    <x v="10"/>
    <x v="4"/>
    <x v="1360"/>
    <x v="0"/>
    <x v="0"/>
    <x v="0"/>
    <x v="9"/>
    <x v="1283"/>
  </r>
  <r>
    <x v="1442"/>
    <x v="93"/>
    <x v="1442"/>
    <x v="0"/>
    <x v="4"/>
    <x v="11"/>
    <x v="8"/>
    <x v="545"/>
    <x v="0"/>
    <x v="0"/>
    <x v="0"/>
    <x v="9"/>
    <x v="1284"/>
  </r>
  <r>
    <x v="1443"/>
    <x v="93"/>
    <x v="1443"/>
    <x v="4"/>
    <x v="0"/>
    <x v="6"/>
    <x v="6"/>
    <x v="545"/>
    <x v="0"/>
    <x v="0"/>
    <x v="0"/>
    <x v="9"/>
    <x v="1285"/>
  </r>
  <r>
    <x v="1444"/>
    <x v="93"/>
    <x v="1444"/>
    <x v="4"/>
    <x v="4"/>
    <x v="7"/>
    <x v="5"/>
    <x v="1361"/>
    <x v="0"/>
    <x v="0"/>
    <x v="0"/>
    <x v="10"/>
    <x v="1286"/>
  </r>
  <r>
    <x v="1445"/>
    <x v="93"/>
    <x v="1445"/>
    <x v="0"/>
    <x v="0"/>
    <x v="0"/>
    <x v="2"/>
    <x v="1362"/>
    <x v="0"/>
    <x v="0"/>
    <x v="0"/>
    <x v="10"/>
    <x v="230"/>
  </r>
  <r>
    <x v="1446"/>
    <x v="93"/>
    <x v="1446"/>
    <x v="3"/>
    <x v="0"/>
    <x v="4"/>
    <x v="5"/>
    <x v="1363"/>
    <x v="0"/>
    <x v="0"/>
    <x v="0"/>
    <x v="10"/>
    <x v="1161"/>
  </r>
  <r>
    <x v="1447"/>
    <x v="93"/>
    <x v="1447"/>
    <x v="4"/>
    <x v="0"/>
    <x v="6"/>
    <x v="1"/>
    <x v="1364"/>
    <x v="0"/>
    <x v="0"/>
    <x v="0"/>
    <x v="10"/>
    <x v="1287"/>
  </r>
  <r>
    <x v="1448"/>
    <x v="93"/>
    <x v="1448"/>
    <x v="3"/>
    <x v="0"/>
    <x v="4"/>
    <x v="5"/>
    <x v="1365"/>
    <x v="0"/>
    <x v="0"/>
    <x v="0"/>
    <x v="10"/>
    <x v="1288"/>
  </r>
  <r>
    <x v="1449"/>
    <x v="93"/>
    <x v="1449"/>
    <x v="4"/>
    <x v="0"/>
    <x v="6"/>
    <x v="6"/>
    <x v="1366"/>
    <x v="0"/>
    <x v="0"/>
    <x v="0"/>
    <x v="10"/>
    <x v="1289"/>
  </r>
  <r>
    <x v="1450"/>
    <x v="93"/>
    <x v="1450"/>
    <x v="0"/>
    <x v="0"/>
    <x v="0"/>
    <x v="2"/>
    <x v="1367"/>
    <x v="0"/>
    <x v="0"/>
    <x v="0"/>
    <x v="10"/>
    <x v="1290"/>
  </r>
  <r>
    <x v="1451"/>
    <x v="93"/>
    <x v="1451"/>
    <x v="0"/>
    <x v="0"/>
    <x v="0"/>
    <x v="7"/>
    <x v="1368"/>
    <x v="0"/>
    <x v="0"/>
    <x v="0"/>
    <x v="15"/>
    <x v="1291"/>
  </r>
  <r>
    <x v="1452"/>
    <x v="94"/>
    <x v="1452"/>
    <x v="6"/>
    <x v="1"/>
    <x v="19"/>
    <x v="0"/>
    <x v="1369"/>
    <x v="0"/>
    <x v="0"/>
    <x v="0"/>
    <x v="11"/>
    <x v="1292"/>
  </r>
  <r>
    <x v="1453"/>
    <x v="94"/>
    <x v="1453"/>
    <x v="5"/>
    <x v="0"/>
    <x v="14"/>
    <x v="5"/>
    <x v="1370"/>
    <x v="0"/>
    <x v="0"/>
    <x v="0"/>
    <x v="11"/>
    <x v="1293"/>
  </r>
  <r>
    <x v="1454"/>
    <x v="94"/>
    <x v="1454"/>
    <x v="6"/>
    <x v="10"/>
    <x v="32"/>
    <x v="4"/>
    <x v="1371"/>
    <x v="0"/>
    <x v="0"/>
    <x v="0"/>
    <x v="12"/>
    <x v="1294"/>
  </r>
  <r>
    <x v="1455"/>
    <x v="94"/>
    <x v="1455"/>
    <x v="3"/>
    <x v="0"/>
    <x v="4"/>
    <x v="6"/>
    <x v="1372"/>
    <x v="0"/>
    <x v="0"/>
    <x v="0"/>
    <x v="0"/>
    <x v="1295"/>
  </r>
  <r>
    <x v="1456"/>
    <x v="94"/>
    <x v="1456"/>
    <x v="6"/>
    <x v="0"/>
    <x v="21"/>
    <x v="2"/>
    <x v="1373"/>
    <x v="0"/>
    <x v="0"/>
    <x v="0"/>
    <x v="0"/>
    <x v="1296"/>
  </r>
  <r>
    <x v="1457"/>
    <x v="94"/>
    <x v="1457"/>
    <x v="0"/>
    <x v="9"/>
    <x v="79"/>
    <x v="4"/>
    <x v="1374"/>
    <x v="0"/>
    <x v="0"/>
    <x v="0"/>
    <x v="2"/>
    <x v="1297"/>
  </r>
  <r>
    <x v="1458"/>
    <x v="94"/>
    <x v="1458"/>
    <x v="0"/>
    <x v="0"/>
    <x v="0"/>
    <x v="7"/>
    <x v="545"/>
    <x v="0"/>
    <x v="0"/>
    <x v="0"/>
    <x v="2"/>
    <x v="29"/>
  </r>
  <r>
    <x v="1459"/>
    <x v="94"/>
    <x v="1459"/>
    <x v="0"/>
    <x v="0"/>
    <x v="0"/>
    <x v="2"/>
    <x v="1375"/>
    <x v="0"/>
    <x v="0"/>
    <x v="0"/>
    <x v="5"/>
    <x v="1024"/>
  </r>
  <r>
    <x v="1460"/>
    <x v="94"/>
    <x v="1460"/>
    <x v="3"/>
    <x v="0"/>
    <x v="4"/>
    <x v="2"/>
    <x v="1376"/>
    <x v="0"/>
    <x v="0"/>
    <x v="0"/>
    <x v="7"/>
    <x v="415"/>
  </r>
  <r>
    <x v="1461"/>
    <x v="94"/>
    <x v="1461"/>
    <x v="4"/>
    <x v="4"/>
    <x v="7"/>
    <x v="3"/>
    <x v="545"/>
    <x v="0"/>
    <x v="0"/>
    <x v="0"/>
    <x v="9"/>
    <x v="1298"/>
  </r>
  <r>
    <x v="1462"/>
    <x v="94"/>
    <x v="1462"/>
    <x v="0"/>
    <x v="4"/>
    <x v="11"/>
    <x v="8"/>
    <x v="1377"/>
    <x v="0"/>
    <x v="0"/>
    <x v="0"/>
    <x v="14"/>
    <x v="1299"/>
  </r>
  <r>
    <x v="1463"/>
    <x v="94"/>
    <x v="1463"/>
    <x v="0"/>
    <x v="0"/>
    <x v="0"/>
    <x v="13"/>
    <x v="1378"/>
    <x v="0"/>
    <x v="0"/>
    <x v="0"/>
    <x v="14"/>
    <x v="1300"/>
  </r>
  <r>
    <x v="1464"/>
    <x v="94"/>
    <x v="1464"/>
    <x v="3"/>
    <x v="1"/>
    <x v="13"/>
    <x v="8"/>
    <x v="1379"/>
    <x v="0"/>
    <x v="0"/>
    <x v="0"/>
    <x v="23"/>
    <x v="279"/>
  </r>
  <r>
    <x v="1465"/>
    <x v="95"/>
    <x v="1465"/>
    <x v="2"/>
    <x v="0"/>
    <x v="59"/>
    <x v="7"/>
    <x v="1380"/>
    <x v="0"/>
    <x v="0"/>
    <x v="0"/>
    <x v="11"/>
    <x v="749"/>
  </r>
  <r>
    <x v="1466"/>
    <x v="95"/>
    <x v="1466"/>
    <x v="1"/>
    <x v="4"/>
    <x v="35"/>
    <x v="4"/>
    <x v="1381"/>
    <x v="0"/>
    <x v="0"/>
    <x v="0"/>
    <x v="12"/>
    <x v="1301"/>
  </r>
  <r>
    <x v="1467"/>
    <x v="95"/>
    <x v="1467"/>
    <x v="5"/>
    <x v="1"/>
    <x v="23"/>
    <x v="8"/>
    <x v="1382"/>
    <x v="0"/>
    <x v="0"/>
    <x v="0"/>
    <x v="12"/>
    <x v="1242"/>
  </r>
  <r>
    <x v="1468"/>
    <x v="95"/>
    <x v="1468"/>
    <x v="1"/>
    <x v="2"/>
    <x v="18"/>
    <x v="4"/>
    <x v="1383"/>
    <x v="0"/>
    <x v="0"/>
    <x v="0"/>
    <x v="12"/>
    <x v="1302"/>
  </r>
  <r>
    <x v="1469"/>
    <x v="95"/>
    <x v="1469"/>
    <x v="7"/>
    <x v="0"/>
    <x v="53"/>
    <x v="4"/>
    <x v="1384"/>
    <x v="0"/>
    <x v="0"/>
    <x v="0"/>
    <x v="1"/>
    <x v="1303"/>
  </r>
  <r>
    <x v="1470"/>
    <x v="95"/>
    <x v="1470"/>
    <x v="0"/>
    <x v="0"/>
    <x v="0"/>
    <x v="5"/>
    <x v="1385"/>
    <x v="0"/>
    <x v="0"/>
    <x v="0"/>
    <x v="1"/>
    <x v="1304"/>
  </r>
  <r>
    <x v="1471"/>
    <x v="95"/>
    <x v="1471"/>
    <x v="0"/>
    <x v="3"/>
    <x v="47"/>
    <x v="5"/>
    <x v="545"/>
    <x v="0"/>
    <x v="0"/>
    <x v="0"/>
    <x v="3"/>
    <x v="37"/>
  </r>
  <r>
    <x v="1472"/>
    <x v="95"/>
    <x v="1472"/>
    <x v="6"/>
    <x v="0"/>
    <x v="21"/>
    <x v="5"/>
    <x v="545"/>
    <x v="0"/>
    <x v="0"/>
    <x v="0"/>
    <x v="3"/>
    <x v="1305"/>
  </r>
  <r>
    <x v="1473"/>
    <x v="95"/>
    <x v="1473"/>
    <x v="0"/>
    <x v="0"/>
    <x v="0"/>
    <x v="5"/>
    <x v="545"/>
    <x v="0"/>
    <x v="0"/>
    <x v="0"/>
    <x v="5"/>
    <x v="1306"/>
  </r>
  <r>
    <x v="1474"/>
    <x v="95"/>
    <x v="1474"/>
    <x v="0"/>
    <x v="0"/>
    <x v="0"/>
    <x v="5"/>
    <x v="1386"/>
    <x v="0"/>
    <x v="0"/>
    <x v="0"/>
    <x v="7"/>
    <x v="1307"/>
  </r>
  <r>
    <x v="1475"/>
    <x v="95"/>
    <x v="1475"/>
    <x v="3"/>
    <x v="0"/>
    <x v="4"/>
    <x v="0"/>
    <x v="1387"/>
    <x v="0"/>
    <x v="0"/>
    <x v="0"/>
    <x v="7"/>
    <x v="1308"/>
  </r>
  <r>
    <x v="1476"/>
    <x v="95"/>
    <x v="1476"/>
    <x v="3"/>
    <x v="0"/>
    <x v="4"/>
    <x v="7"/>
    <x v="1388"/>
    <x v="0"/>
    <x v="0"/>
    <x v="0"/>
    <x v="15"/>
    <x v="333"/>
  </r>
  <r>
    <x v="1477"/>
    <x v="96"/>
    <x v="1477"/>
    <x v="0"/>
    <x v="0"/>
    <x v="0"/>
    <x v="3"/>
    <x v="1389"/>
    <x v="0"/>
    <x v="0"/>
    <x v="0"/>
    <x v="11"/>
    <x v="358"/>
  </r>
  <r>
    <x v="1478"/>
    <x v="96"/>
    <x v="1478"/>
    <x v="2"/>
    <x v="0"/>
    <x v="59"/>
    <x v="6"/>
    <x v="1390"/>
    <x v="0"/>
    <x v="0"/>
    <x v="0"/>
    <x v="11"/>
    <x v="1309"/>
  </r>
  <r>
    <x v="1479"/>
    <x v="96"/>
    <x v="1479"/>
    <x v="2"/>
    <x v="3"/>
    <x v="3"/>
    <x v="6"/>
    <x v="1391"/>
    <x v="0"/>
    <x v="0"/>
    <x v="0"/>
    <x v="0"/>
    <x v="1310"/>
  </r>
  <r>
    <x v="1480"/>
    <x v="96"/>
    <x v="1480"/>
    <x v="3"/>
    <x v="0"/>
    <x v="4"/>
    <x v="6"/>
    <x v="1392"/>
    <x v="0"/>
    <x v="0"/>
    <x v="0"/>
    <x v="0"/>
    <x v="1311"/>
  </r>
  <r>
    <x v="1481"/>
    <x v="96"/>
    <x v="1481"/>
    <x v="4"/>
    <x v="0"/>
    <x v="6"/>
    <x v="1"/>
    <x v="1393"/>
    <x v="0"/>
    <x v="0"/>
    <x v="0"/>
    <x v="0"/>
    <x v="533"/>
  </r>
  <r>
    <x v="1482"/>
    <x v="96"/>
    <x v="1482"/>
    <x v="0"/>
    <x v="0"/>
    <x v="0"/>
    <x v="3"/>
    <x v="545"/>
    <x v="0"/>
    <x v="0"/>
    <x v="0"/>
    <x v="1"/>
    <x v="981"/>
  </r>
  <r>
    <x v="1483"/>
    <x v="96"/>
    <x v="1483"/>
    <x v="0"/>
    <x v="2"/>
    <x v="2"/>
    <x v="3"/>
    <x v="545"/>
    <x v="0"/>
    <x v="0"/>
    <x v="0"/>
    <x v="2"/>
    <x v="102"/>
  </r>
  <r>
    <x v="1484"/>
    <x v="96"/>
    <x v="1484"/>
    <x v="4"/>
    <x v="7"/>
    <x v="80"/>
    <x v="5"/>
    <x v="1394"/>
    <x v="0"/>
    <x v="0"/>
    <x v="0"/>
    <x v="3"/>
    <x v="1312"/>
  </r>
  <r>
    <x v="1485"/>
    <x v="96"/>
    <x v="1485"/>
    <x v="0"/>
    <x v="0"/>
    <x v="0"/>
    <x v="2"/>
    <x v="1395"/>
    <x v="0"/>
    <x v="0"/>
    <x v="0"/>
    <x v="7"/>
    <x v="1313"/>
  </r>
  <r>
    <x v="1486"/>
    <x v="96"/>
    <x v="1486"/>
    <x v="4"/>
    <x v="0"/>
    <x v="6"/>
    <x v="3"/>
    <x v="1396"/>
    <x v="0"/>
    <x v="0"/>
    <x v="0"/>
    <x v="13"/>
    <x v="1314"/>
  </r>
  <r>
    <x v="1487"/>
    <x v="96"/>
    <x v="1487"/>
    <x v="0"/>
    <x v="6"/>
    <x v="10"/>
    <x v="6"/>
    <x v="1397"/>
    <x v="0"/>
    <x v="15"/>
    <x v="0"/>
    <x v="10"/>
    <x v="1315"/>
  </r>
  <r>
    <x v="1488"/>
    <x v="96"/>
    <x v="1488"/>
    <x v="4"/>
    <x v="0"/>
    <x v="6"/>
    <x v="0"/>
    <x v="1398"/>
    <x v="0"/>
    <x v="0"/>
    <x v="0"/>
    <x v="14"/>
    <x v="635"/>
  </r>
  <r>
    <x v="1489"/>
    <x v="96"/>
    <x v="1489"/>
    <x v="3"/>
    <x v="0"/>
    <x v="4"/>
    <x v="3"/>
    <x v="1399"/>
    <x v="0"/>
    <x v="0"/>
    <x v="0"/>
    <x v="15"/>
    <x v="1316"/>
  </r>
  <r>
    <x v="1490"/>
    <x v="96"/>
    <x v="1490"/>
    <x v="4"/>
    <x v="0"/>
    <x v="6"/>
    <x v="2"/>
    <x v="1400"/>
    <x v="0"/>
    <x v="0"/>
    <x v="0"/>
    <x v="15"/>
    <x v="1317"/>
  </r>
  <r>
    <x v="1491"/>
    <x v="97"/>
    <x v="1491"/>
    <x v="5"/>
    <x v="0"/>
    <x v="14"/>
    <x v="5"/>
    <x v="1401"/>
    <x v="0"/>
    <x v="0"/>
    <x v="0"/>
    <x v="11"/>
    <x v="1318"/>
  </r>
  <r>
    <x v="1492"/>
    <x v="97"/>
    <x v="1492"/>
    <x v="0"/>
    <x v="1"/>
    <x v="28"/>
    <x v="9"/>
    <x v="1402"/>
    <x v="0"/>
    <x v="0"/>
    <x v="0"/>
    <x v="11"/>
    <x v="1319"/>
  </r>
  <r>
    <x v="1493"/>
    <x v="97"/>
    <x v="1493"/>
    <x v="6"/>
    <x v="0"/>
    <x v="21"/>
    <x v="7"/>
    <x v="1403"/>
    <x v="0"/>
    <x v="0"/>
    <x v="0"/>
    <x v="11"/>
    <x v="50"/>
  </r>
  <r>
    <x v="1494"/>
    <x v="97"/>
    <x v="1494"/>
    <x v="5"/>
    <x v="0"/>
    <x v="14"/>
    <x v="8"/>
    <x v="1404"/>
    <x v="0"/>
    <x v="0"/>
    <x v="0"/>
    <x v="11"/>
    <x v="1320"/>
  </r>
  <r>
    <x v="1495"/>
    <x v="97"/>
    <x v="1495"/>
    <x v="10"/>
    <x v="0"/>
    <x v="48"/>
    <x v="6"/>
    <x v="1405"/>
    <x v="0"/>
    <x v="0"/>
    <x v="0"/>
    <x v="0"/>
    <x v="1321"/>
  </r>
  <r>
    <x v="1496"/>
    <x v="97"/>
    <x v="1496"/>
    <x v="0"/>
    <x v="0"/>
    <x v="0"/>
    <x v="1"/>
    <x v="1406"/>
    <x v="0"/>
    <x v="0"/>
    <x v="0"/>
    <x v="0"/>
    <x v="1322"/>
  </r>
  <r>
    <x v="1497"/>
    <x v="97"/>
    <x v="1497"/>
    <x v="4"/>
    <x v="0"/>
    <x v="6"/>
    <x v="4"/>
    <x v="1407"/>
    <x v="0"/>
    <x v="0"/>
    <x v="0"/>
    <x v="0"/>
    <x v="1323"/>
  </r>
  <r>
    <x v="1498"/>
    <x v="97"/>
    <x v="1498"/>
    <x v="0"/>
    <x v="0"/>
    <x v="0"/>
    <x v="6"/>
    <x v="545"/>
    <x v="0"/>
    <x v="0"/>
    <x v="0"/>
    <x v="3"/>
    <x v="1324"/>
  </r>
  <r>
    <x v="1499"/>
    <x v="97"/>
    <x v="1499"/>
    <x v="0"/>
    <x v="0"/>
    <x v="0"/>
    <x v="4"/>
    <x v="1408"/>
    <x v="0"/>
    <x v="0"/>
    <x v="0"/>
    <x v="6"/>
    <x v="1325"/>
  </r>
  <r>
    <x v="1500"/>
    <x v="97"/>
    <x v="1500"/>
    <x v="4"/>
    <x v="0"/>
    <x v="6"/>
    <x v="2"/>
    <x v="1409"/>
    <x v="0"/>
    <x v="0"/>
    <x v="0"/>
    <x v="18"/>
    <x v="1326"/>
  </r>
  <r>
    <x v="1501"/>
    <x v="97"/>
    <x v="1501"/>
    <x v="0"/>
    <x v="2"/>
    <x v="2"/>
    <x v="3"/>
    <x v="1410"/>
    <x v="0"/>
    <x v="0"/>
    <x v="0"/>
    <x v="8"/>
    <x v="1327"/>
  </r>
  <r>
    <x v="1502"/>
    <x v="97"/>
    <x v="1502"/>
    <x v="0"/>
    <x v="5"/>
    <x v="25"/>
    <x v="9"/>
    <x v="1411"/>
    <x v="0"/>
    <x v="0"/>
    <x v="0"/>
    <x v="13"/>
    <x v="1328"/>
  </r>
  <r>
    <x v="1503"/>
    <x v="97"/>
    <x v="1503"/>
    <x v="0"/>
    <x v="1"/>
    <x v="28"/>
    <x v="3"/>
    <x v="1412"/>
    <x v="0"/>
    <x v="0"/>
    <x v="0"/>
    <x v="9"/>
    <x v="1329"/>
  </r>
  <r>
    <x v="1504"/>
    <x v="97"/>
    <x v="1504"/>
    <x v="4"/>
    <x v="0"/>
    <x v="6"/>
    <x v="6"/>
    <x v="545"/>
    <x v="0"/>
    <x v="0"/>
    <x v="0"/>
    <x v="9"/>
    <x v="1330"/>
  </r>
  <r>
    <x v="1505"/>
    <x v="97"/>
    <x v="1505"/>
    <x v="0"/>
    <x v="0"/>
    <x v="0"/>
    <x v="5"/>
    <x v="1413"/>
    <x v="0"/>
    <x v="0"/>
    <x v="0"/>
    <x v="10"/>
    <x v="1331"/>
  </r>
  <r>
    <x v="1506"/>
    <x v="97"/>
    <x v="1506"/>
    <x v="4"/>
    <x v="0"/>
    <x v="6"/>
    <x v="5"/>
    <x v="1414"/>
    <x v="0"/>
    <x v="0"/>
    <x v="0"/>
    <x v="10"/>
    <x v="1332"/>
  </r>
  <r>
    <x v="1507"/>
    <x v="97"/>
    <x v="1507"/>
    <x v="0"/>
    <x v="4"/>
    <x v="11"/>
    <x v="10"/>
    <x v="1415"/>
    <x v="0"/>
    <x v="0"/>
    <x v="0"/>
    <x v="14"/>
    <x v="1333"/>
  </r>
  <r>
    <x v="1508"/>
    <x v="98"/>
    <x v="1508"/>
    <x v="6"/>
    <x v="3"/>
    <x v="40"/>
    <x v="3"/>
    <x v="1416"/>
    <x v="0"/>
    <x v="0"/>
    <x v="0"/>
    <x v="11"/>
    <x v="1334"/>
  </r>
  <r>
    <x v="1509"/>
    <x v="98"/>
    <x v="1509"/>
    <x v="6"/>
    <x v="4"/>
    <x v="39"/>
    <x v="5"/>
    <x v="1417"/>
    <x v="0"/>
    <x v="0"/>
    <x v="0"/>
    <x v="11"/>
    <x v="1335"/>
  </r>
  <r>
    <x v="1510"/>
    <x v="98"/>
    <x v="1510"/>
    <x v="2"/>
    <x v="3"/>
    <x v="3"/>
    <x v="5"/>
    <x v="1418"/>
    <x v="0"/>
    <x v="0"/>
    <x v="0"/>
    <x v="12"/>
    <x v="1336"/>
  </r>
  <r>
    <x v="1511"/>
    <x v="98"/>
    <x v="1511"/>
    <x v="0"/>
    <x v="0"/>
    <x v="0"/>
    <x v="2"/>
    <x v="1419"/>
    <x v="0"/>
    <x v="0"/>
    <x v="0"/>
    <x v="0"/>
    <x v="11"/>
  </r>
  <r>
    <x v="1512"/>
    <x v="98"/>
    <x v="1512"/>
    <x v="10"/>
    <x v="0"/>
    <x v="48"/>
    <x v="7"/>
    <x v="1420"/>
    <x v="0"/>
    <x v="0"/>
    <x v="0"/>
    <x v="1"/>
    <x v="820"/>
  </r>
  <r>
    <x v="1513"/>
    <x v="98"/>
    <x v="1513"/>
    <x v="0"/>
    <x v="1"/>
    <x v="28"/>
    <x v="4"/>
    <x v="1421"/>
    <x v="0"/>
    <x v="0"/>
    <x v="0"/>
    <x v="1"/>
    <x v="1337"/>
  </r>
  <r>
    <x v="1514"/>
    <x v="98"/>
    <x v="1514"/>
    <x v="0"/>
    <x v="0"/>
    <x v="0"/>
    <x v="5"/>
    <x v="1422"/>
    <x v="0"/>
    <x v="0"/>
    <x v="0"/>
    <x v="1"/>
    <x v="1338"/>
  </r>
  <r>
    <x v="1515"/>
    <x v="98"/>
    <x v="1515"/>
    <x v="1"/>
    <x v="0"/>
    <x v="24"/>
    <x v="3"/>
    <x v="1423"/>
    <x v="0"/>
    <x v="0"/>
    <x v="0"/>
    <x v="2"/>
    <x v="1339"/>
  </r>
  <r>
    <x v="1516"/>
    <x v="98"/>
    <x v="1516"/>
    <x v="0"/>
    <x v="0"/>
    <x v="0"/>
    <x v="7"/>
    <x v="1424"/>
    <x v="0"/>
    <x v="0"/>
    <x v="0"/>
    <x v="3"/>
    <x v="1340"/>
  </r>
  <r>
    <x v="1517"/>
    <x v="98"/>
    <x v="1517"/>
    <x v="0"/>
    <x v="4"/>
    <x v="11"/>
    <x v="6"/>
    <x v="1425"/>
    <x v="0"/>
    <x v="0"/>
    <x v="0"/>
    <x v="17"/>
    <x v="1341"/>
  </r>
  <r>
    <x v="1518"/>
    <x v="98"/>
    <x v="1518"/>
    <x v="0"/>
    <x v="0"/>
    <x v="0"/>
    <x v="2"/>
    <x v="1426"/>
    <x v="0"/>
    <x v="0"/>
    <x v="0"/>
    <x v="5"/>
    <x v="1342"/>
  </r>
  <r>
    <x v="1519"/>
    <x v="98"/>
    <x v="1519"/>
    <x v="3"/>
    <x v="0"/>
    <x v="4"/>
    <x v="5"/>
    <x v="545"/>
    <x v="0"/>
    <x v="0"/>
    <x v="0"/>
    <x v="9"/>
    <x v="1343"/>
  </r>
  <r>
    <x v="1520"/>
    <x v="98"/>
    <x v="1520"/>
    <x v="4"/>
    <x v="4"/>
    <x v="7"/>
    <x v="3"/>
    <x v="545"/>
    <x v="0"/>
    <x v="0"/>
    <x v="0"/>
    <x v="9"/>
    <x v="1344"/>
  </r>
  <r>
    <x v="1521"/>
    <x v="98"/>
    <x v="1521"/>
    <x v="4"/>
    <x v="6"/>
    <x v="12"/>
    <x v="0"/>
    <x v="1427"/>
    <x v="0"/>
    <x v="0"/>
    <x v="0"/>
    <x v="9"/>
    <x v="1345"/>
  </r>
  <r>
    <x v="1522"/>
    <x v="98"/>
    <x v="1522"/>
    <x v="4"/>
    <x v="0"/>
    <x v="6"/>
    <x v="7"/>
    <x v="545"/>
    <x v="0"/>
    <x v="0"/>
    <x v="0"/>
    <x v="9"/>
    <x v="1346"/>
  </r>
  <r>
    <x v="1523"/>
    <x v="98"/>
    <x v="1523"/>
    <x v="3"/>
    <x v="1"/>
    <x v="13"/>
    <x v="7"/>
    <x v="1428"/>
    <x v="0"/>
    <x v="0"/>
    <x v="0"/>
    <x v="9"/>
    <x v="1347"/>
  </r>
  <r>
    <x v="1524"/>
    <x v="99"/>
    <x v="1524"/>
    <x v="3"/>
    <x v="0"/>
    <x v="4"/>
    <x v="5"/>
    <x v="1429"/>
    <x v="0"/>
    <x v="0"/>
    <x v="0"/>
    <x v="11"/>
    <x v="1348"/>
  </r>
  <r>
    <x v="1525"/>
    <x v="99"/>
    <x v="1525"/>
    <x v="6"/>
    <x v="4"/>
    <x v="39"/>
    <x v="6"/>
    <x v="1430"/>
    <x v="0"/>
    <x v="0"/>
    <x v="0"/>
    <x v="11"/>
    <x v="1349"/>
  </r>
  <r>
    <x v="1526"/>
    <x v="99"/>
    <x v="1526"/>
    <x v="4"/>
    <x v="13"/>
    <x v="81"/>
    <x v="3"/>
    <x v="1431"/>
    <x v="0"/>
    <x v="0"/>
    <x v="0"/>
    <x v="12"/>
    <x v="1350"/>
  </r>
  <r>
    <x v="1527"/>
    <x v="99"/>
    <x v="1527"/>
    <x v="5"/>
    <x v="0"/>
    <x v="14"/>
    <x v="1"/>
    <x v="1432"/>
    <x v="0"/>
    <x v="0"/>
    <x v="0"/>
    <x v="0"/>
    <x v="1351"/>
  </r>
  <r>
    <x v="1528"/>
    <x v="99"/>
    <x v="1528"/>
    <x v="0"/>
    <x v="0"/>
    <x v="0"/>
    <x v="6"/>
    <x v="1433"/>
    <x v="0"/>
    <x v="0"/>
    <x v="0"/>
    <x v="1"/>
    <x v="1352"/>
  </r>
  <r>
    <x v="1529"/>
    <x v="99"/>
    <x v="1529"/>
    <x v="5"/>
    <x v="1"/>
    <x v="23"/>
    <x v="7"/>
    <x v="1434"/>
    <x v="0"/>
    <x v="0"/>
    <x v="0"/>
    <x v="1"/>
    <x v="1353"/>
  </r>
  <r>
    <x v="1530"/>
    <x v="99"/>
    <x v="1530"/>
    <x v="5"/>
    <x v="0"/>
    <x v="14"/>
    <x v="1"/>
    <x v="1435"/>
    <x v="0"/>
    <x v="0"/>
    <x v="0"/>
    <x v="1"/>
    <x v="1354"/>
  </r>
  <r>
    <x v="1531"/>
    <x v="99"/>
    <x v="1531"/>
    <x v="10"/>
    <x v="1"/>
    <x v="65"/>
    <x v="5"/>
    <x v="1436"/>
    <x v="0"/>
    <x v="0"/>
    <x v="0"/>
    <x v="2"/>
    <x v="1355"/>
  </r>
  <r>
    <x v="1532"/>
    <x v="99"/>
    <x v="1532"/>
    <x v="0"/>
    <x v="4"/>
    <x v="11"/>
    <x v="7"/>
    <x v="1437"/>
    <x v="0"/>
    <x v="0"/>
    <x v="0"/>
    <x v="3"/>
    <x v="1356"/>
  </r>
  <r>
    <x v="1533"/>
    <x v="99"/>
    <x v="1533"/>
    <x v="0"/>
    <x v="0"/>
    <x v="0"/>
    <x v="9"/>
    <x v="1438"/>
    <x v="0"/>
    <x v="0"/>
    <x v="0"/>
    <x v="5"/>
    <x v="1357"/>
  </r>
  <r>
    <x v="1534"/>
    <x v="99"/>
    <x v="1534"/>
    <x v="4"/>
    <x v="0"/>
    <x v="6"/>
    <x v="2"/>
    <x v="1439"/>
    <x v="0"/>
    <x v="0"/>
    <x v="0"/>
    <x v="16"/>
    <x v="1358"/>
  </r>
  <r>
    <x v="1535"/>
    <x v="99"/>
    <x v="1535"/>
    <x v="4"/>
    <x v="0"/>
    <x v="6"/>
    <x v="4"/>
    <x v="1440"/>
    <x v="0"/>
    <x v="0"/>
    <x v="0"/>
    <x v="16"/>
    <x v="1359"/>
  </r>
  <r>
    <x v="1536"/>
    <x v="99"/>
    <x v="1536"/>
    <x v="4"/>
    <x v="0"/>
    <x v="6"/>
    <x v="2"/>
    <x v="1441"/>
    <x v="0"/>
    <x v="0"/>
    <x v="0"/>
    <x v="7"/>
    <x v="64"/>
  </r>
  <r>
    <x v="1537"/>
    <x v="99"/>
    <x v="1537"/>
    <x v="3"/>
    <x v="0"/>
    <x v="4"/>
    <x v="2"/>
    <x v="1442"/>
    <x v="0"/>
    <x v="0"/>
    <x v="0"/>
    <x v="7"/>
    <x v="1360"/>
  </r>
  <r>
    <x v="1538"/>
    <x v="99"/>
    <x v="1538"/>
    <x v="4"/>
    <x v="0"/>
    <x v="6"/>
    <x v="6"/>
    <x v="1443"/>
    <x v="0"/>
    <x v="0"/>
    <x v="0"/>
    <x v="7"/>
    <x v="1361"/>
  </r>
  <r>
    <x v="1539"/>
    <x v="99"/>
    <x v="1539"/>
    <x v="0"/>
    <x v="0"/>
    <x v="0"/>
    <x v="2"/>
    <x v="1444"/>
    <x v="0"/>
    <x v="0"/>
    <x v="0"/>
    <x v="7"/>
    <x v="998"/>
  </r>
  <r>
    <x v="1540"/>
    <x v="99"/>
    <x v="1540"/>
    <x v="0"/>
    <x v="0"/>
    <x v="0"/>
    <x v="0"/>
    <x v="545"/>
    <x v="0"/>
    <x v="0"/>
    <x v="0"/>
    <x v="13"/>
    <x v="1362"/>
  </r>
  <r>
    <x v="1541"/>
    <x v="99"/>
    <x v="1541"/>
    <x v="0"/>
    <x v="0"/>
    <x v="0"/>
    <x v="6"/>
    <x v="545"/>
    <x v="0"/>
    <x v="0"/>
    <x v="0"/>
    <x v="13"/>
    <x v="1363"/>
  </r>
  <r>
    <x v="1542"/>
    <x v="99"/>
    <x v="1542"/>
    <x v="4"/>
    <x v="4"/>
    <x v="7"/>
    <x v="5"/>
    <x v="545"/>
    <x v="0"/>
    <x v="0"/>
    <x v="0"/>
    <x v="9"/>
    <x v="1364"/>
  </r>
  <r>
    <x v="1543"/>
    <x v="99"/>
    <x v="1543"/>
    <x v="4"/>
    <x v="0"/>
    <x v="6"/>
    <x v="3"/>
    <x v="1445"/>
    <x v="0"/>
    <x v="0"/>
    <x v="0"/>
    <x v="10"/>
    <x v="13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Overall Progress" cacheId="0" autoFormatId="1" applyNumberFormats="0" applyBorderFormats="0" applyFontFormats="0" applyPatternFormats="0" applyAlignmentFormats="0" applyWidthHeightFormats="1" dataCaption="" updatedVersion="5" rowGrandTotals="0" compact="0" compactData="0" showDrill="1">
  <location ref="A1:C29" firstHeaderRow="1" firstDataRow="2" firstDataCol="1"/>
  <pivotFields count="12">
    <pivotField compact="0" outline="0" multipleItemSelectionAllowed="1" showAll="0">
      <items count="1546">
        <item x="1167"/>
        <item x="1477"/>
        <item x="104"/>
        <item x="85"/>
        <item x="655"/>
        <item x="1081"/>
        <item x="477"/>
        <item x="689"/>
        <item x="28"/>
        <item x="890"/>
        <item x="827"/>
        <item x="1410"/>
        <item x="906"/>
        <item x="44"/>
        <item x="728"/>
        <item x="1310"/>
        <item x="690"/>
        <item x="1071"/>
        <item x="1128"/>
        <item x="1041"/>
        <item x="1364"/>
        <item x="1291"/>
        <item x="261"/>
        <item x="122"/>
        <item x="105"/>
        <item x="1099"/>
        <item x="1249"/>
        <item x="231"/>
        <item x="138"/>
        <item x="937"/>
        <item x="1115"/>
        <item x="1042"/>
        <item x="1191"/>
        <item x="1491"/>
        <item x="262"/>
        <item x="123"/>
        <item x="15"/>
        <item x="1292"/>
        <item x="1384"/>
        <item x="1311"/>
        <item x="1524"/>
        <item x="1152"/>
        <item x="1192"/>
        <item x="857"/>
        <item x="907"/>
        <item x="981"/>
        <item x="1329"/>
        <item x="1177"/>
        <item x="427"/>
        <item x="1525"/>
        <item x="1270"/>
        <item x="442"/>
        <item x="1312"/>
        <item x="1235"/>
        <item x="908"/>
        <item x="1116"/>
        <item x="972"/>
        <item x="707"/>
        <item x="938"/>
        <item x="1508"/>
        <item x="210"/>
        <item x="1011"/>
        <item x="1350"/>
        <item x="752"/>
        <item x="68"/>
        <item x="16"/>
        <item x="753"/>
        <item x="69"/>
        <item x="139"/>
        <item x="1250"/>
        <item x="1168"/>
        <item x="1365"/>
        <item x="1492"/>
        <item x="1398"/>
        <item x="1213"/>
        <item x="1493"/>
        <item x="708"/>
        <item x="1478"/>
        <item x="196"/>
        <item x="709"/>
        <item x="1452"/>
        <item x="211"/>
        <item x="939"/>
        <item x="184"/>
        <item x="1351"/>
        <item x="70"/>
        <item x="954"/>
        <item x="369"/>
        <item x="982"/>
        <item x="106"/>
        <item x="909"/>
        <item x="531"/>
        <item x="1453"/>
        <item x="1129"/>
        <item x="729"/>
        <item x="983"/>
        <item x="29"/>
        <item x="212"/>
        <item x="491"/>
        <item x="870"/>
        <item x="540"/>
        <item x="940"/>
        <item x="411"/>
        <item x="1385"/>
        <item x="1313"/>
        <item x="922"/>
        <item x="739"/>
        <item x="346"/>
        <item x="1366"/>
        <item x="154"/>
        <item x="71"/>
        <item x="1043"/>
        <item x="1411"/>
        <item x="443"/>
        <item x="955"/>
        <item x="1044"/>
        <item x="86"/>
        <item x="1509"/>
        <item x="754"/>
        <item x="1412"/>
        <item x="1100"/>
        <item x="587"/>
        <item x="1465"/>
        <item x="1101"/>
        <item x="1431"/>
        <item x="891"/>
        <item x="1057"/>
        <item x="956"/>
        <item x="772"/>
        <item x="30"/>
        <item x="1314"/>
        <item x="328"/>
        <item x="1315"/>
        <item x="871"/>
        <item x="957"/>
        <item x="1330"/>
        <item x="1494"/>
        <item x="263"/>
        <item x="329"/>
        <item x="1236"/>
        <item x="370"/>
        <item x="45"/>
        <item x="1413"/>
        <item x="155"/>
        <item x="1000"/>
        <item x="1414"/>
        <item x="264"/>
        <item x="412"/>
        <item x="631"/>
        <item x="619"/>
        <item x="509"/>
        <item x="910"/>
        <item x="1466"/>
        <item x="213"/>
        <item x="1072"/>
        <item x="463"/>
        <item x="520"/>
        <item x="245"/>
        <item x="1432"/>
        <item x="603"/>
        <item x="911"/>
        <item x="532"/>
        <item x="72"/>
        <item x="413"/>
        <item x="371"/>
        <item x="541"/>
        <item x="656"/>
        <item x="1467"/>
        <item x="1251"/>
        <item x="1271"/>
        <item x="464"/>
        <item x="828"/>
        <item x="1526"/>
        <item x="1153"/>
        <item x="1352"/>
        <item x="1415"/>
        <item x="800"/>
        <item x="1178"/>
        <item x="1214"/>
        <item x="1510"/>
        <item x="1454"/>
        <item x="214"/>
        <item x="1252"/>
        <item x="1316"/>
        <item x="1117"/>
        <item x="197"/>
        <item x="984"/>
        <item x="1272"/>
        <item x="31"/>
        <item x="1468"/>
        <item x="755"/>
        <item x="1193"/>
        <item x="287"/>
        <item x="604"/>
        <item x="710"/>
        <item x="215"/>
        <item x="756"/>
        <item x="156"/>
        <item x="1179"/>
        <item x="17"/>
        <item x="393"/>
        <item x="444"/>
        <item x="1455"/>
        <item x="1317"/>
        <item x="730"/>
        <item x="1273"/>
        <item x="107"/>
        <item x="478"/>
        <item x="1274"/>
        <item x="265"/>
        <item x="605"/>
        <item x="1058"/>
        <item x="521"/>
        <item x="1293"/>
        <item x="606"/>
        <item x="1154"/>
        <item x="445"/>
        <item x="46"/>
        <item x="740"/>
        <item x="672"/>
        <item x="985"/>
        <item x="1194"/>
        <item x="266"/>
        <item x="1195"/>
        <item x="1260"/>
        <item x="923"/>
        <item x="18"/>
        <item x="47"/>
        <item x="32"/>
        <item x="1353"/>
        <item x="741"/>
        <item x="892"/>
        <item x="73"/>
        <item x="1416"/>
        <item x="1012"/>
        <item x="492"/>
        <item x="559"/>
        <item x="306"/>
        <item x="1045"/>
        <item x="731"/>
        <item x="1331"/>
        <item x="1275"/>
        <item x="1479"/>
        <item x="330"/>
        <item x="588"/>
        <item x="1196"/>
        <item x="232"/>
        <item x="1495"/>
        <item x="1367"/>
        <item x="783"/>
        <item x="493"/>
        <item x="394"/>
        <item x="74"/>
        <item x="1224"/>
        <item x="986"/>
        <item x="1480"/>
        <item x="108"/>
        <item x="1169"/>
        <item x="1215"/>
        <item x="1332"/>
        <item x="307"/>
        <item x="1102"/>
        <item x="428"/>
        <item x="632"/>
        <item x="1013"/>
        <item x="1155"/>
        <item x="19"/>
        <item x="1130"/>
        <item x="657"/>
        <item x="124"/>
        <item x="658"/>
        <item x="33"/>
        <item x="1368"/>
        <item x="1082"/>
        <item x="87"/>
        <item x="1156"/>
        <item x="1318"/>
        <item x="1496"/>
        <item x="1433"/>
        <item x="801"/>
        <item x="742"/>
        <item x="75"/>
        <item x="1399"/>
        <item x="308"/>
        <item x="273"/>
        <item x="958"/>
        <item x="185"/>
        <item x="347"/>
        <item x="233"/>
        <item x="1400"/>
        <item x="1261"/>
        <item x="533"/>
        <item x="0"/>
        <item x="1139"/>
        <item x="173"/>
        <item x="773"/>
        <item x="987"/>
        <item x="1118"/>
        <item x="1511"/>
        <item x="589"/>
        <item x="1417"/>
        <item x="893"/>
        <item x="1083"/>
        <item x="673"/>
        <item x="1369"/>
        <item x="1456"/>
        <item x="1014"/>
        <item x="198"/>
        <item x="814"/>
        <item x="691"/>
        <item x="246"/>
        <item x="711"/>
        <item x="1028"/>
        <item x="1527"/>
        <item x="1276"/>
        <item x="858"/>
        <item x="542"/>
        <item x="1481"/>
        <item x="1015"/>
        <item x="1237"/>
        <item x="692"/>
        <item x="912"/>
        <item x="1401"/>
        <item x="348"/>
        <item x="125"/>
        <item x="571"/>
        <item x="1073"/>
        <item x="1046"/>
        <item x="1180"/>
        <item x="959"/>
        <item x="894"/>
        <item x="633"/>
        <item x="1497"/>
        <item x="988"/>
        <item x="1119"/>
        <item x="607"/>
        <item x="247"/>
        <item x="1059"/>
        <item x="1262"/>
        <item x="989"/>
        <item x="1418"/>
        <item x="309"/>
        <item x="510"/>
        <item x="395"/>
        <item x="1370"/>
        <item x="429"/>
        <item x="1419"/>
        <item x="126"/>
        <item x="465"/>
        <item x="924"/>
        <item x="414"/>
        <item x="310"/>
        <item x="349"/>
        <item x="990"/>
        <item x="157"/>
        <item x="216"/>
        <item x="140"/>
        <item x="20"/>
        <item x="815"/>
        <item x="1420"/>
        <item x="311"/>
        <item x="1225"/>
        <item x="217"/>
        <item x="218"/>
        <item x="1084"/>
        <item x="1512"/>
        <item x="88"/>
        <item x="674"/>
        <item x="312"/>
        <item x="1253"/>
        <item x="1131"/>
        <item x="1371"/>
        <item x="199"/>
        <item x="1528"/>
        <item x="960"/>
        <item x="48"/>
        <item x="1386"/>
        <item x="446"/>
        <item x="1387"/>
        <item x="572"/>
        <item x="829"/>
        <item x="872"/>
        <item x="274"/>
        <item x="76"/>
        <item x="1482"/>
        <item x="415"/>
        <item x="1277"/>
        <item x="447"/>
        <item x="961"/>
        <item x="1354"/>
        <item x="350"/>
        <item x="573"/>
        <item x="1529"/>
        <item x="141"/>
        <item x="1085"/>
        <item x="313"/>
        <item x="873"/>
        <item x="1157"/>
        <item x="590"/>
        <item x="288"/>
        <item x="843"/>
        <item x="1513"/>
        <item x="591"/>
        <item x="248"/>
        <item x="466"/>
        <item x="830"/>
        <item x="991"/>
        <item x="859"/>
        <item x="784"/>
        <item x="314"/>
        <item x="712"/>
        <item x="1319"/>
        <item x="1469"/>
        <item x="1470"/>
        <item x="1047"/>
        <item x="1197"/>
        <item x="89"/>
        <item x="249"/>
        <item x="416"/>
        <item x="1181"/>
        <item x="1029"/>
        <item x="831"/>
        <item x="675"/>
        <item x="351"/>
        <item x="430"/>
        <item x="1530"/>
        <item x="396"/>
        <item x="511"/>
        <item x="713"/>
        <item x="941"/>
        <item x="1132"/>
        <item x="1238"/>
        <item x="1514"/>
        <item x="1086"/>
        <item x="732"/>
        <item x="1"/>
        <item x="757"/>
        <item x="275"/>
        <item x="1170"/>
        <item x="913"/>
        <item x="1198"/>
        <item x="962"/>
        <item x="186"/>
        <item x="1421"/>
        <item x="1060"/>
        <item x="574"/>
        <item x="289"/>
        <item x="21"/>
        <item x="925"/>
        <item x="479"/>
        <item x="352"/>
        <item x="1372"/>
        <item x="693"/>
        <item x="1294"/>
        <item x="1320"/>
        <item x="1295"/>
        <item x="1061"/>
        <item x="1254"/>
        <item x="659"/>
        <item x="250"/>
        <item x="1333"/>
        <item x="874"/>
        <item x="315"/>
        <item x="543"/>
        <item x="316"/>
        <item x="494"/>
        <item x="480"/>
        <item x="1263"/>
        <item x="158"/>
        <item x="2"/>
        <item x="1278"/>
        <item x="1087"/>
        <item x="49"/>
        <item x="694"/>
        <item x="785"/>
        <item x="544"/>
        <item x="417"/>
        <item x="634"/>
        <item x="159"/>
        <item x="676"/>
        <item x="1158"/>
        <item x="695"/>
        <item x="90"/>
        <item x="187"/>
        <item x="635"/>
        <item x="786"/>
        <item x="1199"/>
        <item x="774"/>
        <item x="844"/>
        <item x="1334"/>
        <item x="1457"/>
        <item x="992"/>
        <item x="1171"/>
        <item x="1355"/>
        <item x="200"/>
        <item x="495"/>
        <item x="802"/>
        <item x="1335"/>
        <item x="743"/>
        <item x="1088"/>
        <item x="1279"/>
        <item x="1001"/>
        <item x="142"/>
        <item x="926"/>
        <item x="1299"/>
        <item x="787"/>
        <item x="816"/>
        <item x="1030"/>
        <item x="331"/>
        <item x="109"/>
        <item x="50"/>
        <item x="963"/>
        <item x="431"/>
        <item x="914"/>
        <item x="832"/>
        <item x="201"/>
        <item x="803"/>
        <item x="775"/>
        <item x="534"/>
        <item x="895"/>
        <item x="575"/>
        <item x="1402"/>
        <item x="1140"/>
        <item x="1239"/>
        <item x="467"/>
        <item x="804"/>
        <item x="714"/>
        <item x="1515"/>
        <item x="560"/>
        <item x="744"/>
        <item x="576"/>
        <item x="372"/>
        <item x="993"/>
        <item x="745"/>
        <item x="1159"/>
        <item x="577"/>
        <item x="1103"/>
        <item x="1403"/>
        <item x="1373"/>
        <item x="1200"/>
        <item x="1321"/>
        <item x="202"/>
        <item x="1031"/>
        <item x="1483"/>
        <item x="290"/>
        <item x="34"/>
        <item x="219"/>
        <item x="3"/>
        <item x="545"/>
        <item x="291"/>
        <item x="1141"/>
        <item x="1531"/>
        <item x="860"/>
        <item x="160"/>
        <item x="353"/>
        <item x="1322"/>
        <item x="1201"/>
        <item x="1300"/>
        <item x="1422"/>
        <item x="51"/>
        <item x="1296"/>
        <item x="1458"/>
        <item x="964"/>
        <item x="522"/>
        <item x="448"/>
        <item x="1104"/>
        <item x="449"/>
        <item x="535"/>
        <item x="418"/>
        <item x="292"/>
        <item x="1374"/>
        <item x="523"/>
        <item x="1120"/>
        <item x="817"/>
        <item x="1516"/>
        <item x="608"/>
        <item x="1336"/>
        <item x="818"/>
        <item x="776"/>
        <item x="660"/>
        <item x="677"/>
        <item x="758"/>
        <item x="819"/>
        <item x="1323"/>
        <item x="35"/>
        <item x="592"/>
        <item x="1240"/>
        <item x="1280"/>
        <item x="1484"/>
        <item x="1182"/>
        <item x="1048"/>
        <item x="4"/>
        <item x="875"/>
        <item x="1281"/>
        <item x="354"/>
        <item x="432"/>
        <item x="293"/>
        <item x="1160"/>
        <item x="220"/>
        <item x="715"/>
        <item x="965"/>
        <item x="973"/>
        <item x="397"/>
        <item x="386"/>
        <item x="36"/>
        <item x="433"/>
        <item x="994"/>
        <item x="1471"/>
        <item x="1002"/>
        <item x="661"/>
        <item x="251"/>
        <item x="22"/>
        <item x="716"/>
        <item x="820"/>
        <item x="276"/>
        <item x="1388"/>
        <item x="221"/>
        <item x="717"/>
        <item x="1133"/>
        <item x="419"/>
        <item x="512"/>
        <item x="1532"/>
        <item x="915"/>
        <item x="387"/>
        <item x="23"/>
        <item x="1003"/>
        <item x="1297"/>
        <item x="1089"/>
        <item x="174"/>
        <item x="833"/>
        <item x="5"/>
        <item x="1241"/>
        <item x="1472"/>
        <item x="834"/>
        <item x="942"/>
        <item x="203"/>
        <item x="468"/>
        <item x="1389"/>
        <item x="420"/>
        <item x="861"/>
        <item x="696"/>
        <item x="1498"/>
        <item x="561"/>
        <item x="110"/>
        <item x="1161"/>
        <item x="1004"/>
        <item x="513"/>
        <item x="1390"/>
        <item x="127"/>
        <item x="562"/>
        <item x="91"/>
        <item x="1049"/>
        <item x="718"/>
        <item x="294"/>
        <item x="620"/>
        <item x="536"/>
        <item x="267"/>
        <item x="1255"/>
        <item x="1016"/>
        <item x="1301"/>
        <item x="1105"/>
        <item x="6"/>
        <item x="943"/>
        <item x="77"/>
        <item x="593"/>
        <item x="927"/>
        <item x="563"/>
        <item x="1183"/>
        <item x="450"/>
        <item x="92"/>
        <item x="93"/>
        <item x="252"/>
        <item x="944"/>
        <item x="746"/>
        <item x="537"/>
        <item x="1434"/>
        <item x="253"/>
        <item x="514"/>
        <item x="1517"/>
        <item x="1202"/>
        <item x="1256"/>
        <item x="1162"/>
        <item x="805"/>
        <item x="451"/>
        <item x="662"/>
        <item x="1090"/>
        <item x="398"/>
        <item x="609"/>
        <item x="295"/>
        <item x="234"/>
        <item x="788"/>
        <item x="594"/>
        <item x="578"/>
        <item x="268"/>
        <item x="332"/>
        <item x="94"/>
        <item x="546"/>
        <item x="663"/>
        <item x="876"/>
        <item x="111"/>
        <item x="1074"/>
        <item x="188"/>
        <item x="1121"/>
        <item x="388"/>
        <item x="112"/>
        <item x="113"/>
        <item x="719"/>
        <item x="1423"/>
        <item x="78"/>
        <item x="1062"/>
        <item x="697"/>
        <item x="1017"/>
        <item x="496"/>
        <item x="777"/>
        <item x="452"/>
        <item x="1032"/>
        <item x="1203"/>
        <item x="296"/>
        <item x="373"/>
        <item x="1216"/>
        <item x="52"/>
        <item x="53"/>
        <item x="1356"/>
        <item x="974"/>
        <item x="235"/>
        <item x="636"/>
        <item x="399"/>
        <item x="355"/>
        <item x="421"/>
        <item x="1337"/>
        <item x="54"/>
        <item x="356"/>
        <item x="333"/>
        <item x="1518"/>
        <item x="916"/>
        <item x="1033"/>
        <item x="678"/>
        <item x="679"/>
        <item x="845"/>
        <item x="1204"/>
        <item x="995"/>
        <item x="547"/>
        <item x="55"/>
        <item x="877"/>
        <item x="175"/>
        <item x="434"/>
        <item x="1391"/>
        <item x="469"/>
        <item x="1172"/>
        <item x="1106"/>
        <item x="1302"/>
        <item x="1338"/>
        <item x="161"/>
        <item x="778"/>
        <item x="733"/>
        <item x="1142"/>
        <item x="734"/>
        <item x="1533"/>
        <item x="515"/>
        <item x="1122"/>
        <item x="1091"/>
        <item x="664"/>
        <item x="334"/>
        <item x="162"/>
        <item x="1242"/>
        <item x="497"/>
        <item x="665"/>
        <item x="821"/>
        <item x="846"/>
        <item x="481"/>
        <item x="56"/>
        <item x="637"/>
        <item x="1435"/>
        <item x="335"/>
        <item x="163"/>
        <item x="1107"/>
        <item x="1264"/>
        <item x="1459"/>
        <item x="317"/>
        <item x="966"/>
        <item x="1063"/>
        <item x="57"/>
        <item x="638"/>
        <item x="1075"/>
        <item x="779"/>
        <item x="806"/>
        <item x="482"/>
        <item x="1050"/>
        <item x="720"/>
        <item x="164"/>
        <item x="548"/>
        <item x="143"/>
        <item x="1339"/>
        <item x="1324"/>
        <item x="639"/>
        <item x="1123"/>
        <item x="1357"/>
        <item x="144"/>
        <item x="847"/>
        <item x="878"/>
        <item x="297"/>
        <item x="453"/>
        <item x="549"/>
        <item x="454"/>
        <item x="498"/>
        <item x="400"/>
        <item x="1392"/>
        <item x="1226"/>
        <item x="165"/>
        <item x="7"/>
        <item x="610"/>
        <item x="1034"/>
        <item x="114"/>
        <item x="1205"/>
        <item x="807"/>
        <item x="298"/>
        <item x="928"/>
        <item x="1018"/>
        <item x="1473"/>
        <item x="848"/>
        <item x="1340"/>
        <item x="1184"/>
        <item x="621"/>
        <item x="640"/>
        <item x="1185"/>
        <item x="389"/>
        <item x="176"/>
        <item x="789"/>
        <item x="58"/>
        <item x="790"/>
        <item x="896"/>
        <item x="1341"/>
        <item x="879"/>
        <item x="780"/>
        <item x="1076"/>
        <item x="374"/>
        <item x="145"/>
        <item x="357"/>
        <item x="929"/>
        <item x="128"/>
        <item x="1282"/>
        <item x="975"/>
        <item x="1283"/>
        <item x="1019"/>
        <item x="930"/>
        <item x="611"/>
        <item x="1284"/>
        <item x="698"/>
        <item x="612"/>
        <item x="318"/>
        <item x="931"/>
        <item x="1257"/>
        <item x="435"/>
        <item x="1134"/>
        <item x="336"/>
        <item x="1051"/>
        <item x="550"/>
        <item x="436"/>
        <item x="680"/>
        <item x="483"/>
        <item x="791"/>
        <item x="1163"/>
        <item x="666"/>
        <item x="516"/>
        <item x="254"/>
        <item x="747"/>
        <item x="1265"/>
        <item x="236"/>
        <item x="862"/>
        <item x="358"/>
        <item x="822"/>
        <item x="359"/>
        <item x="401"/>
        <item x="641"/>
        <item x="1325"/>
        <item x="735"/>
        <item x="622"/>
        <item x="1342"/>
        <item x="95"/>
        <item x="146"/>
        <item x="863"/>
        <item x="699"/>
        <item x="1424"/>
        <item x="792"/>
        <item x="1243"/>
        <item x="700"/>
        <item x="1303"/>
        <item x="551"/>
        <item x="1499"/>
        <item x="595"/>
        <item x="945"/>
        <item x="115"/>
        <item x="1227"/>
        <item x="299"/>
        <item x="1375"/>
        <item x="1404"/>
        <item x="337"/>
        <item x="1304"/>
        <item x="932"/>
        <item x="1035"/>
        <item x="897"/>
        <item x="1143"/>
        <item x="517"/>
        <item x="1108"/>
        <item x="499"/>
        <item x="1326"/>
        <item x="1405"/>
        <item x="564"/>
        <item x="1206"/>
        <item x="1092"/>
        <item x="269"/>
        <item x="1406"/>
        <item x="1407"/>
        <item x="823"/>
        <item x="8"/>
        <item x="129"/>
        <item x="642"/>
        <item x="437"/>
        <item x="681"/>
        <item x="849"/>
        <item x="1244"/>
        <item x="667"/>
        <item x="643"/>
        <item x="37"/>
        <item x="565"/>
        <item x="759"/>
        <item x="470"/>
        <item x="500"/>
        <item x="579"/>
        <item x="9"/>
        <item x="596"/>
        <item x="222"/>
        <item x="319"/>
        <item x="1305"/>
        <item x="701"/>
        <item x="1207"/>
        <item x="580"/>
        <item x="177"/>
        <item x="338"/>
        <item x="1327"/>
        <item x="375"/>
        <item x="402"/>
        <item x="976"/>
        <item x="204"/>
        <item x="1208"/>
        <item x="501"/>
        <item x="223"/>
        <item x="864"/>
        <item x="1173"/>
        <item x="79"/>
        <item x="524"/>
        <item x="850"/>
        <item x="996"/>
        <item x="471"/>
        <item x="1425"/>
        <item x="1285"/>
        <item x="1534"/>
        <item x="898"/>
        <item x="1258"/>
        <item x="644"/>
        <item x="1535"/>
        <item x="597"/>
        <item x="189"/>
        <item x="1306"/>
        <item x="1358"/>
        <item x="760"/>
        <item x="933"/>
        <item x="967"/>
        <item x="997"/>
        <item x="1307"/>
        <item x="300"/>
        <item x="682"/>
        <item x="1408"/>
        <item x="96"/>
        <item x="224"/>
        <item x="422"/>
        <item x="116"/>
        <item x="97"/>
        <item x="190"/>
        <item x="376"/>
        <item x="339"/>
        <item x="277"/>
        <item x="98"/>
        <item x="1135"/>
        <item x="278"/>
        <item x="1036"/>
        <item x="1359"/>
        <item x="1500"/>
        <item x="1093"/>
        <item x="1228"/>
        <item x="835"/>
        <item x="403"/>
        <item x="1286"/>
        <item x="598"/>
        <item x="117"/>
        <item x="1229"/>
        <item x="968"/>
        <item x="1144"/>
        <item x="1343"/>
        <item x="360"/>
        <item x="423"/>
        <item x="279"/>
        <item x="1287"/>
        <item x="946"/>
        <item x="237"/>
        <item x="525"/>
        <item x="1376"/>
        <item x="99"/>
        <item x="1474"/>
        <item x="748"/>
        <item x="977"/>
        <item x="38"/>
        <item x="1145"/>
        <item x="1288"/>
        <item x="205"/>
        <item x="761"/>
        <item x="1077"/>
        <item x="581"/>
        <item x="100"/>
        <item x="1393"/>
        <item x="582"/>
        <item x="781"/>
        <item x="320"/>
        <item x="1094"/>
        <item x="1436"/>
        <item x="225"/>
        <item x="880"/>
        <item x="1437"/>
        <item x="80"/>
        <item x="24"/>
        <item x="1020"/>
        <item x="526"/>
        <item x="59"/>
        <item x="1146"/>
        <item x="1186"/>
        <item x="130"/>
        <item x="899"/>
        <item x="1124"/>
        <item x="118"/>
        <item x="131"/>
        <item x="1078"/>
        <item x="1426"/>
        <item x="60"/>
        <item x="645"/>
        <item x="836"/>
        <item x="1536"/>
        <item x="683"/>
        <item x="1021"/>
        <item x="808"/>
        <item x="1475"/>
        <item x="566"/>
        <item x="502"/>
        <item x="321"/>
        <item x="178"/>
        <item x="1245"/>
        <item x="25"/>
        <item x="1217"/>
        <item x="255"/>
        <item x="472"/>
        <item x="1377"/>
        <item x="322"/>
        <item x="934"/>
        <item x="26"/>
        <item x="668"/>
        <item x="39"/>
        <item x="736"/>
        <item x="881"/>
        <item x="1064"/>
        <item x="646"/>
        <item x="473"/>
        <item x="503"/>
        <item x="1438"/>
        <item x="527"/>
        <item x="238"/>
        <item x="1246"/>
        <item x="340"/>
        <item x="917"/>
        <item x="504"/>
        <item x="702"/>
        <item x="1360"/>
        <item x="1052"/>
        <item x="721"/>
        <item x="377"/>
        <item x="947"/>
        <item x="280"/>
        <item x="1361"/>
        <item x="1174"/>
        <item x="10"/>
        <item x="865"/>
        <item x="323"/>
        <item x="206"/>
        <item x="27"/>
        <item x="11"/>
        <item x="455"/>
        <item x="882"/>
        <item x="61"/>
        <item x="101"/>
        <item x="361"/>
        <item x="1022"/>
        <item x="438"/>
        <item x="528"/>
        <item x="623"/>
        <item x="624"/>
        <item x="1378"/>
        <item x="270"/>
        <item x="900"/>
        <item x="484"/>
        <item x="485"/>
        <item x="851"/>
        <item x="324"/>
        <item x="1485"/>
        <item x="166"/>
        <item x="948"/>
        <item x="456"/>
        <item x="390"/>
        <item x="824"/>
        <item x="1005"/>
        <item x="81"/>
        <item x="684"/>
        <item x="613"/>
        <item x="722"/>
        <item x="1187"/>
        <item x="62"/>
        <item x="599"/>
        <item x="1537"/>
        <item x="439"/>
        <item x="341"/>
        <item x="647"/>
        <item x="529"/>
        <item x="1538"/>
        <item x="1539"/>
        <item x="1095"/>
        <item x="1460"/>
        <item x="1230"/>
        <item x="837"/>
        <item x="1188"/>
        <item x="852"/>
        <item x="918"/>
        <item x="301"/>
        <item x="793"/>
        <item x="762"/>
        <item x="794"/>
        <item x="901"/>
        <item x="102"/>
        <item x="1394"/>
        <item x="404"/>
        <item x="552"/>
        <item x="1109"/>
        <item x="362"/>
        <item x="919"/>
        <item x="457"/>
        <item x="763"/>
        <item x="1289"/>
        <item x="12"/>
        <item x="809"/>
        <item x="147"/>
        <item x="1501"/>
        <item x="969"/>
        <item x="614"/>
        <item x="167"/>
        <item x="1218"/>
        <item x="1439"/>
        <item x="1023"/>
        <item x="764"/>
        <item x="567"/>
        <item x="1219"/>
        <item x="405"/>
        <item x="1164"/>
        <item x="1096"/>
        <item x="1502"/>
        <item x="1147"/>
        <item x="363"/>
        <item x="1024"/>
        <item x="625"/>
        <item x="1540"/>
        <item x="1541"/>
        <item x="148"/>
        <item x="1379"/>
        <item x="1037"/>
        <item x="226"/>
        <item x="568"/>
        <item x="1427"/>
        <item x="40"/>
        <item x="168"/>
        <item x="424"/>
        <item x="1344"/>
        <item x="553"/>
        <item x="169"/>
        <item x="239"/>
        <item x="685"/>
        <item x="569"/>
        <item x="256"/>
        <item x="626"/>
        <item x="902"/>
        <item x="1266"/>
        <item x="686"/>
        <item x="281"/>
        <item x="227"/>
        <item x="1267"/>
        <item x="1362"/>
        <item x="838"/>
        <item x="1428"/>
        <item x="505"/>
        <item x="883"/>
        <item x="1038"/>
        <item x="132"/>
        <item x="1345"/>
        <item x="342"/>
        <item x="1025"/>
        <item x="1409"/>
        <item x="648"/>
        <item x="170"/>
        <item x="63"/>
        <item x="1110"/>
        <item x="627"/>
        <item x="1136"/>
        <item x="765"/>
        <item x="364"/>
        <item x="795"/>
        <item x="282"/>
        <item x="949"/>
        <item x="554"/>
        <item x="1209"/>
        <item x="1111"/>
        <item x="179"/>
        <item x="1189"/>
        <item x="325"/>
        <item x="723"/>
        <item x="103"/>
        <item x="749"/>
        <item x="1097"/>
        <item x="1006"/>
        <item x="853"/>
        <item x="1486"/>
        <item x="1053"/>
        <item x="1007"/>
        <item x="796"/>
        <item x="555"/>
        <item x="1220"/>
        <item x="64"/>
        <item x="1429"/>
        <item x="1175"/>
        <item x="486"/>
        <item x="240"/>
        <item x="1346"/>
        <item x="669"/>
        <item x="1112"/>
        <item x="1440"/>
        <item x="1519"/>
        <item x="766"/>
        <item x="649"/>
        <item x="1328"/>
        <item x="950"/>
        <item x="302"/>
        <item x="866"/>
        <item x="854"/>
        <item x="1542"/>
        <item x="440"/>
        <item x="1259"/>
        <item x="1441"/>
        <item x="1380"/>
        <item x="391"/>
        <item x="825"/>
        <item x="1221"/>
        <item x="998"/>
        <item x="978"/>
        <item x="241"/>
        <item x="650"/>
        <item x="425"/>
        <item x="133"/>
        <item x="1054"/>
        <item x="628"/>
        <item x="538"/>
        <item x="65"/>
        <item x="703"/>
        <item x="1520"/>
        <item x="228"/>
        <item x="1210"/>
        <item x="303"/>
        <item x="1381"/>
        <item x="1442"/>
        <item x="855"/>
        <item x="149"/>
        <item x="242"/>
        <item x="506"/>
        <item x="839"/>
        <item x="651"/>
        <item x="458"/>
        <item x="687"/>
        <item x="507"/>
        <item x="1521"/>
        <item x="856"/>
        <item x="283"/>
        <item x="487"/>
        <item x="1247"/>
        <item x="670"/>
        <item x="13"/>
        <item x="378"/>
        <item x="508"/>
        <item x="884"/>
        <item x="459"/>
        <item x="180"/>
        <item x="1522"/>
        <item x="1125"/>
        <item x="284"/>
        <item x="1443"/>
        <item x="724"/>
        <item x="304"/>
        <item x="885"/>
        <item x="1008"/>
        <item x="615"/>
        <item x="1382"/>
        <item x="935"/>
        <item x="1065"/>
        <item x="474"/>
        <item x="570"/>
        <item x="1461"/>
        <item x="1290"/>
        <item x="725"/>
        <item x="810"/>
        <item x="1148"/>
        <item x="583"/>
        <item x="41"/>
        <item x="1055"/>
        <item x="343"/>
        <item x="257"/>
        <item x="970"/>
        <item x="1395"/>
        <item x="726"/>
        <item x="750"/>
        <item x="1503"/>
        <item x="1504"/>
        <item x="1523"/>
        <item x="119"/>
        <item x="688"/>
        <item x="1211"/>
        <item x="797"/>
        <item x="406"/>
        <item x="171"/>
        <item x="134"/>
        <item x="379"/>
        <item x="1026"/>
        <item x="727"/>
        <item x="886"/>
        <item x="441"/>
        <item x="1212"/>
        <item x="475"/>
        <item x="407"/>
        <item x="1396"/>
        <item x="1113"/>
        <item x="191"/>
        <item x="1066"/>
        <item x="82"/>
        <item x="83"/>
        <item x="798"/>
        <item x="826"/>
        <item x="811"/>
        <item x="120"/>
        <item x="1079"/>
        <item x="616"/>
        <item x="135"/>
        <item x="1231"/>
        <item x="150"/>
        <item x="476"/>
        <item x="920"/>
        <item x="488"/>
        <item x="271"/>
        <item x="1149"/>
        <item x="887"/>
        <item x="737"/>
        <item x="903"/>
        <item x="1430"/>
        <item x="326"/>
        <item x="518"/>
        <item x="408"/>
        <item x="1444"/>
        <item x="151"/>
        <item x="243"/>
        <item x="1445"/>
        <item x="181"/>
        <item x="182"/>
        <item x="951"/>
        <item x="365"/>
        <item x="617"/>
        <item x="1222"/>
        <item x="489"/>
        <item x="14"/>
        <item x="936"/>
        <item x="867"/>
        <item x="1232"/>
        <item x="1505"/>
        <item x="584"/>
        <item x="1446"/>
        <item x="1447"/>
        <item x="380"/>
        <item x="1176"/>
        <item x="1543"/>
        <item x="1448"/>
        <item x="285"/>
        <item x="812"/>
        <item x="813"/>
        <item x="344"/>
        <item x="207"/>
        <item x="381"/>
        <item x="1080"/>
        <item x="66"/>
        <item x="704"/>
        <item x="1487"/>
        <item x="652"/>
        <item x="305"/>
        <item x="999"/>
        <item x="1449"/>
        <item x="1506"/>
        <item x="1308"/>
        <item x="121"/>
        <item x="1009"/>
        <item x="653"/>
        <item x="366"/>
        <item x="629"/>
        <item x="1450"/>
        <item x="1165"/>
        <item x="1150"/>
        <item x="868"/>
        <item x="840"/>
        <item x="1010"/>
        <item x="585"/>
        <item x="888"/>
        <item x="84"/>
        <item x="1383"/>
        <item x="671"/>
        <item x="136"/>
        <item x="1151"/>
        <item x="1223"/>
        <item x="208"/>
        <item x="367"/>
        <item x="1233"/>
        <item x="1363"/>
        <item x="1067"/>
        <item x="705"/>
        <item x="192"/>
        <item x="382"/>
        <item x="1068"/>
        <item x="229"/>
        <item x="1507"/>
        <item x="869"/>
        <item x="1347"/>
        <item x="172"/>
        <item x="1190"/>
        <item x="1126"/>
        <item x="799"/>
        <item x="1397"/>
        <item x="368"/>
        <item x="327"/>
        <item x="519"/>
        <item x="767"/>
        <item x="1309"/>
        <item x="889"/>
        <item x="1462"/>
        <item x="979"/>
        <item x="841"/>
        <item x="460"/>
        <item x="921"/>
        <item x="383"/>
        <item x="1027"/>
        <item x="193"/>
        <item x="426"/>
        <item x="768"/>
        <item x="1127"/>
        <item x="461"/>
        <item x="630"/>
        <item x="1114"/>
        <item x="980"/>
        <item x="1348"/>
        <item x="971"/>
        <item x="384"/>
        <item x="1463"/>
        <item x="782"/>
        <item x="600"/>
        <item x="1488"/>
        <item x="1056"/>
        <item x="654"/>
        <item x="952"/>
        <item x="1039"/>
        <item x="586"/>
        <item x="751"/>
        <item x="152"/>
        <item x="738"/>
        <item x="1098"/>
        <item x="42"/>
        <item x="1451"/>
        <item x="601"/>
        <item x="904"/>
        <item x="1489"/>
        <item x="462"/>
        <item x="490"/>
        <item x="272"/>
        <item x="137"/>
        <item x="530"/>
        <item x="286"/>
        <item x="258"/>
        <item x="1040"/>
        <item x="539"/>
        <item x="409"/>
        <item x="706"/>
        <item x="67"/>
        <item x="43"/>
        <item x="183"/>
        <item x="392"/>
        <item x="1298"/>
        <item x="153"/>
        <item x="842"/>
        <item x="410"/>
        <item x="1248"/>
        <item x="618"/>
        <item x="194"/>
        <item x="953"/>
        <item x="1476"/>
        <item x="556"/>
        <item x="1490"/>
        <item x="1069"/>
        <item x="557"/>
        <item x="769"/>
        <item x="259"/>
        <item x="1234"/>
        <item x="1349"/>
        <item x="905"/>
        <item x="1166"/>
        <item x="770"/>
        <item x="195"/>
        <item x="771"/>
        <item x="385"/>
        <item x="260"/>
        <item x="345"/>
        <item x="1070"/>
        <item x="602"/>
        <item x="230"/>
        <item x="1137"/>
        <item x="244"/>
        <item x="209"/>
        <item x="1138"/>
        <item x="1464"/>
        <item x="1268"/>
        <item x="558"/>
        <item x="1269"/>
        <item x="1544"/>
        <item t="default"/>
      </items>
    </pivotField>
    <pivotField compact="0" outline="0" multipleItemSelectionAllowed="1" showAll="0"/>
    <pivotField dataField="1" compact="0" outline="0" multipleItemSelectionAllowed="1" showAll="0">
      <items count="1546">
        <item x="1167"/>
        <item x="1477"/>
        <item x="104"/>
        <item x="85"/>
        <item x="655"/>
        <item x="1081"/>
        <item x="477"/>
        <item x="689"/>
        <item x="28"/>
        <item x="890"/>
        <item x="827"/>
        <item x="1410"/>
        <item x="906"/>
        <item x="44"/>
        <item x="728"/>
        <item x="1310"/>
        <item x="690"/>
        <item x="1071"/>
        <item x="1128"/>
        <item x="1041"/>
        <item x="1364"/>
        <item x="1291"/>
        <item x="261"/>
        <item x="122"/>
        <item x="105"/>
        <item x="1099"/>
        <item x="1249"/>
        <item x="231"/>
        <item x="138"/>
        <item x="937"/>
        <item x="1115"/>
        <item x="1042"/>
        <item x="262"/>
        <item x="1191"/>
        <item x="1491"/>
        <item x="123"/>
        <item x="15"/>
        <item x="1292"/>
        <item x="1384"/>
        <item x="1311"/>
        <item x="1524"/>
        <item x="1152"/>
        <item x="1192"/>
        <item x="857"/>
        <item x="907"/>
        <item x="981"/>
        <item x="1329"/>
        <item x="1177"/>
        <item x="427"/>
        <item x="1525"/>
        <item x="1270"/>
        <item x="442"/>
        <item x="1312"/>
        <item x="1235"/>
        <item x="908"/>
        <item x="972"/>
        <item x="1116"/>
        <item x="707"/>
        <item x="938"/>
        <item x="1508"/>
        <item x="210"/>
        <item x="1011"/>
        <item x="1350"/>
        <item x="752"/>
        <item x="68"/>
        <item x="16"/>
        <item x="753"/>
        <item x="69"/>
        <item x="139"/>
        <item x="1250"/>
        <item x="1168"/>
        <item x="1365"/>
        <item x="1492"/>
        <item x="1398"/>
        <item x="1213"/>
        <item x="1493"/>
        <item x="708"/>
        <item x="1478"/>
        <item x="196"/>
        <item x="709"/>
        <item x="1452"/>
        <item x="211"/>
        <item x="939"/>
        <item x="184"/>
        <item x="1351"/>
        <item x="70"/>
        <item x="954"/>
        <item x="369"/>
        <item x="982"/>
        <item x="106"/>
        <item x="909"/>
        <item x="531"/>
        <item x="1453"/>
        <item x="1129"/>
        <item x="729"/>
        <item x="983"/>
        <item x="29"/>
        <item x="212"/>
        <item x="491"/>
        <item x="870"/>
        <item x="540"/>
        <item x="940"/>
        <item x="411"/>
        <item x="1385"/>
        <item x="1313"/>
        <item x="922"/>
        <item x="739"/>
        <item x="346"/>
        <item x="1366"/>
        <item x="154"/>
        <item x="71"/>
        <item x="1043"/>
        <item x="1411"/>
        <item x="443"/>
        <item x="955"/>
        <item x="1044"/>
        <item x="86"/>
        <item x="1509"/>
        <item x="754"/>
        <item x="1412"/>
        <item x="1100"/>
        <item x="587"/>
        <item x="1465"/>
        <item x="1101"/>
        <item x="1431"/>
        <item x="891"/>
        <item x="1057"/>
        <item x="956"/>
        <item x="772"/>
        <item x="30"/>
        <item x="1314"/>
        <item x="328"/>
        <item x="1315"/>
        <item x="871"/>
        <item x="957"/>
        <item x="1330"/>
        <item x="1494"/>
        <item x="263"/>
        <item x="329"/>
        <item x="1236"/>
        <item x="370"/>
        <item x="45"/>
        <item x="1413"/>
        <item x="155"/>
        <item x="1000"/>
        <item x="1414"/>
        <item x="264"/>
        <item x="412"/>
        <item x="631"/>
        <item x="619"/>
        <item x="509"/>
        <item x="910"/>
        <item x="1466"/>
        <item x="213"/>
        <item x="1072"/>
        <item x="463"/>
        <item x="520"/>
        <item x="245"/>
        <item x="1432"/>
        <item x="603"/>
        <item x="911"/>
        <item x="532"/>
        <item x="72"/>
        <item x="413"/>
        <item x="371"/>
        <item x="541"/>
        <item x="656"/>
        <item x="1467"/>
        <item x="1251"/>
        <item x="1271"/>
        <item x="464"/>
        <item x="828"/>
        <item x="1526"/>
        <item x="1153"/>
        <item x="1352"/>
        <item x="1415"/>
        <item x="800"/>
        <item x="1178"/>
        <item x="1214"/>
        <item x="1510"/>
        <item x="1454"/>
        <item x="214"/>
        <item x="1252"/>
        <item x="1316"/>
        <item x="1117"/>
        <item x="197"/>
        <item x="984"/>
        <item x="1272"/>
        <item x="31"/>
        <item x="1468"/>
        <item x="755"/>
        <item x="1193"/>
        <item x="287"/>
        <item x="604"/>
        <item x="710"/>
        <item x="215"/>
        <item x="756"/>
        <item x="156"/>
        <item x="1179"/>
        <item x="17"/>
        <item x="393"/>
        <item x="444"/>
        <item x="1455"/>
        <item x="1317"/>
        <item x="730"/>
        <item x="1273"/>
        <item x="107"/>
        <item x="478"/>
        <item x="1274"/>
        <item x="265"/>
        <item x="605"/>
        <item x="1058"/>
        <item x="521"/>
        <item x="1293"/>
        <item x="606"/>
        <item x="1154"/>
        <item x="445"/>
        <item x="46"/>
        <item x="740"/>
        <item x="672"/>
        <item x="985"/>
        <item x="1194"/>
        <item x="266"/>
        <item x="1195"/>
        <item x="1260"/>
        <item x="923"/>
        <item x="18"/>
        <item x="47"/>
        <item x="32"/>
        <item x="1353"/>
        <item x="741"/>
        <item x="892"/>
        <item x="73"/>
        <item x="1416"/>
        <item x="1012"/>
        <item x="492"/>
        <item x="559"/>
        <item x="306"/>
        <item x="1045"/>
        <item x="731"/>
        <item x="1331"/>
        <item x="1275"/>
        <item x="1479"/>
        <item x="330"/>
        <item x="588"/>
        <item x="1196"/>
        <item x="232"/>
        <item x="1495"/>
        <item x="1367"/>
        <item x="783"/>
        <item x="493"/>
        <item x="394"/>
        <item x="74"/>
        <item x="1224"/>
        <item x="986"/>
        <item x="1480"/>
        <item x="108"/>
        <item x="1169"/>
        <item x="1215"/>
        <item x="1332"/>
        <item x="307"/>
        <item x="1102"/>
        <item x="428"/>
        <item x="632"/>
        <item x="1013"/>
        <item x="1155"/>
        <item x="19"/>
        <item x="1130"/>
        <item x="657"/>
        <item x="124"/>
        <item x="658"/>
        <item x="33"/>
        <item x="1368"/>
        <item x="1082"/>
        <item x="87"/>
        <item x="1156"/>
        <item x="1318"/>
        <item x="1496"/>
        <item x="1433"/>
        <item x="801"/>
        <item x="742"/>
        <item x="75"/>
        <item x="1399"/>
        <item x="308"/>
        <item x="273"/>
        <item x="958"/>
        <item x="185"/>
        <item x="347"/>
        <item x="233"/>
        <item x="1400"/>
        <item x="1261"/>
        <item x="533"/>
        <item x="0"/>
        <item x="1139"/>
        <item x="173"/>
        <item x="773"/>
        <item x="987"/>
        <item x="1118"/>
        <item x="1511"/>
        <item x="589"/>
        <item x="1417"/>
        <item x="893"/>
        <item x="1083"/>
        <item x="673"/>
        <item x="1369"/>
        <item x="1456"/>
        <item x="1014"/>
        <item x="198"/>
        <item x="814"/>
        <item x="691"/>
        <item x="246"/>
        <item x="711"/>
        <item x="1028"/>
        <item x="1527"/>
        <item x="1276"/>
        <item x="858"/>
        <item x="542"/>
        <item x="1481"/>
        <item x="1015"/>
        <item x="1237"/>
        <item x="692"/>
        <item x="912"/>
        <item x="1401"/>
        <item x="348"/>
        <item x="125"/>
        <item x="571"/>
        <item x="1073"/>
        <item x="1046"/>
        <item x="1180"/>
        <item x="959"/>
        <item x="894"/>
        <item x="633"/>
        <item x="1497"/>
        <item x="988"/>
        <item x="1119"/>
        <item x="607"/>
        <item x="247"/>
        <item x="1059"/>
        <item x="1262"/>
        <item x="989"/>
        <item x="1418"/>
        <item x="309"/>
        <item x="510"/>
        <item x="395"/>
        <item x="1370"/>
        <item x="429"/>
        <item x="1419"/>
        <item x="126"/>
        <item x="465"/>
        <item x="924"/>
        <item x="414"/>
        <item x="310"/>
        <item x="349"/>
        <item x="990"/>
        <item x="157"/>
        <item x="216"/>
        <item x="140"/>
        <item x="20"/>
        <item x="815"/>
        <item x="1420"/>
        <item x="311"/>
        <item x="1225"/>
        <item x="217"/>
        <item x="218"/>
        <item x="1084"/>
        <item x="1512"/>
        <item x="88"/>
        <item x="674"/>
        <item x="312"/>
        <item x="1253"/>
        <item x="1131"/>
        <item x="1371"/>
        <item x="199"/>
        <item x="1528"/>
        <item x="960"/>
        <item x="48"/>
        <item x="1386"/>
        <item x="446"/>
        <item x="1387"/>
        <item x="572"/>
        <item x="829"/>
        <item x="872"/>
        <item x="274"/>
        <item x="76"/>
        <item x="1482"/>
        <item x="415"/>
        <item x="1277"/>
        <item x="447"/>
        <item x="961"/>
        <item x="1354"/>
        <item x="350"/>
        <item x="573"/>
        <item x="1529"/>
        <item x="141"/>
        <item x="1085"/>
        <item x="313"/>
        <item x="873"/>
        <item x="1157"/>
        <item x="590"/>
        <item x="288"/>
        <item x="843"/>
        <item x="1513"/>
        <item x="591"/>
        <item x="248"/>
        <item x="466"/>
        <item x="830"/>
        <item x="991"/>
        <item x="859"/>
        <item x="784"/>
        <item x="314"/>
        <item x="712"/>
        <item x="1319"/>
        <item x="1469"/>
        <item x="1470"/>
        <item x="1047"/>
        <item x="1197"/>
        <item x="89"/>
        <item x="249"/>
        <item x="416"/>
        <item x="1181"/>
        <item x="1029"/>
        <item x="831"/>
        <item x="675"/>
        <item x="351"/>
        <item x="430"/>
        <item x="1530"/>
        <item x="396"/>
        <item x="511"/>
        <item x="713"/>
        <item x="941"/>
        <item x="1132"/>
        <item x="1238"/>
        <item x="1514"/>
        <item x="1086"/>
        <item x="732"/>
        <item x="1"/>
        <item x="757"/>
        <item x="275"/>
        <item x="1170"/>
        <item x="913"/>
        <item x="1198"/>
        <item x="962"/>
        <item x="186"/>
        <item x="1421"/>
        <item x="1060"/>
        <item x="574"/>
        <item x="289"/>
        <item x="21"/>
        <item x="925"/>
        <item x="479"/>
        <item x="352"/>
        <item x="1372"/>
        <item x="693"/>
        <item x="1294"/>
        <item x="1320"/>
        <item x="1295"/>
        <item x="1061"/>
        <item x="1254"/>
        <item x="659"/>
        <item x="250"/>
        <item x="1333"/>
        <item x="874"/>
        <item x="315"/>
        <item x="543"/>
        <item x="316"/>
        <item x="494"/>
        <item x="480"/>
        <item x="1263"/>
        <item x="158"/>
        <item x="2"/>
        <item x="1278"/>
        <item x="1087"/>
        <item x="49"/>
        <item x="694"/>
        <item x="785"/>
        <item x="544"/>
        <item x="417"/>
        <item x="634"/>
        <item x="159"/>
        <item x="676"/>
        <item x="1158"/>
        <item x="695"/>
        <item x="90"/>
        <item x="187"/>
        <item x="635"/>
        <item x="786"/>
        <item x="1199"/>
        <item x="774"/>
        <item x="844"/>
        <item x="1334"/>
        <item x="1457"/>
        <item x="992"/>
        <item x="1171"/>
        <item x="1355"/>
        <item x="200"/>
        <item x="495"/>
        <item x="802"/>
        <item x="1335"/>
        <item x="743"/>
        <item x="1088"/>
        <item x="1279"/>
        <item x="1001"/>
        <item x="142"/>
        <item x="926"/>
        <item x="1299"/>
        <item x="787"/>
        <item x="816"/>
        <item x="1030"/>
        <item x="331"/>
        <item x="109"/>
        <item x="50"/>
        <item x="963"/>
        <item x="431"/>
        <item x="914"/>
        <item x="832"/>
        <item x="201"/>
        <item x="803"/>
        <item x="775"/>
        <item x="534"/>
        <item x="895"/>
        <item x="575"/>
        <item x="1402"/>
        <item x="1140"/>
        <item x="1239"/>
        <item x="467"/>
        <item x="804"/>
        <item x="714"/>
        <item x="1515"/>
        <item x="560"/>
        <item x="744"/>
        <item x="576"/>
        <item x="372"/>
        <item x="993"/>
        <item x="745"/>
        <item x="1159"/>
        <item x="577"/>
        <item x="1103"/>
        <item x="1403"/>
        <item x="1373"/>
        <item x="1200"/>
        <item x="1321"/>
        <item x="202"/>
        <item x="1031"/>
        <item x="1483"/>
        <item x="290"/>
        <item x="34"/>
        <item x="219"/>
        <item x="3"/>
        <item x="545"/>
        <item x="291"/>
        <item x="1141"/>
        <item x="1531"/>
        <item x="860"/>
        <item x="160"/>
        <item x="353"/>
        <item x="1322"/>
        <item x="1201"/>
        <item x="1300"/>
        <item x="1422"/>
        <item x="51"/>
        <item x="1296"/>
        <item x="1458"/>
        <item x="964"/>
        <item x="522"/>
        <item x="448"/>
        <item x="1104"/>
        <item x="449"/>
        <item x="535"/>
        <item x="418"/>
        <item x="292"/>
        <item x="1374"/>
        <item x="523"/>
        <item x="1120"/>
        <item x="817"/>
        <item x="1516"/>
        <item x="608"/>
        <item x="1336"/>
        <item x="818"/>
        <item x="776"/>
        <item x="660"/>
        <item x="677"/>
        <item x="758"/>
        <item x="819"/>
        <item x="1323"/>
        <item x="35"/>
        <item x="592"/>
        <item x="1240"/>
        <item x="1280"/>
        <item x="1484"/>
        <item x="1182"/>
        <item x="1048"/>
        <item x="4"/>
        <item x="875"/>
        <item x="1281"/>
        <item x="354"/>
        <item x="432"/>
        <item x="293"/>
        <item x="1160"/>
        <item x="220"/>
        <item x="715"/>
        <item x="965"/>
        <item x="973"/>
        <item x="397"/>
        <item x="386"/>
        <item x="36"/>
        <item x="433"/>
        <item x="994"/>
        <item x="1471"/>
        <item x="1002"/>
        <item x="661"/>
        <item x="251"/>
        <item x="22"/>
        <item x="716"/>
        <item x="820"/>
        <item x="276"/>
        <item x="1388"/>
        <item x="221"/>
        <item x="717"/>
        <item x="1133"/>
        <item x="419"/>
        <item x="512"/>
        <item x="1532"/>
        <item x="915"/>
        <item x="387"/>
        <item x="23"/>
        <item x="1003"/>
        <item x="1297"/>
        <item x="1089"/>
        <item x="174"/>
        <item x="833"/>
        <item x="5"/>
        <item x="1241"/>
        <item x="1472"/>
        <item x="834"/>
        <item x="942"/>
        <item x="203"/>
        <item x="468"/>
        <item x="1389"/>
        <item x="420"/>
        <item x="861"/>
        <item x="696"/>
        <item x="1498"/>
        <item x="561"/>
        <item x="110"/>
        <item x="1161"/>
        <item x="1004"/>
        <item x="513"/>
        <item x="1390"/>
        <item x="127"/>
        <item x="562"/>
        <item x="91"/>
        <item x="1049"/>
        <item x="718"/>
        <item x="294"/>
        <item x="620"/>
        <item x="536"/>
        <item x="267"/>
        <item x="1255"/>
        <item x="1016"/>
        <item x="1301"/>
        <item x="1105"/>
        <item x="6"/>
        <item x="943"/>
        <item x="77"/>
        <item x="593"/>
        <item x="927"/>
        <item x="563"/>
        <item x="1183"/>
        <item x="450"/>
        <item x="92"/>
        <item x="93"/>
        <item x="252"/>
        <item x="944"/>
        <item x="746"/>
        <item x="537"/>
        <item x="1434"/>
        <item x="253"/>
        <item x="514"/>
        <item x="1517"/>
        <item x="1202"/>
        <item x="1256"/>
        <item x="1162"/>
        <item x="805"/>
        <item x="451"/>
        <item x="662"/>
        <item x="1090"/>
        <item x="398"/>
        <item x="609"/>
        <item x="295"/>
        <item x="234"/>
        <item x="788"/>
        <item x="594"/>
        <item x="578"/>
        <item x="268"/>
        <item x="332"/>
        <item x="94"/>
        <item x="546"/>
        <item x="663"/>
        <item x="876"/>
        <item x="111"/>
        <item x="1074"/>
        <item x="188"/>
        <item x="1121"/>
        <item x="388"/>
        <item x="112"/>
        <item x="113"/>
        <item x="719"/>
        <item x="1423"/>
        <item x="78"/>
        <item x="1062"/>
        <item x="697"/>
        <item x="1017"/>
        <item x="496"/>
        <item x="777"/>
        <item x="452"/>
        <item x="1032"/>
        <item x="1203"/>
        <item x="296"/>
        <item x="373"/>
        <item x="1216"/>
        <item x="52"/>
        <item x="53"/>
        <item x="1356"/>
        <item x="974"/>
        <item x="235"/>
        <item x="636"/>
        <item x="399"/>
        <item x="355"/>
        <item x="421"/>
        <item x="1337"/>
        <item x="54"/>
        <item x="356"/>
        <item x="333"/>
        <item x="1518"/>
        <item x="916"/>
        <item x="1033"/>
        <item x="678"/>
        <item x="679"/>
        <item x="845"/>
        <item x="1204"/>
        <item x="995"/>
        <item x="547"/>
        <item x="55"/>
        <item x="877"/>
        <item x="175"/>
        <item x="434"/>
        <item x="1391"/>
        <item x="469"/>
        <item x="1172"/>
        <item x="1106"/>
        <item x="1302"/>
        <item x="1338"/>
        <item x="161"/>
        <item x="778"/>
        <item x="733"/>
        <item x="1142"/>
        <item x="734"/>
        <item x="1533"/>
        <item x="515"/>
        <item x="1122"/>
        <item x="1091"/>
        <item x="664"/>
        <item x="334"/>
        <item x="162"/>
        <item x="1242"/>
        <item x="497"/>
        <item x="665"/>
        <item x="821"/>
        <item x="846"/>
        <item x="481"/>
        <item x="56"/>
        <item x="637"/>
        <item x="1435"/>
        <item x="335"/>
        <item x="163"/>
        <item x="1107"/>
        <item x="1264"/>
        <item x="1459"/>
        <item x="317"/>
        <item x="966"/>
        <item x="1063"/>
        <item x="57"/>
        <item x="638"/>
        <item x="1075"/>
        <item x="779"/>
        <item x="806"/>
        <item x="482"/>
        <item x="1050"/>
        <item x="720"/>
        <item x="164"/>
        <item x="548"/>
        <item x="143"/>
        <item x="1339"/>
        <item x="1324"/>
        <item x="639"/>
        <item x="1123"/>
        <item x="1357"/>
        <item x="144"/>
        <item x="847"/>
        <item x="878"/>
        <item x="297"/>
        <item x="453"/>
        <item x="549"/>
        <item x="454"/>
        <item x="498"/>
        <item x="400"/>
        <item x="1392"/>
        <item x="1226"/>
        <item x="165"/>
        <item x="7"/>
        <item x="610"/>
        <item x="1034"/>
        <item x="114"/>
        <item x="1205"/>
        <item x="807"/>
        <item x="298"/>
        <item x="928"/>
        <item x="1018"/>
        <item x="1473"/>
        <item x="848"/>
        <item x="1340"/>
        <item x="1184"/>
        <item x="621"/>
        <item x="640"/>
        <item x="1185"/>
        <item x="389"/>
        <item x="176"/>
        <item x="789"/>
        <item x="58"/>
        <item x="790"/>
        <item x="896"/>
        <item x="1341"/>
        <item x="879"/>
        <item x="780"/>
        <item x="1076"/>
        <item x="374"/>
        <item x="145"/>
        <item x="357"/>
        <item x="929"/>
        <item x="128"/>
        <item x="1282"/>
        <item x="975"/>
        <item x="1283"/>
        <item x="1019"/>
        <item x="930"/>
        <item x="611"/>
        <item x="1284"/>
        <item x="698"/>
        <item x="612"/>
        <item x="318"/>
        <item x="931"/>
        <item x="1257"/>
        <item x="435"/>
        <item x="1134"/>
        <item x="336"/>
        <item x="1051"/>
        <item x="550"/>
        <item x="436"/>
        <item x="680"/>
        <item x="483"/>
        <item x="791"/>
        <item x="1163"/>
        <item x="666"/>
        <item x="516"/>
        <item x="254"/>
        <item x="747"/>
        <item x="1265"/>
        <item x="236"/>
        <item x="862"/>
        <item x="358"/>
        <item x="822"/>
        <item x="359"/>
        <item x="401"/>
        <item x="641"/>
        <item x="1325"/>
        <item x="735"/>
        <item x="622"/>
        <item x="1342"/>
        <item x="95"/>
        <item x="146"/>
        <item x="863"/>
        <item x="699"/>
        <item x="1424"/>
        <item x="792"/>
        <item x="1243"/>
        <item x="700"/>
        <item x="1303"/>
        <item x="551"/>
        <item x="1499"/>
        <item x="595"/>
        <item x="945"/>
        <item x="115"/>
        <item x="1227"/>
        <item x="299"/>
        <item x="1375"/>
        <item x="1404"/>
        <item x="337"/>
        <item x="1304"/>
        <item x="932"/>
        <item x="1035"/>
        <item x="897"/>
        <item x="1143"/>
        <item x="517"/>
        <item x="1108"/>
        <item x="499"/>
        <item x="1326"/>
        <item x="1405"/>
        <item x="564"/>
        <item x="1206"/>
        <item x="1092"/>
        <item x="269"/>
        <item x="1406"/>
        <item x="1407"/>
        <item x="823"/>
        <item x="8"/>
        <item x="129"/>
        <item x="642"/>
        <item x="437"/>
        <item x="681"/>
        <item x="849"/>
        <item x="1244"/>
        <item x="667"/>
        <item x="643"/>
        <item x="37"/>
        <item x="565"/>
        <item x="759"/>
        <item x="470"/>
        <item x="500"/>
        <item x="579"/>
        <item x="9"/>
        <item x="596"/>
        <item x="222"/>
        <item x="319"/>
        <item x="1305"/>
        <item x="701"/>
        <item x="1207"/>
        <item x="580"/>
        <item x="177"/>
        <item x="338"/>
        <item x="1327"/>
        <item x="375"/>
        <item x="402"/>
        <item x="976"/>
        <item x="204"/>
        <item x="1208"/>
        <item x="501"/>
        <item x="223"/>
        <item x="864"/>
        <item x="1173"/>
        <item x="79"/>
        <item x="524"/>
        <item x="850"/>
        <item x="996"/>
        <item x="471"/>
        <item x="1425"/>
        <item x="1285"/>
        <item x="1534"/>
        <item x="898"/>
        <item x="1258"/>
        <item x="644"/>
        <item x="1535"/>
        <item x="597"/>
        <item x="189"/>
        <item x="1306"/>
        <item x="1358"/>
        <item x="760"/>
        <item x="933"/>
        <item x="967"/>
        <item x="997"/>
        <item x="1307"/>
        <item x="300"/>
        <item x="682"/>
        <item x="1408"/>
        <item x="96"/>
        <item x="224"/>
        <item x="422"/>
        <item x="116"/>
        <item x="97"/>
        <item x="190"/>
        <item x="376"/>
        <item x="339"/>
        <item x="277"/>
        <item x="98"/>
        <item x="1135"/>
        <item x="278"/>
        <item x="1036"/>
        <item x="1359"/>
        <item x="1500"/>
        <item x="1093"/>
        <item x="1228"/>
        <item x="835"/>
        <item x="403"/>
        <item x="1286"/>
        <item x="598"/>
        <item x="117"/>
        <item x="1229"/>
        <item x="968"/>
        <item x="1144"/>
        <item x="1343"/>
        <item x="360"/>
        <item x="423"/>
        <item x="279"/>
        <item x="1287"/>
        <item x="946"/>
        <item x="237"/>
        <item x="525"/>
        <item x="1376"/>
        <item x="99"/>
        <item x="1474"/>
        <item x="748"/>
        <item x="977"/>
        <item x="38"/>
        <item x="1145"/>
        <item x="1288"/>
        <item x="205"/>
        <item x="761"/>
        <item x="1077"/>
        <item x="581"/>
        <item x="100"/>
        <item x="1393"/>
        <item x="582"/>
        <item x="781"/>
        <item x="320"/>
        <item x="1094"/>
        <item x="1436"/>
        <item x="225"/>
        <item x="880"/>
        <item x="1437"/>
        <item x="80"/>
        <item x="24"/>
        <item x="1020"/>
        <item x="526"/>
        <item x="59"/>
        <item x="1146"/>
        <item x="1186"/>
        <item x="130"/>
        <item x="899"/>
        <item x="1124"/>
        <item x="118"/>
        <item x="131"/>
        <item x="1078"/>
        <item x="1426"/>
        <item x="60"/>
        <item x="645"/>
        <item x="836"/>
        <item x="1536"/>
        <item x="683"/>
        <item x="1021"/>
        <item x="808"/>
        <item x="1475"/>
        <item x="566"/>
        <item x="502"/>
        <item x="321"/>
        <item x="178"/>
        <item x="1245"/>
        <item x="25"/>
        <item x="1217"/>
        <item x="255"/>
        <item x="472"/>
        <item x="1377"/>
        <item x="322"/>
        <item x="934"/>
        <item x="26"/>
        <item x="668"/>
        <item x="39"/>
        <item x="736"/>
        <item x="881"/>
        <item x="1064"/>
        <item x="646"/>
        <item x="473"/>
        <item x="503"/>
        <item x="1438"/>
        <item x="527"/>
        <item x="238"/>
        <item x="1246"/>
        <item x="340"/>
        <item x="917"/>
        <item x="504"/>
        <item x="702"/>
        <item x="1360"/>
        <item x="1052"/>
        <item x="721"/>
        <item x="377"/>
        <item x="947"/>
        <item x="280"/>
        <item x="1361"/>
        <item x="1174"/>
        <item x="10"/>
        <item x="865"/>
        <item x="323"/>
        <item x="206"/>
        <item x="27"/>
        <item x="11"/>
        <item x="455"/>
        <item x="882"/>
        <item x="61"/>
        <item x="101"/>
        <item x="361"/>
        <item x="1022"/>
        <item x="438"/>
        <item x="528"/>
        <item x="623"/>
        <item x="624"/>
        <item x="1378"/>
        <item x="270"/>
        <item x="900"/>
        <item x="484"/>
        <item x="485"/>
        <item x="851"/>
        <item x="324"/>
        <item x="1485"/>
        <item x="166"/>
        <item x="948"/>
        <item x="456"/>
        <item x="390"/>
        <item x="824"/>
        <item x="1005"/>
        <item x="81"/>
        <item x="684"/>
        <item x="613"/>
        <item x="722"/>
        <item x="1187"/>
        <item x="62"/>
        <item x="599"/>
        <item x="1537"/>
        <item x="439"/>
        <item x="341"/>
        <item x="647"/>
        <item x="529"/>
        <item x="1538"/>
        <item x="1539"/>
        <item x="1095"/>
        <item x="1460"/>
        <item x="1230"/>
        <item x="837"/>
        <item x="1188"/>
        <item x="852"/>
        <item x="918"/>
        <item x="301"/>
        <item x="793"/>
        <item x="762"/>
        <item x="794"/>
        <item x="901"/>
        <item x="102"/>
        <item x="1394"/>
        <item x="404"/>
        <item x="552"/>
        <item x="1109"/>
        <item x="362"/>
        <item x="919"/>
        <item x="457"/>
        <item x="763"/>
        <item x="1289"/>
        <item x="12"/>
        <item x="809"/>
        <item x="147"/>
        <item x="1501"/>
        <item x="969"/>
        <item x="614"/>
        <item x="167"/>
        <item x="1218"/>
        <item x="1439"/>
        <item x="1023"/>
        <item x="764"/>
        <item x="567"/>
        <item x="1219"/>
        <item x="405"/>
        <item x="1164"/>
        <item x="1096"/>
        <item x="1502"/>
        <item x="1147"/>
        <item x="363"/>
        <item x="1024"/>
        <item x="625"/>
        <item x="1540"/>
        <item x="1541"/>
        <item x="148"/>
        <item x="1379"/>
        <item x="1037"/>
        <item x="226"/>
        <item x="568"/>
        <item x="1427"/>
        <item x="40"/>
        <item x="168"/>
        <item x="424"/>
        <item x="1344"/>
        <item x="553"/>
        <item x="169"/>
        <item x="239"/>
        <item x="685"/>
        <item x="569"/>
        <item x="256"/>
        <item x="626"/>
        <item x="902"/>
        <item x="1266"/>
        <item x="686"/>
        <item x="281"/>
        <item x="227"/>
        <item x="1267"/>
        <item x="1362"/>
        <item x="838"/>
        <item x="1428"/>
        <item x="505"/>
        <item x="883"/>
        <item x="1038"/>
        <item x="132"/>
        <item x="1345"/>
        <item x="342"/>
        <item x="1025"/>
        <item x="1409"/>
        <item x="648"/>
        <item x="170"/>
        <item x="63"/>
        <item x="1110"/>
        <item x="627"/>
        <item x="1136"/>
        <item x="765"/>
        <item x="364"/>
        <item x="795"/>
        <item x="282"/>
        <item x="949"/>
        <item x="554"/>
        <item x="1209"/>
        <item x="1111"/>
        <item x="179"/>
        <item x="1189"/>
        <item x="325"/>
        <item x="723"/>
        <item x="103"/>
        <item x="749"/>
        <item x="1097"/>
        <item x="1006"/>
        <item x="853"/>
        <item x="1486"/>
        <item x="1053"/>
        <item x="1007"/>
        <item x="796"/>
        <item x="555"/>
        <item x="1220"/>
        <item x="64"/>
        <item x="1429"/>
        <item x="1175"/>
        <item x="486"/>
        <item x="240"/>
        <item x="1346"/>
        <item x="669"/>
        <item x="1112"/>
        <item x="1440"/>
        <item x="1519"/>
        <item x="766"/>
        <item x="649"/>
        <item x="1328"/>
        <item x="950"/>
        <item x="302"/>
        <item x="866"/>
        <item x="854"/>
        <item x="1542"/>
        <item x="440"/>
        <item x="1259"/>
        <item x="1441"/>
        <item x="1380"/>
        <item x="391"/>
        <item x="825"/>
        <item x="1221"/>
        <item x="998"/>
        <item x="978"/>
        <item x="241"/>
        <item x="650"/>
        <item x="425"/>
        <item x="133"/>
        <item x="1054"/>
        <item x="628"/>
        <item x="538"/>
        <item x="65"/>
        <item x="703"/>
        <item x="1520"/>
        <item x="228"/>
        <item x="1210"/>
        <item x="303"/>
        <item x="1381"/>
        <item x="1442"/>
        <item x="855"/>
        <item x="149"/>
        <item x="242"/>
        <item x="506"/>
        <item x="839"/>
        <item x="651"/>
        <item x="458"/>
        <item x="687"/>
        <item x="507"/>
        <item x="1521"/>
        <item x="856"/>
        <item x="283"/>
        <item x="487"/>
        <item x="1247"/>
        <item x="670"/>
        <item x="13"/>
        <item x="378"/>
        <item x="508"/>
        <item x="884"/>
        <item x="459"/>
        <item x="180"/>
        <item x="1522"/>
        <item x="1125"/>
        <item x="284"/>
        <item x="1443"/>
        <item x="724"/>
        <item x="304"/>
        <item x="885"/>
        <item x="1008"/>
        <item x="615"/>
        <item x="1382"/>
        <item x="935"/>
        <item x="1065"/>
        <item x="474"/>
        <item x="570"/>
        <item x="1461"/>
        <item x="1290"/>
        <item x="725"/>
        <item x="810"/>
        <item x="1148"/>
        <item x="583"/>
        <item x="41"/>
        <item x="1055"/>
        <item x="343"/>
        <item x="257"/>
        <item x="970"/>
        <item x="1395"/>
        <item x="726"/>
        <item x="750"/>
        <item x="1503"/>
        <item x="1504"/>
        <item x="1523"/>
        <item x="119"/>
        <item x="688"/>
        <item x="1211"/>
        <item x="797"/>
        <item x="406"/>
        <item x="171"/>
        <item x="134"/>
        <item x="379"/>
        <item x="1026"/>
        <item x="727"/>
        <item x="886"/>
        <item x="441"/>
        <item x="1212"/>
        <item x="475"/>
        <item x="407"/>
        <item x="1396"/>
        <item x="1113"/>
        <item x="191"/>
        <item x="1066"/>
        <item x="82"/>
        <item x="83"/>
        <item x="798"/>
        <item x="826"/>
        <item x="811"/>
        <item x="120"/>
        <item x="1079"/>
        <item x="616"/>
        <item x="135"/>
        <item x="1231"/>
        <item x="150"/>
        <item x="476"/>
        <item x="920"/>
        <item x="488"/>
        <item x="271"/>
        <item x="1149"/>
        <item x="887"/>
        <item x="737"/>
        <item x="903"/>
        <item x="1430"/>
        <item x="326"/>
        <item x="518"/>
        <item x="408"/>
        <item x="1444"/>
        <item x="151"/>
        <item x="243"/>
        <item x="1445"/>
        <item x="181"/>
        <item x="182"/>
        <item x="951"/>
        <item x="365"/>
        <item x="617"/>
        <item x="1222"/>
        <item x="489"/>
        <item x="14"/>
        <item x="936"/>
        <item x="867"/>
        <item x="1232"/>
        <item x="1505"/>
        <item x="584"/>
        <item x="1446"/>
        <item x="1447"/>
        <item x="380"/>
        <item x="1176"/>
        <item x="1543"/>
        <item x="1448"/>
        <item x="285"/>
        <item x="812"/>
        <item x="813"/>
        <item x="344"/>
        <item x="207"/>
        <item x="381"/>
        <item x="1080"/>
        <item x="66"/>
        <item x="704"/>
        <item x="1487"/>
        <item x="652"/>
        <item x="305"/>
        <item x="999"/>
        <item x="1449"/>
        <item x="1506"/>
        <item x="1308"/>
        <item x="121"/>
        <item x="1009"/>
        <item x="653"/>
        <item x="366"/>
        <item x="629"/>
        <item x="1450"/>
        <item x="1165"/>
        <item x="1150"/>
        <item x="868"/>
        <item x="840"/>
        <item x="1010"/>
        <item x="585"/>
        <item x="888"/>
        <item x="84"/>
        <item x="1383"/>
        <item x="671"/>
        <item x="136"/>
        <item x="1151"/>
        <item x="1223"/>
        <item x="208"/>
        <item x="367"/>
        <item x="1233"/>
        <item x="1363"/>
        <item x="1067"/>
        <item x="705"/>
        <item x="192"/>
        <item x="382"/>
        <item x="1068"/>
        <item x="229"/>
        <item x="1507"/>
        <item x="869"/>
        <item x="1347"/>
        <item x="172"/>
        <item x="1190"/>
        <item x="1126"/>
        <item x="799"/>
        <item x="1397"/>
        <item x="368"/>
        <item x="327"/>
        <item x="519"/>
        <item x="767"/>
        <item x="1309"/>
        <item x="889"/>
        <item x="1462"/>
        <item x="979"/>
        <item x="841"/>
        <item x="460"/>
        <item x="921"/>
        <item x="383"/>
        <item x="1027"/>
        <item x="193"/>
        <item x="426"/>
        <item x="768"/>
        <item x="1127"/>
        <item x="461"/>
        <item x="630"/>
        <item x="1114"/>
        <item x="980"/>
        <item x="1348"/>
        <item x="971"/>
        <item x="384"/>
        <item x="1463"/>
        <item x="782"/>
        <item x="600"/>
        <item x="1488"/>
        <item x="1056"/>
        <item x="654"/>
        <item x="952"/>
        <item x="1039"/>
        <item x="586"/>
        <item x="751"/>
        <item x="152"/>
        <item x="738"/>
        <item x="1098"/>
        <item x="42"/>
        <item x="1451"/>
        <item x="601"/>
        <item x="904"/>
        <item x="1489"/>
        <item x="462"/>
        <item x="490"/>
        <item x="272"/>
        <item x="137"/>
        <item x="530"/>
        <item x="286"/>
        <item x="258"/>
        <item x="1040"/>
        <item x="539"/>
        <item x="409"/>
        <item x="706"/>
        <item x="67"/>
        <item x="43"/>
        <item x="183"/>
        <item x="392"/>
        <item x="1298"/>
        <item x="153"/>
        <item x="842"/>
        <item x="410"/>
        <item x="1248"/>
        <item x="618"/>
        <item x="194"/>
        <item x="953"/>
        <item x="1476"/>
        <item x="556"/>
        <item x="1490"/>
        <item x="1069"/>
        <item x="557"/>
        <item x="769"/>
        <item x="259"/>
        <item x="1234"/>
        <item x="1349"/>
        <item x="905"/>
        <item x="1166"/>
        <item x="770"/>
        <item x="195"/>
        <item x="771"/>
        <item x="385"/>
        <item x="260"/>
        <item x="345"/>
        <item x="1070"/>
        <item x="602"/>
        <item x="230"/>
        <item x="1137"/>
        <item x="244"/>
        <item x="209"/>
        <item x="1138"/>
        <item x="1464"/>
        <item x="1268"/>
        <item x="558"/>
        <item x="1269"/>
        <item x="1544"/>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1447">
        <item x="1378"/>
        <item x="543"/>
        <item x="1375"/>
        <item x="695"/>
        <item x="1300"/>
        <item x="923"/>
        <item x="1225"/>
        <item x="720"/>
        <item x="1127"/>
        <item x="1179"/>
        <item x="136"/>
        <item x="646"/>
        <item x="412"/>
        <item x="595"/>
        <item x="1182"/>
        <item x="1247"/>
        <item x="444"/>
        <item x="265"/>
        <item x="598"/>
        <item x="1391"/>
        <item x="647"/>
        <item x="1024"/>
        <item x="273"/>
        <item x="936"/>
        <item x="1419"/>
        <item x="1373"/>
        <item x="1207"/>
        <item x="348"/>
        <item x="1113"/>
        <item x="664"/>
        <item x="1027"/>
        <item x="479"/>
        <item x="894"/>
        <item x="420"/>
        <item x="571"/>
        <item x="1425"/>
        <item x="1206"/>
        <item x="631"/>
        <item x="1343"/>
        <item x="1234"/>
        <item x="1257"/>
        <item x="926"/>
        <item x="225"/>
        <item x="795"/>
        <item x="1175"/>
        <item x="658"/>
        <item x="887"/>
        <item x="473"/>
        <item x="765"/>
        <item x="640"/>
        <item x="228"/>
        <item x="378"/>
        <item x="776"/>
        <item x="576"/>
        <item x="83"/>
        <item x="305"/>
        <item x="1414"/>
        <item x="856"/>
        <item x="1012"/>
        <item x="1329"/>
        <item x="1014"/>
        <item x="122"/>
        <item x="1037"/>
        <item x="480"/>
        <item x="238"/>
        <item x="449"/>
        <item x="1065"/>
        <item x="491"/>
        <item x="212"/>
        <item x="328"/>
        <item x="1333"/>
        <item x="1381"/>
        <item x="1202"/>
        <item x="611"/>
        <item x="1053"/>
        <item x="1124"/>
        <item x="287"/>
        <item x="960"/>
        <item x="7"/>
        <item x="755"/>
        <item x="1040"/>
        <item x="1089"/>
        <item x="1393"/>
        <item x="1138"/>
        <item x="446"/>
        <item x="893"/>
        <item x="231"/>
        <item x="924"/>
        <item x="2"/>
        <item x="1101"/>
        <item x="47"/>
        <item x="680"/>
        <item x="118"/>
        <item x="667"/>
        <item x="1171"/>
        <item x="1172"/>
        <item x="436"/>
        <item x="347"/>
        <item x="944"/>
        <item x="896"/>
        <item x="485"/>
        <item x="1185"/>
        <item x="903"/>
        <item x="1292"/>
        <item x="1323"/>
        <item x="1374"/>
        <item x="85"/>
        <item x="1201"/>
        <item x="1444"/>
        <item x="1034"/>
        <item x="1360"/>
        <item x="713"/>
        <item x="1424"/>
        <item x="1353"/>
        <item x="1289"/>
        <item x="1359"/>
        <item x="1004"/>
        <item x="980"/>
        <item x="1222"/>
        <item x="1010"/>
        <item x="1022"/>
        <item x="629"/>
        <item x="812"/>
        <item x="10"/>
        <item x="463"/>
        <item x="46"/>
        <item x="623"/>
        <item x="651"/>
        <item x="753"/>
        <item x="442"/>
        <item x="493"/>
        <item x="1263"/>
        <item x="1396"/>
        <item x="506"/>
        <item x="1177"/>
        <item x="1189"/>
        <item x="608"/>
        <item x="130"/>
        <item x="818"/>
        <item x="835"/>
        <item x="101"/>
        <item x="742"/>
        <item x="901"/>
        <item x="368"/>
        <item x="1161"/>
        <item x="1319"/>
        <item x="849"/>
        <item x="1241"/>
        <item x="654"/>
        <item x="860"/>
        <item x="790"/>
        <item x="124"/>
        <item x="771"/>
        <item x="1238"/>
        <item x="1142"/>
        <item x="134"/>
        <item x="86"/>
        <item x="1039"/>
        <item x="329"/>
        <item x="737"/>
        <item x="492"/>
        <item x="394"/>
        <item x="847"/>
        <item x="1420"/>
        <item x="1299"/>
        <item x="507"/>
        <item x="143"/>
        <item x="723"/>
        <item x="346"/>
        <item x="18"/>
        <item x="1337"/>
        <item x="912"/>
        <item x="203"/>
        <item x="224"/>
        <item x="694"/>
        <item x="345"/>
        <item x="992"/>
        <item x="24"/>
        <item x="1302"/>
        <item x="1245"/>
        <item x="950"/>
        <item x="965"/>
        <item x="1357"/>
        <item x="873"/>
        <item x="64"/>
        <item x="511"/>
        <item x="404"/>
        <item x="218"/>
        <item x="949"/>
        <item x="759"/>
        <item x="174"/>
        <item x="793"/>
        <item x="165"/>
        <item x="1075"/>
        <item x="804"/>
        <item x="562"/>
        <item x="749"/>
        <item x="687"/>
        <item x="917"/>
        <item x="1215"/>
        <item x="690"/>
        <item x="1303"/>
        <item x="833"/>
        <item x="102"/>
        <item x="281"/>
        <item x="132"/>
        <item x="1328"/>
        <item x="638"/>
        <item x="1047"/>
        <item x="1093"/>
        <item x="450"/>
        <item x="584"/>
        <item x="761"/>
        <item x="516"/>
        <item x="613"/>
        <item x="752"/>
        <item x="298"/>
        <item x="488"/>
        <item x="363"/>
        <item x="1121"/>
        <item x="704"/>
        <item x="778"/>
        <item x="375"/>
        <item x="471"/>
        <item x="34"/>
        <item x="811"/>
        <item x="854"/>
        <item x="1136"/>
        <item x="1100"/>
        <item x="358"/>
        <item x="1445"/>
        <item x="1408"/>
        <item x="679"/>
        <item x="872"/>
        <item x="197"/>
        <item x="1106"/>
        <item x="672"/>
        <item x="634"/>
        <item x="1287"/>
        <item x="350"/>
        <item x="1377"/>
        <item x="1159"/>
        <item x="135"/>
        <item x="1410"/>
        <item x="525"/>
        <item x="468"/>
        <item x="813"/>
        <item x="857"/>
        <item x="6"/>
        <item x="736"/>
        <item x="280"/>
        <item x="1442"/>
        <item x="1224"/>
        <item x="764"/>
        <item x="1026"/>
        <item x="971"/>
        <item x="311"/>
        <item x="564"/>
        <item x="1019"/>
        <item x="1163"/>
        <item x="797"/>
        <item x="751"/>
        <item x="538"/>
        <item x="837"/>
        <item x="529"/>
        <item x="605"/>
        <item x="789"/>
        <item x="1416"/>
        <item x="1297"/>
        <item x="1055"/>
        <item x="879"/>
        <item x="806"/>
        <item x="575"/>
        <item x="39"/>
        <item x="440"/>
        <item x="227"/>
        <item x="1440"/>
        <item x="767"/>
        <item x="29"/>
        <item x="937"/>
        <item x="313"/>
        <item x="1209"/>
        <item x="356"/>
        <item x="1426"/>
        <item x="424"/>
        <item x="641"/>
        <item x="487"/>
        <item x="744"/>
        <item x="43"/>
        <item x="1365"/>
        <item x="105"/>
        <item x="750"/>
        <item x="257"/>
        <item x="1074"/>
        <item x="888"/>
        <item x="14"/>
        <item x="1186"/>
        <item x="70"/>
        <item x="580"/>
        <item x="1282"/>
        <item x="419"/>
        <item x="267"/>
        <item x="563"/>
        <item x="954"/>
        <item x="1062"/>
        <item x="1200"/>
        <item x="1239"/>
        <item x="1390"/>
        <item x="991"/>
        <item x="44"/>
        <item x="897"/>
        <item x="719"/>
        <item x="858"/>
        <item x="524"/>
        <item x="589"/>
        <item x="282"/>
        <item x="618"/>
        <item x="587"/>
        <item x="1314"/>
        <item x="1349"/>
        <item x="244"/>
        <item x="619"/>
        <item x="661"/>
        <item x="829"/>
        <item x="677"/>
        <item x="1355"/>
        <item x="1036"/>
        <item x="688"/>
        <item x="392"/>
        <item x="801"/>
        <item x="526"/>
        <item x="747"/>
        <item x="1275"/>
        <item x="1348"/>
        <item x="271"/>
        <item x="920"/>
        <item x="785"/>
        <item x="1422"/>
        <item x="891"/>
        <item x="508"/>
        <item x="715"/>
        <item x="551"/>
        <item x="519"/>
        <item x="986"/>
        <item x="536"/>
        <item x="836"/>
        <item x="279"/>
        <item x="205"/>
        <item x="552"/>
        <item x="142"/>
        <item x="464"/>
        <item x="966"/>
        <item x="100"/>
        <item x="1020"/>
        <item x="786"/>
        <item x="1259"/>
        <item x="283"/>
        <item x="344"/>
        <item x="642"/>
        <item x="1214"/>
        <item x="862"/>
        <item x="532"/>
        <item x="156"/>
        <item x="1112"/>
        <item x="1248"/>
        <item x="1002"/>
        <item x="521"/>
        <item x="724"/>
        <item x="725"/>
        <item x="989"/>
        <item x="1405"/>
        <item x="961"/>
        <item x="456"/>
        <item x="726"/>
        <item x="1318"/>
        <item x="909"/>
        <item x="185"/>
        <item x="1336"/>
        <item x="1025"/>
        <item x="681"/>
        <item x="1330"/>
        <item x="1193"/>
        <item x="429"/>
        <item x="1421"/>
        <item x="314"/>
        <item x="1435"/>
        <item x="1152"/>
        <item x="1267"/>
        <item x="354"/>
        <item x="1311"/>
        <item x="1232"/>
        <item x="559"/>
        <item x="542"/>
        <item x="451"/>
        <item x="1030"/>
        <item x="332"/>
        <item x="653"/>
        <item x="509"/>
        <item x="561"/>
        <item x="784"/>
        <item x="548"/>
        <item x="632"/>
        <item x="1219"/>
        <item x="691"/>
        <item x="573"/>
        <item x="204"/>
        <item x="817"/>
        <item x="1033"/>
        <item x="60"/>
        <item x="377"/>
        <item x="322"/>
        <item x="610"/>
        <item x="459"/>
        <item x="1061"/>
        <item x="663"/>
        <item x="834"/>
        <item x="1007"/>
        <item x="503"/>
        <item x="527"/>
        <item x="869"/>
        <item x="1290"/>
        <item x="361"/>
        <item x="807"/>
        <item x="1371"/>
        <item x="1286"/>
        <item x="674"/>
        <item x="341"/>
        <item x="1376"/>
        <item x="741"/>
        <item x="1411"/>
        <item x="148"/>
        <item x="1035"/>
        <item x="486"/>
        <item x="240"/>
        <item x="659"/>
        <item x="639"/>
        <item x="819"/>
        <item x="787"/>
        <item x="133"/>
        <item x="61"/>
        <item x="810"/>
        <item x="242"/>
        <item x="458"/>
        <item x="466"/>
        <item x="110"/>
        <item x="180"/>
        <item x="607"/>
        <item x="308"/>
        <item x="599"/>
        <item x="731"/>
        <item x="120"/>
        <item x="1162"/>
        <item x="840"/>
        <item x="518"/>
        <item x="1397"/>
        <item x="972"/>
        <item x="366"/>
        <item x="1084"/>
        <item x="799"/>
        <item x="578"/>
        <item x="1388"/>
        <item x="104"/>
        <item x="477"/>
        <item x="777"/>
        <item x="512"/>
        <item x="303"/>
        <item x="138"/>
        <item x="889"/>
        <item x="1051"/>
        <item x="539"/>
        <item x="1086"/>
        <item x="930"/>
        <item x="1260"/>
        <item x="890"/>
        <item x="262"/>
        <item x="1429"/>
        <item x="1293"/>
        <item x="1144"/>
        <item x="369"/>
        <item x="861"/>
        <item x="411"/>
        <item x="71"/>
        <item x="1261"/>
        <item x="370"/>
        <item x="1194"/>
        <item x="1436"/>
        <item x="188"/>
        <item x="1057"/>
        <item x="387"/>
        <item x="52"/>
        <item x="399"/>
        <item x="830"/>
        <item x="1322"/>
        <item x="374"/>
        <item x="513"/>
        <item x="1220"/>
        <item x="970"/>
        <item x="983"/>
        <item x="827"/>
        <item x="176"/>
        <item x="1403"/>
        <item x="211"/>
        <item x="319"/>
        <item x="1262"/>
        <item x="1315"/>
        <item x="35"/>
        <item x="264"/>
        <item x="1306"/>
        <item x="1105"/>
        <item x="932"/>
        <item x="892"/>
        <item x="1309"/>
        <item x="1115"/>
        <item x="365"/>
        <item x="987"/>
        <item x="1246"/>
        <item x="908"/>
        <item x="948"/>
        <item x="621"/>
        <item x="1401"/>
        <item x="323"/>
        <item x="1191"/>
        <item x="565"/>
        <item x="1351"/>
        <item x="1345"/>
        <item x="844"/>
        <item x="1111"/>
        <item x="1145"/>
        <item x="285"/>
        <item x="1052"/>
        <item x="933"/>
        <item x="1203"/>
        <item x="425"/>
        <item x="59"/>
        <item x="17"/>
        <item x="393"/>
        <item x="1372"/>
        <item x="1128"/>
        <item x="79"/>
        <item x="220"/>
        <item x="372"/>
        <item x="478"/>
        <item x="1005"/>
        <item x="380"/>
        <item x="805"/>
        <item x="689"/>
        <item x="232"/>
        <item x="935"/>
        <item x="19"/>
        <item x="1090"/>
        <item x="931"/>
        <item x="233"/>
        <item x="1054"/>
        <item x="962"/>
        <item x="700"/>
        <item x="682"/>
        <item x="990"/>
        <item x="500"/>
        <item x="414"/>
        <item x="250"/>
        <item x="349"/>
        <item x="939"/>
        <item x="140"/>
        <item x="88"/>
        <item x="1094"/>
        <item x="911"/>
        <item x="745"/>
        <item x="76"/>
        <item x="248"/>
        <item x="791"/>
        <item x="940"/>
        <item x="1384"/>
        <item x="396"/>
        <item x="1068"/>
        <item x="1"/>
        <item x="1340"/>
        <item x="567"/>
        <item x="72"/>
        <item x="1251"/>
        <item x="624"/>
        <item x="1091"/>
        <item x="1285"/>
        <item x="194"/>
        <item x="50"/>
        <item x="1167"/>
        <item x="49"/>
        <item x="1076"/>
        <item x="1210"/>
        <item x="94"/>
        <item x="433"/>
        <item x="523"/>
        <item x="782"/>
        <item x="1223"/>
        <item x="417"/>
        <item x="55"/>
        <item x="114"/>
        <item x="99"/>
        <item x="90"/>
        <item x="880"/>
        <item x="1431"/>
        <item x="26"/>
        <item x="914"/>
        <item x="266"/>
        <item x="432"/>
        <item x="293"/>
        <item x="489"/>
        <item x="1069"/>
        <item x="416"/>
        <item x="1114"/>
        <item x="448"/>
        <item x="401"/>
        <item x="315"/>
        <item x="588"/>
        <item x="77"/>
        <item x="409"/>
        <item x="656"/>
        <item x="222"/>
        <item x="1137"/>
        <item x="95"/>
        <item x="716"/>
        <item x="733"/>
        <item x="652"/>
        <item x="398"/>
        <item x="760"/>
        <item x="586"/>
        <item x="1369"/>
        <item x="1226"/>
        <item x="388"/>
        <item x="942"/>
        <item x="832"/>
        <item x="1307"/>
        <item x="913"/>
        <item x="698"/>
        <item x="147"/>
        <item x="103"/>
        <item x="153"/>
        <item x="541"/>
        <item x="82"/>
        <item x="754"/>
        <item x="1433"/>
        <item x="1406"/>
        <item x="307"/>
        <item x="1276"/>
        <item x="1217"/>
        <item x="1278"/>
        <item x="1155"/>
        <item x="866"/>
        <item x="1317"/>
        <item x="770"/>
        <item x="1103"/>
        <item x="158"/>
        <item x="434"/>
        <item x="1274"/>
        <item x="615"/>
        <item x="1395"/>
        <item x="455"/>
        <item x="56"/>
        <item x="1352"/>
        <item x="157"/>
        <item x="4"/>
        <item x="1117"/>
        <item x="261"/>
        <item x="943"/>
        <item x="161"/>
        <item x="1058"/>
        <item x="762"/>
        <item x="117"/>
        <item x="343"/>
        <item x="381"/>
        <item x="648"/>
        <item x="75"/>
        <item x="781"/>
        <item x="614"/>
        <item x="921"/>
        <item x="1073"/>
        <item x="969"/>
        <item x="673"/>
        <item x="1205"/>
        <item x="504"/>
        <item x="73"/>
        <item x="735"/>
        <item x="1389"/>
        <item x="1015"/>
        <item x="863"/>
        <item x="1383"/>
        <item x="309"/>
        <item x="1250"/>
        <item x="702"/>
        <item x="431"/>
        <item x="290"/>
        <item x="699"/>
        <item x="33"/>
        <item x="963"/>
        <item x="310"/>
        <item x="756"/>
        <item x="535"/>
        <item x="1211"/>
        <item x="645"/>
        <item x="175"/>
        <item x="1043"/>
        <item x="528"/>
        <item x="164"/>
        <item x="1009"/>
        <item x="1413"/>
        <item x="1109"/>
        <item x="1050"/>
        <item x="904"/>
        <item x="501"/>
        <item x="945"/>
        <item x="1417"/>
        <item x="1107"/>
        <item x="853"/>
        <item x="1308"/>
        <item x="848"/>
        <item x="644"/>
        <item x="259"/>
        <item x="1298"/>
        <item x="1434"/>
        <item x="1195"/>
        <item x="843"/>
        <item x="637"/>
        <item x="976"/>
        <item x="1157"/>
        <item x="330"/>
        <item x="333"/>
        <item x="718"/>
        <item x="1023"/>
        <item x="28"/>
        <item x="123"/>
        <item x="697"/>
        <item x="734"/>
        <item x="1430"/>
        <item x="16"/>
        <item x="520"/>
        <item x="1335"/>
        <item x="1295"/>
        <item x="622"/>
        <item x="846"/>
        <item x="701"/>
        <item x="1301"/>
        <item x="12"/>
        <item x="334"/>
        <item x="994"/>
        <item x="146"/>
        <item x="1258"/>
        <item x="1439"/>
        <item x="300"/>
        <item x="1060"/>
        <item x="1118"/>
        <item x="476"/>
        <item x="947"/>
        <item x="1229"/>
        <item x="1099"/>
        <item x="154"/>
        <item x="1404"/>
        <item x="213"/>
        <item x="1418"/>
        <item x="1003"/>
        <item x="1008"/>
        <item x="1204"/>
        <item x="597"/>
        <item x="662"/>
        <item x="1126"/>
        <item x="875"/>
        <item x="1146"/>
        <item x="779"/>
        <item x="864"/>
        <item x="938"/>
        <item x="465"/>
        <item x="312"/>
        <item x="1184"/>
        <item x="1067"/>
        <item x="48"/>
        <item x="1310"/>
        <item x="58"/>
        <item x="596"/>
        <item x="1398"/>
        <item x="922"/>
        <item x="732"/>
        <item x="214"/>
        <item x="822"/>
        <item x="593"/>
        <item x="8"/>
        <item x="470"/>
        <item x="131"/>
        <item x="1279"/>
        <item x="1212"/>
        <item x="975"/>
        <item x="198"/>
        <item x="814"/>
        <item x="1071"/>
        <item x="967"/>
        <item x="497"/>
        <item x="128"/>
        <item x="884"/>
        <item x="215"/>
        <item x="160"/>
        <item x="555"/>
        <item x="190"/>
        <item x="850"/>
        <item x="170"/>
        <item x="1199"/>
        <item x="316"/>
        <item x="1254"/>
        <item x="1394"/>
        <item x="792"/>
        <item x="127"/>
        <item x="93"/>
        <item x="626"/>
        <item x="355"/>
        <item x="668"/>
        <item x="803"/>
        <item x="389"/>
        <item x="604"/>
        <item x="815"/>
        <item x="1324"/>
        <item x="269"/>
        <item x="402"/>
        <item x="1237"/>
        <item x="1327"/>
        <item x="376"/>
        <item x="98"/>
        <item x="1045"/>
        <item x="168"/>
        <item x="364"/>
        <item x="927"/>
        <item x="241"/>
        <item x="711"/>
        <item x="1154"/>
        <item x="193"/>
        <item x="272"/>
        <item x="1400"/>
        <item x="209"/>
        <item x="934"/>
        <item x="570"/>
        <item x="268"/>
        <item x="113"/>
        <item x="362"/>
        <item x="192"/>
        <item x="383"/>
        <item x="490"/>
        <item x="324"/>
        <item x="1013"/>
        <item x="111"/>
        <item x="558"/>
        <item x="352"/>
        <item x="686"/>
        <item x="592"/>
        <item x="1149"/>
        <item x="155"/>
        <item x="727"/>
        <item x="1321"/>
        <item x="1092"/>
        <item x="112"/>
        <item x="1342"/>
        <item x="454"/>
        <item x="560"/>
        <item x="339"/>
        <item x="1160"/>
        <item x="919"/>
        <item x="1079"/>
        <item x="1441"/>
        <item x="997"/>
        <item x="1108"/>
        <item x="460"/>
        <item x="1063"/>
        <item x="195"/>
        <item x="1097"/>
        <item x="208"/>
        <item x="609"/>
        <item x="1231"/>
        <item x="252"/>
        <item x="236"/>
        <item x="163"/>
        <item x="294"/>
        <item x="1385"/>
        <item x="21"/>
        <item x="1166"/>
        <item x="1080"/>
        <item x="200"/>
        <item x="353"/>
        <item x="915"/>
        <item x="1056"/>
        <item x="249"/>
        <item x="1280"/>
        <item x="397"/>
        <item x="251"/>
        <item x="705"/>
        <item x="867"/>
        <item x="1041"/>
        <item x="612"/>
        <item x="438"/>
        <item x="270"/>
        <item x="263"/>
        <item x="1001"/>
        <item x="1363"/>
        <item x="816"/>
        <item x="1147"/>
        <item x="669"/>
        <item x="173"/>
        <item x="297"/>
        <item x="400"/>
        <item x="603"/>
        <item x="729"/>
        <item x="910"/>
        <item x="633"/>
        <item x="636"/>
        <item x="796"/>
        <item x="40"/>
        <item x="256"/>
        <item x="1256"/>
        <item x="740"/>
        <item x="295"/>
        <item x="326"/>
        <item x="1198"/>
        <item x="973"/>
        <item x="63"/>
        <item x="617"/>
        <item x="809"/>
        <item x="876"/>
        <item x="1164"/>
        <item x="121"/>
        <item x="671"/>
        <item x="577"/>
        <item x="902"/>
        <item x="367"/>
        <item x="1228"/>
        <item x="299"/>
        <item x="600"/>
        <item x="1270"/>
        <item x="1066"/>
        <item x="1249"/>
        <item x="877"/>
        <item x="494"/>
        <item x="916"/>
        <item x="1268"/>
        <item x="1354"/>
        <item x="1059"/>
        <item x="422"/>
        <item x="1218"/>
        <item x="1048"/>
        <item x="84"/>
        <item x="553"/>
        <item x="650"/>
        <item x="36"/>
        <item x="655"/>
        <item x="423"/>
        <item x="502"/>
        <item x="859"/>
        <item x="1000"/>
        <item x="557"/>
        <item x="496"/>
        <item x="630"/>
        <item x="1367"/>
        <item x="1011"/>
        <item x="9"/>
        <item x="292"/>
        <item x="1356"/>
        <item x="1190"/>
        <item x="1221"/>
        <item x="1173"/>
        <item x="544"/>
        <item x="968"/>
        <item x="1046"/>
        <item x="66"/>
        <item x="531"/>
        <item x="327"/>
        <item x="152"/>
        <item x="78"/>
        <item x="1368"/>
        <item x="137"/>
        <item x="721"/>
        <item x="210"/>
        <item x="1344"/>
        <item x="1187"/>
        <item x="469"/>
        <item x="1325"/>
        <item x="286"/>
        <item x="1326"/>
        <item x="53"/>
        <item x="627"/>
        <item x="45"/>
        <item x="783"/>
        <item x="229"/>
        <item x="706"/>
        <item x="828"/>
        <item x="428"/>
        <item x="1269"/>
        <item x="162"/>
        <item x="481"/>
        <item x="335"/>
        <item x="628"/>
        <item x="1110"/>
        <item x="1272"/>
        <item x="357"/>
        <item x="413"/>
        <item x="905"/>
        <item x="1361"/>
        <item x="883"/>
        <item x="1188"/>
        <item x="336"/>
        <item x="483"/>
        <item x="556"/>
        <item x="191"/>
        <item x="1196"/>
        <item x="359"/>
        <item x="1235"/>
        <item x="499"/>
        <item x="881"/>
        <item x="129"/>
        <item x="338"/>
        <item x="275"/>
        <item x="1049"/>
        <item x="808"/>
        <item x="171"/>
        <item x="1044"/>
        <item x="331"/>
        <item x="925"/>
        <item x="177"/>
        <item x="1139"/>
        <item x="1253"/>
        <item x="1216"/>
        <item x="851"/>
        <item x="461"/>
        <item x="743"/>
        <item x="579"/>
        <item x="800"/>
        <item x="289"/>
        <item x="445"/>
        <item x="65"/>
        <item x="382"/>
        <item x="842"/>
        <item x="982"/>
        <item x="1415"/>
        <item x="929"/>
        <item x="384"/>
        <item x="979"/>
        <item x="1240"/>
        <item x="11"/>
        <item x="601"/>
        <item x="167"/>
        <item x="1288"/>
        <item x="1409"/>
        <item x="1358"/>
        <item x="403"/>
        <item x="96"/>
        <item x="360"/>
        <item x="898"/>
        <item x="773"/>
        <item x="80"/>
        <item x="1387"/>
        <item x="178"/>
        <item x="385"/>
        <item x="472"/>
        <item x="5"/>
        <item x="707"/>
        <item x="899"/>
        <item x="373"/>
        <item x="27"/>
        <item x="900"/>
        <item x="953"/>
        <item x="81"/>
        <item x="439"/>
        <item x="1443"/>
        <item x="625"/>
        <item x="1119"/>
        <item x="870"/>
        <item x="1339"/>
        <item x="1038"/>
        <item x="498"/>
        <item x="181"/>
        <item x="1153"/>
        <item x="1346"/>
        <item x="855"/>
        <item x="676"/>
        <item x="1347"/>
        <item x="342"/>
        <item x="1072"/>
        <item x="235"/>
        <item x="1151"/>
        <item x="1277"/>
        <item x="666"/>
        <item x="159"/>
        <item x="23"/>
        <item x="1412"/>
        <item x="946"/>
        <item x="585"/>
        <item x="590"/>
        <item x="1427"/>
        <item x="995"/>
        <item x="284"/>
        <item x="1178"/>
        <item x="660"/>
        <item x="340"/>
        <item x="22"/>
        <item x="730"/>
        <item x="1350"/>
        <item x="748"/>
        <item x="977"/>
        <item x="1176"/>
        <item x="606"/>
        <item x="998"/>
        <item x="230"/>
        <item x="746"/>
        <item x="1130"/>
        <item x="1255"/>
        <item x="1122"/>
        <item x="15"/>
        <item x="1123"/>
        <item x="69"/>
        <item x="1294"/>
        <item x="906"/>
        <item x="988"/>
        <item x="1087"/>
        <item x="845"/>
        <item x="1016"/>
        <item x="20"/>
        <item x="274"/>
        <item x="826"/>
        <item x="665"/>
        <item x="430"/>
        <item x="649"/>
        <item x="964"/>
        <item x="1133"/>
        <item x="296"/>
        <item x="57"/>
        <item x="572"/>
        <item x="547"/>
        <item x="1032"/>
        <item x="574"/>
        <item x="852"/>
        <item x="321"/>
        <item x="25"/>
        <item x="1304"/>
        <item x="886"/>
        <item x="62"/>
        <item x="549"/>
        <item x="871"/>
        <item x="457"/>
        <item x="325"/>
        <item x="709"/>
        <item x="838"/>
        <item x="407"/>
        <item x="1021"/>
        <item x="172"/>
        <item x="530"/>
        <item x="594"/>
        <item x="554"/>
        <item x="546"/>
        <item x="1407"/>
        <item x="1437"/>
        <item x="1313"/>
        <item x="505"/>
        <item x="1370"/>
        <item x="874"/>
        <item x="418"/>
        <item x="1098"/>
        <item x="189"/>
        <item x="1265"/>
        <item x="51"/>
        <item x="421"/>
        <item x="217"/>
        <item x="253"/>
        <item x="693"/>
        <item x="1181"/>
        <item x="196"/>
        <item x="540"/>
        <item x="1244"/>
        <item x="30"/>
        <item x="31"/>
        <item x="306"/>
        <item x="1168"/>
        <item x="510"/>
        <item x="825"/>
        <item x="1208"/>
        <item x="683"/>
        <item x="757"/>
        <item x="187"/>
        <item x="1170"/>
        <item x="1252"/>
        <item x="993"/>
        <item x="978"/>
        <item x="1042"/>
        <item x="1006"/>
        <item x="482"/>
        <item x="831"/>
        <item x="1070"/>
        <item x="1158"/>
        <item x="657"/>
        <item x="37"/>
        <item x="738"/>
        <item x="1236"/>
        <item x="277"/>
        <item x="1081"/>
        <item x="1148"/>
        <item x="692"/>
        <item x="206"/>
        <item x="708"/>
        <item x="301"/>
        <item x="775"/>
        <item x="391"/>
        <item x="1141"/>
        <item x="798"/>
        <item x="406"/>
        <item x="441"/>
        <item x="957"/>
        <item x="1291"/>
        <item x="1135"/>
        <item x="643"/>
        <item x="38"/>
        <item x="1243"/>
        <item x="823"/>
        <item x="126"/>
        <item x="41"/>
        <item x="255"/>
        <item x="710"/>
        <item x="304"/>
        <item x="216"/>
        <item x="474"/>
        <item x="999"/>
        <item x="320"/>
        <item x="437"/>
        <item x="1428"/>
        <item x="678"/>
        <item x="119"/>
        <item x="184"/>
        <item x="839"/>
        <item x="1143"/>
        <item x="151"/>
        <item x="221"/>
        <item x="243"/>
        <item x="1362"/>
        <item x="467"/>
        <item x="583"/>
        <item x="139"/>
        <item x="201"/>
        <item x="54"/>
        <item x="1271"/>
        <item x="820"/>
        <item x="106"/>
        <item x="1183"/>
        <item x="1125"/>
        <item x="415"/>
        <item x="865"/>
        <item x="885"/>
        <item x="317"/>
        <item x="670"/>
        <item x="1028"/>
        <item x="1213"/>
        <item x="254"/>
        <item x="1392"/>
        <item x="1104"/>
        <item x="410"/>
        <item x="405"/>
        <item x="1312"/>
        <item x="1227"/>
        <item x="169"/>
        <item x="794"/>
        <item x="941"/>
        <item x="1102"/>
        <item x="125"/>
        <item x="89"/>
        <item x="0"/>
        <item x="514"/>
        <item x="453"/>
        <item x="149"/>
        <item x="956"/>
        <item x="207"/>
        <item x="985"/>
        <item x="427"/>
        <item x="1180"/>
        <item x="959"/>
        <item x="443"/>
        <item x="1380"/>
        <item x="907"/>
        <item x="202"/>
        <item x="484"/>
        <item x="351"/>
        <item x="245"/>
        <item x="1382"/>
        <item x="97"/>
        <item x="1283"/>
        <item x="32"/>
        <item x="581"/>
        <item x="1192"/>
        <item x="582"/>
        <item x="247"/>
        <item x="1432"/>
        <item x="1338"/>
        <item x="447"/>
        <item x="390"/>
        <item x="1169"/>
        <item x="1264"/>
        <item x="395"/>
        <item x="1029"/>
        <item x="1230"/>
        <item x="109"/>
        <item x="534"/>
        <item x="703"/>
        <item x="3"/>
        <item x="291"/>
        <item x="1077"/>
        <item x="1132"/>
        <item x="1341"/>
        <item x="522"/>
        <item x="952"/>
        <item x="1116"/>
        <item x="768"/>
        <item x="868"/>
        <item x="515"/>
        <item x="684"/>
        <item x="144"/>
        <item x="533"/>
        <item x="145"/>
        <item x="318"/>
        <item x="951"/>
        <item x="1096"/>
        <item x="68"/>
        <item x="788"/>
        <item x="802"/>
        <item x="878"/>
        <item x="1320"/>
        <item x="685"/>
        <item x="115"/>
        <item x="1078"/>
        <item x="337"/>
        <item x="739"/>
        <item x="116"/>
        <item x="237"/>
        <item x="895"/>
        <item x="996"/>
        <item x="763"/>
        <item x="774"/>
        <item x="239"/>
        <item x="616"/>
        <item x="1316"/>
        <item x="1120"/>
        <item x="675"/>
        <item x="371"/>
        <item x="918"/>
        <item x="379"/>
        <item x="974"/>
        <item x="1083"/>
        <item x="1266"/>
        <item x="550"/>
        <item x="408"/>
        <item x="462"/>
        <item x="1366"/>
        <item x="1085"/>
        <item x="1281"/>
        <item x="107"/>
        <item x="1242"/>
        <item x="841"/>
        <item x="426"/>
        <item x="537"/>
        <item x="620"/>
        <item x="728"/>
        <item x="234"/>
        <item x="722"/>
        <item x="246"/>
        <item x="223"/>
        <item x="766"/>
        <item x="1088"/>
        <item x="1095"/>
        <item x="278"/>
        <item x="166"/>
        <item x="1082"/>
        <item x="435"/>
        <item x="183"/>
        <item x="984"/>
        <item x="1284"/>
        <item x="1334"/>
        <item x="226"/>
        <item x="882"/>
        <item x="42"/>
        <item x="566"/>
        <item x="1399"/>
        <item x="258"/>
        <item x="635"/>
        <item x="602"/>
        <item x="1233"/>
        <item x="696"/>
        <item x="67"/>
        <item x="1165"/>
        <item x="981"/>
        <item x="717"/>
        <item x="1423"/>
        <item x="772"/>
        <item x="1332"/>
        <item x="517"/>
        <item x="108"/>
        <item x="182"/>
        <item x="1364"/>
        <item x="302"/>
        <item x="288"/>
        <item x="714"/>
        <item x="87"/>
        <item x="495"/>
        <item x="780"/>
        <item x="1156"/>
        <item x="141"/>
        <item x="186"/>
        <item x="758"/>
        <item x="1131"/>
        <item x="92"/>
        <item x="452"/>
        <item x="1134"/>
        <item x="1018"/>
        <item x="1197"/>
        <item x="591"/>
        <item x="1386"/>
        <item x="1305"/>
        <item x="475"/>
        <item x="712"/>
        <item x="1296"/>
        <item x="958"/>
        <item x="74"/>
        <item x="1129"/>
        <item x="1017"/>
        <item x="824"/>
        <item x="1140"/>
        <item x="1174"/>
        <item x="260"/>
        <item x="928"/>
        <item x="769"/>
        <item x="955"/>
        <item x="1064"/>
        <item x="13"/>
        <item x="276"/>
        <item x="386"/>
        <item x="821"/>
        <item x="568"/>
        <item x="1273"/>
        <item x="1331"/>
        <item x="1150"/>
        <item x="1402"/>
        <item x="569"/>
        <item x="219"/>
        <item x="1438"/>
        <item x="179"/>
        <item x="150"/>
        <item x="1031"/>
        <item x="199"/>
        <item x="91"/>
        <item x="1379"/>
        <item x="545"/>
        <item t="default"/>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28">
        <item x="11"/>
        <item x="12"/>
        <item x="0"/>
        <item x="1"/>
        <item x="2"/>
        <item x="3"/>
        <item x="4"/>
        <item x="17"/>
        <item x="5"/>
        <item x="19"/>
        <item x="24"/>
        <item x="22"/>
        <item x="6"/>
        <item x="16"/>
        <item x="18"/>
        <item x="7"/>
        <item x="8"/>
        <item x="13"/>
        <item x="9"/>
        <item x="10"/>
        <item x="14"/>
        <item x="15"/>
        <item x="20"/>
        <item x="21"/>
        <item x="25"/>
        <item x="23"/>
        <item x="26"/>
        <item t="default"/>
      </items>
    </pivotField>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1">
    <field x="-2"/>
  </colFields>
  <colItems count="2">
    <i>
      <x/>
    </i>
    <i i="1">
      <x v="1"/>
    </i>
  </colItems>
  <dataFields count="2">
    <dataField name="COUNTA of Word" fld="2" subtotal="count" baseField="0" baseItem="0"/>
    <dataField name="COUNTA of Meaning" fld="7" subtotal="count" baseField="0" baseItem="0"/>
  </dataFields>
  <pivotTableStyleInfo showRowHeaders="1" showColHeaders="1"/>
</pivotTableDefinition>
</file>

<file path=xl/pivotTables/pivotTable2.xml><?xml version="1.0" encoding="utf-8"?>
<pivotTableDefinition xmlns="http://schemas.openxmlformats.org/spreadsheetml/2006/main" name="Sets Progress" cacheId="1" autoFormatId="1" applyNumberFormats="0" applyBorderFormats="0" applyFontFormats="0" applyPatternFormats="0" applyAlignmentFormats="0" applyWidthHeightFormats="1" dataCaption="" updatedVersion="5" compact="0" compactData="0" showDrill="1">
  <location ref="A1:C103" firstHeaderRow="1" firstDataRow="2" firstDataCol="1"/>
  <pivotFields count="13">
    <pivotField compact="0" outline="0" multipleItemSelectionAllowed="1" showAll="0">
      <items count="1545">
        <item x="1167"/>
        <item x="1477"/>
        <item x="104"/>
        <item x="85"/>
        <item x="655"/>
        <item x="1081"/>
        <item x="477"/>
        <item x="689"/>
        <item x="28"/>
        <item x="890"/>
        <item x="827"/>
        <item x="1410"/>
        <item x="906"/>
        <item x="44"/>
        <item x="728"/>
        <item x="1310"/>
        <item x="690"/>
        <item x="1071"/>
        <item x="1128"/>
        <item x="1041"/>
        <item x="1364"/>
        <item x="1291"/>
        <item x="261"/>
        <item x="122"/>
        <item x="105"/>
        <item x="1099"/>
        <item x="1249"/>
        <item x="231"/>
        <item x="138"/>
        <item x="937"/>
        <item x="1115"/>
        <item x="1042"/>
        <item x="1191"/>
        <item x="1491"/>
        <item x="262"/>
        <item x="123"/>
        <item x="15"/>
        <item x="1292"/>
        <item x="1384"/>
        <item x="1311"/>
        <item x="1524"/>
        <item x="1152"/>
        <item x="1192"/>
        <item x="857"/>
        <item x="907"/>
        <item x="981"/>
        <item x="1329"/>
        <item x="1177"/>
        <item x="427"/>
        <item x="1525"/>
        <item x="1270"/>
        <item x="442"/>
        <item x="1312"/>
        <item x="1235"/>
        <item x="908"/>
        <item x="1116"/>
        <item x="972"/>
        <item x="707"/>
        <item x="938"/>
        <item x="1508"/>
        <item x="210"/>
        <item x="1011"/>
        <item x="1350"/>
        <item x="752"/>
        <item x="68"/>
        <item x="16"/>
        <item x="753"/>
        <item x="69"/>
        <item x="139"/>
        <item x="1250"/>
        <item x="1168"/>
        <item x="1365"/>
        <item x="1492"/>
        <item x="1398"/>
        <item x="1213"/>
        <item x="1493"/>
        <item x="708"/>
        <item x="1478"/>
        <item x="196"/>
        <item x="709"/>
        <item x="1452"/>
        <item x="211"/>
        <item x="939"/>
        <item x="184"/>
        <item x="1351"/>
        <item x="70"/>
        <item x="954"/>
        <item x="369"/>
        <item x="982"/>
        <item x="106"/>
        <item x="909"/>
        <item x="531"/>
        <item x="1453"/>
        <item x="1129"/>
        <item x="729"/>
        <item x="983"/>
        <item x="29"/>
        <item x="212"/>
        <item x="491"/>
        <item x="870"/>
        <item x="540"/>
        <item x="940"/>
        <item x="411"/>
        <item x="1385"/>
        <item x="1313"/>
        <item x="922"/>
        <item x="739"/>
        <item x="346"/>
        <item x="1366"/>
        <item x="154"/>
        <item x="71"/>
        <item x="1043"/>
        <item x="1411"/>
        <item x="443"/>
        <item x="955"/>
        <item x="1044"/>
        <item x="86"/>
        <item x="1509"/>
        <item x="754"/>
        <item x="1412"/>
        <item x="1100"/>
        <item x="587"/>
        <item x="1465"/>
        <item x="1101"/>
        <item x="1431"/>
        <item x="891"/>
        <item x="1057"/>
        <item x="956"/>
        <item x="772"/>
        <item x="30"/>
        <item x="1314"/>
        <item x="328"/>
        <item x="1315"/>
        <item x="871"/>
        <item x="957"/>
        <item x="1330"/>
        <item x="1494"/>
        <item x="263"/>
        <item x="329"/>
        <item x="1236"/>
        <item x="370"/>
        <item x="45"/>
        <item x="1413"/>
        <item x="155"/>
        <item x="1000"/>
        <item x="1414"/>
        <item x="264"/>
        <item x="412"/>
        <item x="631"/>
        <item x="619"/>
        <item x="509"/>
        <item x="910"/>
        <item x="1466"/>
        <item x="213"/>
        <item x="1072"/>
        <item x="463"/>
        <item x="520"/>
        <item x="245"/>
        <item x="1432"/>
        <item x="603"/>
        <item x="911"/>
        <item x="532"/>
        <item x="72"/>
        <item x="413"/>
        <item x="371"/>
        <item x="541"/>
        <item x="656"/>
        <item x="1467"/>
        <item x="1251"/>
        <item x="1271"/>
        <item x="464"/>
        <item x="828"/>
        <item x="1526"/>
        <item x="1153"/>
        <item x="1352"/>
        <item x="1415"/>
        <item x="800"/>
        <item x="1178"/>
        <item x="1214"/>
        <item x="1510"/>
        <item x="1454"/>
        <item x="214"/>
        <item x="1252"/>
        <item x="1316"/>
        <item x="1117"/>
        <item x="197"/>
        <item x="984"/>
        <item x="1272"/>
        <item x="31"/>
        <item x="1468"/>
        <item x="755"/>
        <item x="1193"/>
        <item x="287"/>
        <item x="604"/>
        <item x="710"/>
        <item x="215"/>
        <item x="756"/>
        <item x="156"/>
        <item x="1179"/>
        <item x="17"/>
        <item x="393"/>
        <item x="444"/>
        <item x="1455"/>
        <item x="1317"/>
        <item x="730"/>
        <item x="1273"/>
        <item x="107"/>
        <item x="478"/>
        <item x="1274"/>
        <item x="265"/>
        <item x="605"/>
        <item x="1058"/>
        <item x="521"/>
        <item x="1293"/>
        <item x="606"/>
        <item x="1154"/>
        <item x="445"/>
        <item x="46"/>
        <item x="740"/>
        <item x="672"/>
        <item x="985"/>
        <item x="1194"/>
        <item x="266"/>
        <item x="1195"/>
        <item x="1260"/>
        <item x="923"/>
        <item x="18"/>
        <item x="47"/>
        <item x="32"/>
        <item x="1353"/>
        <item x="741"/>
        <item x="892"/>
        <item x="73"/>
        <item x="1416"/>
        <item x="1012"/>
        <item x="492"/>
        <item x="559"/>
        <item x="306"/>
        <item x="1045"/>
        <item x="731"/>
        <item x="1331"/>
        <item x="1275"/>
        <item x="1479"/>
        <item x="330"/>
        <item x="588"/>
        <item x="1196"/>
        <item x="232"/>
        <item x="1495"/>
        <item x="1367"/>
        <item x="783"/>
        <item x="493"/>
        <item x="394"/>
        <item x="74"/>
        <item x="1224"/>
        <item x="986"/>
        <item x="1480"/>
        <item x="108"/>
        <item x="1169"/>
        <item x="1215"/>
        <item x="1332"/>
        <item x="307"/>
        <item x="1102"/>
        <item x="428"/>
        <item x="632"/>
        <item x="1013"/>
        <item x="1155"/>
        <item x="19"/>
        <item x="1130"/>
        <item x="657"/>
        <item x="124"/>
        <item x="658"/>
        <item x="33"/>
        <item x="1368"/>
        <item x="1082"/>
        <item x="87"/>
        <item x="1156"/>
        <item x="1318"/>
        <item x="1496"/>
        <item x="1433"/>
        <item x="801"/>
        <item x="742"/>
        <item x="75"/>
        <item x="1399"/>
        <item x="308"/>
        <item x="273"/>
        <item x="958"/>
        <item x="185"/>
        <item x="347"/>
        <item x="233"/>
        <item x="1400"/>
        <item x="1261"/>
        <item x="533"/>
        <item x="0"/>
        <item x="1139"/>
        <item x="173"/>
        <item x="773"/>
        <item x="987"/>
        <item x="1118"/>
        <item x="1511"/>
        <item x="589"/>
        <item x="1417"/>
        <item x="893"/>
        <item x="1083"/>
        <item x="673"/>
        <item x="1369"/>
        <item x="1456"/>
        <item x="1014"/>
        <item x="198"/>
        <item x="814"/>
        <item x="691"/>
        <item x="246"/>
        <item x="711"/>
        <item x="1028"/>
        <item x="1527"/>
        <item x="1276"/>
        <item x="858"/>
        <item x="542"/>
        <item x="1481"/>
        <item x="1015"/>
        <item x="1237"/>
        <item x="692"/>
        <item x="912"/>
        <item x="1401"/>
        <item x="348"/>
        <item x="125"/>
        <item x="571"/>
        <item x="1073"/>
        <item x="1046"/>
        <item x="1180"/>
        <item x="959"/>
        <item x="894"/>
        <item x="633"/>
        <item x="1497"/>
        <item x="988"/>
        <item x="1119"/>
        <item x="607"/>
        <item x="247"/>
        <item x="1059"/>
        <item x="1262"/>
        <item x="989"/>
        <item x="1418"/>
        <item x="309"/>
        <item x="510"/>
        <item x="395"/>
        <item x="1370"/>
        <item x="429"/>
        <item x="1419"/>
        <item x="126"/>
        <item x="465"/>
        <item x="924"/>
        <item x="414"/>
        <item x="310"/>
        <item x="349"/>
        <item x="990"/>
        <item x="157"/>
        <item x="216"/>
        <item x="140"/>
        <item x="20"/>
        <item x="815"/>
        <item x="1420"/>
        <item x="311"/>
        <item x="1225"/>
        <item x="217"/>
        <item x="218"/>
        <item x="1084"/>
        <item x="1512"/>
        <item x="88"/>
        <item x="674"/>
        <item x="312"/>
        <item x="1253"/>
        <item x="1131"/>
        <item x="1371"/>
        <item x="199"/>
        <item x="1528"/>
        <item x="960"/>
        <item x="48"/>
        <item x="1386"/>
        <item x="446"/>
        <item x="1387"/>
        <item x="572"/>
        <item x="829"/>
        <item x="872"/>
        <item x="274"/>
        <item x="76"/>
        <item x="1482"/>
        <item x="415"/>
        <item x="1277"/>
        <item x="447"/>
        <item x="961"/>
        <item x="1354"/>
        <item x="350"/>
        <item x="573"/>
        <item x="1529"/>
        <item x="141"/>
        <item x="1085"/>
        <item x="313"/>
        <item x="873"/>
        <item x="1157"/>
        <item x="590"/>
        <item x="288"/>
        <item x="843"/>
        <item x="1513"/>
        <item x="591"/>
        <item x="248"/>
        <item x="466"/>
        <item x="830"/>
        <item x="991"/>
        <item x="859"/>
        <item x="784"/>
        <item x="314"/>
        <item x="712"/>
        <item x="1319"/>
        <item x="1469"/>
        <item x="1470"/>
        <item x="1047"/>
        <item x="1197"/>
        <item x="89"/>
        <item x="249"/>
        <item x="416"/>
        <item x="1181"/>
        <item x="1029"/>
        <item x="831"/>
        <item x="675"/>
        <item x="351"/>
        <item x="430"/>
        <item x="1530"/>
        <item x="396"/>
        <item x="511"/>
        <item x="713"/>
        <item x="941"/>
        <item x="1132"/>
        <item x="1238"/>
        <item x="1514"/>
        <item x="1086"/>
        <item x="732"/>
        <item x="1"/>
        <item x="757"/>
        <item x="275"/>
        <item x="1170"/>
        <item x="913"/>
        <item x="1198"/>
        <item x="962"/>
        <item x="186"/>
        <item x="1421"/>
        <item x="1060"/>
        <item x="574"/>
        <item x="289"/>
        <item x="21"/>
        <item x="925"/>
        <item x="479"/>
        <item x="352"/>
        <item x="1372"/>
        <item x="693"/>
        <item x="1294"/>
        <item x="1320"/>
        <item x="1295"/>
        <item x="1061"/>
        <item x="1254"/>
        <item x="659"/>
        <item x="250"/>
        <item x="1333"/>
        <item x="874"/>
        <item x="315"/>
        <item x="543"/>
        <item x="316"/>
        <item x="494"/>
        <item x="480"/>
        <item x="1263"/>
        <item x="158"/>
        <item x="2"/>
        <item x="1278"/>
        <item x="1087"/>
        <item x="49"/>
        <item x="694"/>
        <item x="785"/>
        <item x="544"/>
        <item x="417"/>
        <item x="634"/>
        <item x="159"/>
        <item x="676"/>
        <item x="1158"/>
        <item x="695"/>
        <item x="90"/>
        <item x="187"/>
        <item x="635"/>
        <item x="786"/>
        <item x="1199"/>
        <item x="774"/>
        <item x="844"/>
        <item x="1334"/>
        <item x="1457"/>
        <item x="992"/>
        <item x="1171"/>
        <item x="1355"/>
        <item x="200"/>
        <item x="495"/>
        <item x="802"/>
        <item x="1335"/>
        <item x="743"/>
        <item x="1088"/>
        <item x="1279"/>
        <item x="1001"/>
        <item x="142"/>
        <item x="926"/>
        <item x="1299"/>
        <item x="787"/>
        <item x="816"/>
        <item x="1030"/>
        <item x="331"/>
        <item x="109"/>
        <item x="50"/>
        <item x="963"/>
        <item x="431"/>
        <item x="914"/>
        <item x="832"/>
        <item x="201"/>
        <item x="803"/>
        <item x="775"/>
        <item x="534"/>
        <item x="895"/>
        <item x="575"/>
        <item x="1402"/>
        <item x="1140"/>
        <item x="1239"/>
        <item x="467"/>
        <item x="804"/>
        <item x="714"/>
        <item x="1515"/>
        <item x="560"/>
        <item x="744"/>
        <item x="576"/>
        <item x="372"/>
        <item x="993"/>
        <item x="745"/>
        <item x="1159"/>
        <item x="577"/>
        <item x="1103"/>
        <item x="1403"/>
        <item x="1373"/>
        <item x="1200"/>
        <item x="1321"/>
        <item x="202"/>
        <item x="1031"/>
        <item x="1483"/>
        <item x="290"/>
        <item x="34"/>
        <item x="219"/>
        <item x="3"/>
        <item x="545"/>
        <item x="291"/>
        <item x="1141"/>
        <item x="1531"/>
        <item x="860"/>
        <item x="160"/>
        <item x="353"/>
        <item x="1322"/>
        <item x="1201"/>
        <item x="1300"/>
        <item x="1422"/>
        <item x="51"/>
        <item x="1296"/>
        <item x="1458"/>
        <item x="964"/>
        <item x="522"/>
        <item x="448"/>
        <item x="1104"/>
        <item x="449"/>
        <item x="535"/>
        <item x="418"/>
        <item x="292"/>
        <item x="1374"/>
        <item x="523"/>
        <item x="1120"/>
        <item x="817"/>
        <item x="1516"/>
        <item x="608"/>
        <item x="1336"/>
        <item x="818"/>
        <item x="776"/>
        <item x="660"/>
        <item x="677"/>
        <item x="758"/>
        <item x="819"/>
        <item x="1323"/>
        <item x="35"/>
        <item x="592"/>
        <item x="1240"/>
        <item x="1280"/>
        <item x="1484"/>
        <item x="1182"/>
        <item x="1048"/>
        <item x="4"/>
        <item x="875"/>
        <item x="1281"/>
        <item x="354"/>
        <item x="432"/>
        <item x="293"/>
        <item x="1160"/>
        <item x="220"/>
        <item x="715"/>
        <item x="965"/>
        <item x="973"/>
        <item x="397"/>
        <item x="386"/>
        <item x="36"/>
        <item x="433"/>
        <item x="994"/>
        <item x="1471"/>
        <item x="1002"/>
        <item x="661"/>
        <item x="251"/>
        <item x="22"/>
        <item x="716"/>
        <item x="820"/>
        <item x="276"/>
        <item x="1388"/>
        <item x="221"/>
        <item x="717"/>
        <item x="1133"/>
        <item x="419"/>
        <item x="512"/>
        <item x="1532"/>
        <item x="915"/>
        <item x="387"/>
        <item x="23"/>
        <item x="1003"/>
        <item x="1297"/>
        <item x="1089"/>
        <item x="174"/>
        <item x="833"/>
        <item x="5"/>
        <item x="1241"/>
        <item x="1472"/>
        <item x="834"/>
        <item x="942"/>
        <item x="203"/>
        <item x="468"/>
        <item x="1389"/>
        <item x="420"/>
        <item x="861"/>
        <item x="696"/>
        <item x="1498"/>
        <item x="561"/>
        <item x="110"/>
        <item x="1161"/>
        <item x="1004"/>
        <item x="513"/>
        <item x="1390"/>
        <item x="127"/>
        <item x="562"/>
        <item x="91"/>
        <item x="1049"/>
        <item x="718"/>
        <item x="294"/>
        <item x="620"/>
        <item x="536"/>
        <item x="267"/>
        <item x="1255"/>
        <item x="1016"/>
        <item x="1301"/>
        <item x="1105"/>
        <item x="6"/>
        <item x="943"/>
        <item x="77"/>
        <item x="593"/>
        <item x="927"/>
        <item x="563"/>
        <item x="1183"/>
        <item x="450"/>
        <item x="92"/>
        <item x="93"/>
        <item x="252"/>
        <item x="944"/>
        <item x="746"/>
        <item x="537"/>
        <item x="1434"/>
        <item x="253"/>
        <item x="514"/>
        <item x="1517"/>
        <item x="1202"/>
        <item x="1256"/>
        <item x="1162"/>
        <item x="805"/>
        <item x="451"/>
        <item x="662"/>
        <item x="1090"/>
        <item x="398"/>
        <item x="609"/>
        <item x="295"/>
        <item x="234"/>
        <item x="788"/>
        <item x="594"/>
        <item x="578"/>
        <item x="268"/>
        <item x="332"/>
        <item x="94"/>
        <item x="546"/>
        <item x="663"/>
        <item x="876"/>
        <item x="111"/>
        <item x="1074"/>
        <item x="188"/>
        <item x="1121"/>
        <item x="388"/>
        <item x="112"/>
        <item x="113"/>
        <item x="719"/>
        <item x="1423"/>
        <item x="78"/>
        <item x="1062"/>
        <item x="697"/>
        <item x="1017"/>
        <item x="496"/>
        <item x="777"/>
        <item x="452"/>
        <item x="1032"/>
        <item x="1203"/>
        <item x="296"/>
        <item x="373"/>
        <item x="1216"/>
        <item x="52"/>
        <item x="53"/>
        <item x="1356"/>
        <item x="974"/>
        <item x="235"/>
        <item x="636"/>
        <item x="399"/>
        <item x="355"/>
        <item x="421"/>
        <item x="1337"/>
        <item x="54"/>
        <item x="356"/>
        <item x="333"/>
        <item x="1518"/>
        <item x="916"/>
        <item x="1033"/>
        <item x="678"/>
        <item x="679"/>
        <item x="845"/>
        <item x="1204"/>
        <item x="995"/>
        <item x="547"/>
        <item x="55"/>
        <item x="877"/>
        <item x="175"/>
        <item x="434"/>
        <item x="1391"/>
        <item x="469"/>
        <item x="1172"/>
        <item x="1106"/>
        <item x="1302"/>
        <item x="1338"/>
        <item x="161"/>
        <item x="778"/>
        <item x="733"/>
        <item x="1142"/>
        <item x="734"/>
        <item x="1533"/>
        <item x="515"/>
        <item x="1122"/>
        <item x="1091"/>
        <item x="664"/>
        <item x="334"/>
        <item x="162"/>
        <item x="1242"/>
        <item x="497"/>
        <item x="665"/>
        <item x="821"/>
        <item x="846"/>
        <item x="481"/>
        <item x="56"/>
        <item x="637"/>
        <item x="1435"/>
        <item x="335"/>
        <item x="163"/>
        <item x="1107"/>
        <item x="1264"/>
        <item x="1459"/>
        <item x="317"/>
        <item x="966"/>
        <item x="1063"/>
        <item x="57"/>
        <item x="638"/>
        <item x="1075"/>
        <item x="779"/>
        <item x="806"/>
        <item x="482"/>
        <item x="1050"/>
        <item x="720"/>
        <item x="164"/>
        <item x="548"/>
        <item x="143"/>
        <item x="1339"/>
        <item x="1324"/>
        <item x="639"/>
        <item x="1123"/>
        <item x="1357"/>
        <item x="144"/>
        <item x="847"/>
        <item x="878"/>
        <item x="297"/>
        <item x="453"/>
        <item x="549"/>
        <item x="454"/>
        <item x="498"/>
        <item x="400"/>
        <item x="1392"/>
        <item x="1226"/>
        <item x="165"/>
        <item x="7"/>
        <item x="610"/>
        <item x="1034"/>
        <item x="114"/>
        <item x="1205"/>
        <item x="807"/>
        <item x="298"/>
        <item x="928"/>
        <item x="1018"/>
        <item x="1473"/>
        <item x="848"/>
        <item x="1340"/>
        <item x="1184"/>
        <item x="621"/>
        <item x="640"/>
        <item x="1185"/>
        <item x="389"/>
        <item x="176"/>
        <item x="789"/>
        <item x="58"/>
        <item x="790"/>
        <item x="896"/>
        <item x="1341"/>
        <item x="879"/>
        <item x="780"/>
        <item x="1076"/>
        <item x="374"/>
        <item x="145"/>
        <item x="357"/>
        <item x="929"/>
        <item x="128"/>
        <item x="1282"/>
        <item x="975"/>
        <item x="1283"/>
        <item x="1019"/>
        <item x="930"/>
        <item x="611"/>
        <item x="1284"/>
        <item x="698"/>
        <item x="612"/>
        <item x="318"/>
        <item x="931"/>
        <item x="1257"/>
        <item x="435"/>
        <item x="1134"/>
        <item x="336"/>
        <item x="1051"/>
        <item x="550"/>
        <item x="436"/>
        <item x="680"/>
        <item x="483"/>
        <item x="791"/>
        <item x="1163"/>
        <item x="666"/>
        <item x="516"/>
        <item x="254"/>
        <item x="747"/>
        <item x="1265"/>
        <item x="236"/>
        <item x="862"/>
        <item x="358"/>
        <item x="822"/>
        <item x="359"/>
        <item x="401"/>
        <item x="641"/>
        <item x="1325"/>
        <item x="735"/>
        <item x="622"/>
        <item x="1342"/>
        <item x="95"/>
        <item x="146"/>
        <item x="863"/>
        <item x="699"/>
        <item x="1424"/>
        <item x="792"/>
        <item x="1243"/>
        <item x="700"/>
        <item x="1303"/>
        <item x="551"/>
        <item x="1499"/>
        <item x="595"/>
        <item x="945"/>
        <item x="115"/>
        <item x="1227"/>
        <item x="299"/>
        <item x="1375"/>
        <item x="1404"/>
        <item x="337"/>
        <item x="1304"/>
        <item x="932"/>
        <item x="1035"/>
        <item x="897"/>
        <item x="1143"/>
        <item x="517"/>
        <item x="1108"/>
        <item x="499"/>
        <item x="1326"/>
        <item x="1405"/>
        <item x="564"/>
        <item x="1206"/>
        <item x="1092"/>
        <item x="269"/>
        <item x="1406"/>
        <item x="1407"/>
        <item x="823"/>
        <item x="8"/>
        <item x="129"/>
        <item x="642"/>
        <item x="437"/>
        <item x="681"/>
        <item x="849"/>
        <item x="1244"/>
        <item x="667"/>
        <item x="643"/>
        <item x="37"/>
        <item x="565"/>
        <item x="759"/>
        <item x="470"/>
        <item x="500"/>
        <item x="579"/>
        <item x="9"/>
        <item x="596"/>
        <item x="222"/>
        <item x="319"/>
        <item x="1305"/>
        <item x="701"/>
        <item x="1207"/>
        <item x="580"/>
        <item x="177"/>
        <item x="338"/>
        <item x="1327"/>
        <item x="375"/>
        <item x="402"/>
        <item x="976"/>
        <item x="204"/>
        <item x="1208"/>
        <item x="501"/>
        <item x="223"/>
        <item x="864"/>
        <item x="1173"/>
        <item x="79"/>
        <item x="524"/>
        <item x="850"/>
        <item x="996"/>
        <item x="471"/>
        <item x="1425"/>
        <item x="1285"/>
        <item x="1534"/>
        <item x="898"/>
        <item x="1258"/>
        <item x="644"/>
        <item x="1535"/>
        <item x="597"/>
        <item x="189"/>
        <item x="1306"/>
        <item x="1358"/>
        <item x="760"/>
        <item x="933"/>
        <item x="967"/>
        <item x="997"/>
        <item x="1307"/>
        <item x="300"/>
        <item x="682"/>
        <item x="1408"/>
        <item x="96"/>
        <item x="224"/>
        <item x="422"/>
        <item x="116"/>
        <item x="97"/>
        <item x="190"/>
        <item x="376"/>
        <item x="339"/>
        <item x="277"/>
        <item x="98"/>
        <item x="1135"/>
        <item x="278"/>
        <item x="1036"/>
        <item x="1359"/>
        <item x="1500"/>
        <item x="1093"/>
        <item x="1228"/>
        <item x="835"/>
        <item x="403"/>
        <item x="1286"/>
        <item x="598"/>
        <item x="117"/>
        <item x="1229"/>
        <item x="968"/>
        <item x="1144"/>
        <item x="1343"/>
        <item x="360"/>
        <item x="423"/>
        <item x="279"/>
        <item x="1287"/>
        <item x="946"/>
        <item x="237"/>
        <item x="525"/>
        <item x="1376"/>
        <item x="99"/>
        <item x="1474"/>
        <item x="748"/>
        <item x="977"/>
        <item x="38"/>
        <item x="1145"/>
        <item x="1288"/>
        <item x="205"/>
        <item x="761"/>
        <item x="1077"/>
        <item x="581"/>
        <item x="100"/>
        <item x="1393"/>
        <item x="582"/>
        <item x="781"/>
        <item x="320"/>
        <item x="1094"/>
        <item x="1436"/>
        <item x="225"/>
        <item x="880"/>
        <item x="1437"/>
        <item x="80"/>
        <item x="24"/>
        <item x="1020"/>
        <item x="526"/>
        <item x="59"/>
        <item x="1146"/>
        <item x="1186"/>
        <item x="130"/>
        <item x="899"/>
        <item x="1124"/>
        <item x="118"/>
        <item x="131"/>
        <item x="1078"/>
        <item x="1426"/>
        <item x="60"/>
        <item x="645"/>
        <item x="836"/>
        <item x="1536"/>
        <item x="683"/>
        <item x="1021"/>
        <item x="808"/>
        <item x="1475"/>
        <item x="566"/>
        <item x="502"/>
        <item x="321"/>
        <item x="178"/>
        <item x="1245"/>
        <item x="25"/>
        <item x="1217"/>
        <item x="255"/>
        <item x="472"/>
        <item x="1377"/>
        <item x="322"/>
        <item x="934"/>
        <item x="26"/>
        <item x="668"/>
        <item x="39"/>
        <item x="736"/>
        <item x="881"/>
        <item x="1064"/>
        <item x="646"/>
        <item x="473"/>
        <item x="503"/>
        <item x="1438"/>
        <item x="527"/>
        <item x="238"/>
        <item x="1246"/>
        <item x="340"/>
        <item x="917"/>
        <item x="504"/>
        <item x="702"/>
        <item x="1360"/>
        <item x="1052"/>
        <item x="721"/>
        <item x="377"/>
        <item x="947"/>
        <item x="280"/>
        <item x="1361"/>
        <item x="1174"/>
        <item x="10"/>
        <item x="865"/>
        <item x="323"/>
        <item x="206"/>
        <item x="27"/>
        <item x="11"/>
        <item x="455"/>
        <item x="882"/>
        <item x="61"/>
        <item x="101"/>
        <item x="361"/>
        <item x="1022"/>
        <item x="438"/>
        <item x="528"/>
        <item x="623"/>
        <item x="624"/>
        <item x="1378"/>
        <item x="270"/>
        <item x="900"/>
        <item x="484"/>
        <item x="485"/>
        <item x="851"/>
        <item x="324"/>
        <item x="1485"/>
        <item x="166"/>
        <item x="948"/>
        <item x="456"/>
        <item x="390"/>
        <item x="824"/>
        <item x="1005"/>
        <item x="81"/>
        <item x="684"/>
        <item x="613"/>
        <item x="722"/>
        <item x="1187"/>
        <item x="62"/>
        <item x="599"/>
        <item x="1537"/>
        <item x="439"/>
        <item x="341"/>
        <item x="647"/>
        <item x="529"/>
        <item x="1538"/>
        <item x="1539"/>
        <item x="1095"/>
        <item x="1460"/>
        <item x="1230"/>
        <item x="837"/>
        <item x="1188"/>
        <item x="852"/>
        <item x="918"/>
        <item x="301"/>
        <item x="793"/>
        <item x="762"/>
        <item x="794"/>
        <item x="901"/>
        <item x="102"/>
        <item x="1394"/>
        <item x="404"/>
        <item x="552"/>
        <item x="1109"/>
        <item x="362"/>
        <item x="919"/>
        <item x="457"/>
        <item x="763"/>
        <item x="1289"/>
        <item x="12"/>
        <item x="809"/>
        <item x="147"/>
        <item x="1501"/>
        <item x="969"/>
        <item x="614"/>
        <item x="167"/>
        <item x="1218"/>
        <item x="1439"/>
        <item x="1023"/>
        <item x="764"/>
        <item x="567"/>
        <item x="1219"/>
        <item x="405"/>
        <item x="1164"/>
        <item x="1096"/>
        <item x="1502"/>
        <item x="1147"/>
        <item x="363"/>
        <item x="1024"/>
        <item x="625"/>
        <item x="1540"/>
        <item x="1541"/>
        <item x="148"/>
        <item x="1379"/>
        <item x="1037"/>
        <item x="226"/>
        <item x="568"/>
        <item x="1427"/>
        <item x="40"/>
        <item x="168"/>
        <item x="424"/>
        <item x="1344"/>
        <item x="553"/>
        <item x="169"/>
        <item x="239"/>
        <item x="685"/>
        <item x="569"/>
        <item x="256"/>
        <item x="626"/>
        <item x="902"/>
        <item x="1266"/>
        <item x="686"/>
        <item x="281"/>
        <item x="227"/>
        <item x="1267"/>
        <item x="1362"/>
        <item x="838"/>
        <item x="1428"/>
        <item x="505"/>
        <item x="883"/>
        <item x="1038"/>
        <item x="132"/>
        <item x="1345"/>
        <item x="342"/>
        <item x="1025"/>
        <item x="1409"/>
        <item x="648"/>
        <item x="170"/>
        <item x="63"/>
        <item x="1110"/>
        <item x="627"/>
        <item x="1136"/>
        <item x="765"/>
        <item x="364"/>
        <item x="795"/>
        <item x="282"/>
        <item x="949"/>
        <item x="554"/>
        <item x="1209"/>
        <item x="1111"/>
        <item x="179"/>
        <item x="1189"/>
        <item x="325"/>
        <item x="723"/>
        <item x="103"/>
        <item x="749"/>
        <item x="1097"/>
        <item x="1006"/>
        <item x="853"/>
        <item x="1486"/>
        <item x="1053"/>
        <item x="1007"/>
        <item x="796"/>
        <item x="555"/>
        <item x="1220"/>
        <item x="64"/>
        <item x="1429"/>
        <item x="1175"/>
        <item x="486"/>
        <item x="240"/>
        <item x="1346"/>
        <item x="669"/>
        <item x="1112"/>
        <item x="1440"/>
        <item x="1519"/>
        <item x="766"/>
        <item x="649"/>
        <item x="1328"/>
        <item x="950"/>
        <item x="302"/>
        <item x="866"/>
        <item x="854"/>
        <item x="1542"/>
        <item x="440"/>
        <item x="1259"/>
        <item x="1441"/>
        <item x="1380"/>
        <item x="391"/>
        <item x="825"/>
        <item x="1221"/>
        <item x="998"/>
        <item x="978"/>
        <item x="241"/>
        <item x="650"/>
        <item x="425"/>
        <item x="133"/>
        <item x="1054"/>
        <item x="628"/>
        <item x="538"/>
        <item x="65"/>
        <item x="703"/>
        <item x="1520"/>
        <item x="228"/>
        <item x="1210"/>
        <item x="303"/>
        <item x="1381"/>
        <item x="1442"/>
        <item x="855"/>
        <item x="149"/>
        <item x="242"/>
        <item x="506"/>
        <item x="839"/>
        <item x="651"/>
        <item x="458"/>
        <item x="687"/>
        <item x="507"/>
        <item x="1521"/>
        <item x="856"/>
        <item x="283"/>
        <item x="487"/>
        <item x="1247"/>
        <item x="670"/>
        <item x="13"/>
        <item x="378"/>
        <item x="508"/>
        <item x="884"/>
        <item x="459"/>
        <item x="180"/>
        <item x="1522"/>
        <item x="1125"/>
        <item x="284"/>
        <item x="1443"/>
        <item x="724"/>
        <item x="304"/>
        <item x="885"/>
        <item x="1008"/>
        <item x="615"/>
        <item x="1382"/>
        <item x="935"/>
        <item x="1065"/>
        <item x="474"/>
        <item x="570"/>
        <item x="1461"/>
        <item x="1290"/>
        <item x="725"/>
        <item x="810"/>
        <item x="1148"/>
        <item x="583"/>
        <item x="41"/>
        <item x="1055"/>
        <item x="343"/>
        <item x="257"/>
        <item x="970"/>
        <item x="1395"/>
        <item x="726"/>
        <item x="750"/>
        <item x="1503"/>
        <item x="1504"/>
        <item x="1523"/>
        <item x="119"/>
        <item x="688"/>
        <item x="1211"/>
        <item x="797"/>
        <item x="406"/>
        <item x="171"/>
        <item x="134"/>
        <item x="379"/>
        <item x="1026"/>
        <item x="727"/>
        <item x="886"/>
        <item x="441"/>
        <item x="1212"/>
        <item x="475"/>
        <item x="407"/>
        <item x="1396"/>
        <item x="1113"/>
        <item x="191"/>
        <item x="1066"/>
        <item x="82"/>
        <item x="83"/>
        <item x="798"/>
        <item x="826"/>
        <item x="811"/>
        <item x="120"/>
        <item x="1079"/>
        <item x="616"/>
        <item x="135"/>
        <item x="1231"/>
        <item x="150"/>
        <item x="476"/>
        <item x="920"/>
        <item x="488"/>
        <item x="271"/>
        <item x="1149"/>
        <item x="887"/>
        <item x="737"/>
        <item x="903"/>
        <item x="1430"/>
        <item x="326"/>
        <item x="518"/>
        <item x="408"/>
        <item x="1444"/>
        <item x="151"/>
        <item x="243"/>
        <item x="1445"/>
        <item x="181"/>
        <item x="182"/>
        <item x="951"/>
        <item x="365"/>
        <item x="617"/>
        <item x="1222"/>
        <item x="489"/>
        <item x="14"/>
        <item x="936"/>
        <item x="867"/>
        <item x="1232"/>
        <item x="1505"/>
        <item x="584"/>
        <item x="1446"/>
        <item x="1447"/>
        <item x="380"/>
        <item x="1176"/>
        <item x="1543"/>
        <item x="1448"/>
        <item x="285"/>
        <item x="812"/>
        <item x="813"/>
        <item x="344"/>
        <item x="207"/>
        <item x="381"/>
        <item x="1080"/>
        <item x="66"/>
        <item x="704"/>
        <item x="1487"/>
        <item x="652"/>
        <item x="305"/>
        <item x="999"/>
        <item x="1449"/>
        <item x="1506"/>
        <item x="1308"/>
        <item x="121"/>
        <item x="1009"/>
        <item x="653"/>
        <item x="366"/>
        <item x="629"/>
        <item x="1450"/>
        <item x="1165"/>
        <item x="1150"/>
        <item x="868"/>
        <item x="840"/>
        <item x="1010"/>
        <item x="585"/>
        <item x="888"/>
        <item x="84"/>
        <item x="1383"/>
        <item x="671"/>
        <item x="136"/>
        <item x="1151"/>
        <item x="1223"/>
        <item x="208"/>
        <item x="367"/>
        <item x="1233"/>
        <item x="1363"/>
        <item x="1067"/>
        <item x="705"/>
        <item x="192"/>
        <item x="382"/>
        <item x="1068"/>
        <item x="229"/>
        <item x="1507"/>
        <item x="869"/>
        <item x="1347"/>
        <item x="172"/>
        <item x="1190"/>
        <item x="1126"/>
        <item x="799"/>
        <item x="1397"/>
        <item x="368"/>
        <item x="327"/>
        <item x="519"/>
        <item x="767"/>
        <item x="1309"/>
        <item x="889"/>
        <item x="1462"/>
        <item x="979"/>
        <item x="841"/>
        <item x="460"/>
        <item x="921"/>
        <item x="383"/>
        <item x="1027"/>
        <item x="193"/>
        <item x="426"/>
        <item x="768"/>
        <item x="1127"/>
        <item x="461"/>
        <item x="630"/>
        <item x="1114"/>
        <item x="980"/>
        <item x="1348"/>
        <item x="971"/>
        <item x="384"/>
        <item x="1463"/>
        <item x="782"/>
        <item x="600"/>
        <item x="1488"/>
        <item x="1056"/>
        <item x="654"/>
        <item x="952"/>
        <item x="1039"/>
        <item x="586"/>
        <item x="751"/>
        <item x="152"/>
        <item x="738"/>
        <item x="1098"/>
        <item x="42"/>
        <item x="1451"/>
        <item x="601"/>
        <item x="904"/>
        <item x="1489"/>
        <item x="462"/>
        <item x="490"/>
        <item x="272"/>
        <item x="137"/>
        <item x="530"/>
        <item x="286"/>
        <item x="258"/>
        <item x="1040"/>
        <item x="539"/>
        <item x="409"/>
        <item x="706"/>
        <item x="67"/>
        <item x="43"/>
        <item x="183"/>
        <item x="392"/>
        <item x="1298"/>
        <item x="153"/>
        <item x="842"/>
        <item x="410"/>
        <item x="1248"/>
        <item x="618"/>
        <item x="194"/>
        <item x="953"/>
        <item x="1476"/>
        <item x="556"/>
        <item x="1490"/>
        <item x="1069"/>
        <item x="557"/>
        <item x="769"/>
        <item x="259"/>
        <item x="1234"/>
        <item x="1349"/>
        <item x="905"/>
        <item x="1166"/>
        <item x="770"/>
        <item x="195"/>
        <item x="771"/>
        <item x="385"/>
        <item x="260"/>
        <item x="345"/>
        <item x="1070"/>
        <item x="602"/>
        <item x="230"/>
        <item x="1137"/>
        <item x="244"/>
        <item x="209"/>
        <item x="1138"/>
        <item x="1464"/>
        <item x="1268"/>
        <item x="558"/>
        <item x="1269"/>
        <item t="default"/>
      </items>
    </pivotField>
    <pivotField axis="axisRow" compact="0" outline="0" multipleItemSelectionAllowed="1"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dataField="1" compact="0" outline="0" multipleItemSelectionAllowed="1" showAll="0">
      <items count="1545">
        <item x="1167"/>
        <item x="1477"/>
        <item x="104"/>
        <item x="85"/>
        <item x="655"/>
        <item x="1081"/>
        <item x="477"/>
        <item x="689"/>
        <item x="28"/>
        <item x="890"/>
        <item x="827"/>
        <item x="1410"/>
        <item x="906"/>
        <item x="44"/>
        <item x="728"/>
        <item x="1310"/>
        <item x="690"/>
        <item x="1071"/>
        <item x="1128"/>
        <item x="1041"/>
        <item x="1364"/>
        <item x="1291"/>
        <item x="261"/>
        <item x="122"/>
        <item x="105"/>
        <item x="1099"/>
        <item x="1249"/>
        <item x="231"/>
        <item x="138"/>
        <item x="937"/>
        <item x="1115"/>
        <item x="1042"/>
        <item x="262"/>
        <item x="1191"/>
        <item x="1491"/>
        <item x="123"/>
        <item x="15"/>
        <item x="1292"/>
        <item x="1384"/>
        <item x="1311"/>
        <item x="1524"/>
        <item x="1152"/>
        <item x="1192"/>
        <item x="857"/>
        <item x="907"/>
        <item x="981"/>
        <item x="1329"/>
        <item x="1177"/>
        <item x="427"/>
        <item x="1525"/>
        <item x="1270"/>
        <item x="442"/>
        <item x="1312"/>
        <item x="1235"/>
        <item x="908"/>
        <item x="972"/>
        <item x="1116"/>
        <item x="707"/>
        <item x="938"/>
        <item x="1508"/>
        <item x="210"/>
        <item x="1011"/>
        <item x="1350"/>
        <item x="752"/>
        <item x="68"/>
        <item x="16"/>
        <item x="753"/>
        <item x="69"/>
        <item x="139"/>
        <item x="1250"/>
        <item x="1168"/>
        <item x="1365"/>
        <item x="1492"/>
        <item x="1398"/>
        <item x="1213"/>
        <item x="1493"/>
        <item x="708"/>
        <item x="1478"/>
        <item x="196"/>
        <item x="709"/>
        <item x="1452"/>
        <item x="211"/>
        <item x="939"/>
        <item x="184"/>
        <item x="1351"/>
        <item x="70"/>
        <item x="954"/>
        <item x="369"/>
        <item x="982"/>
        <item x="106"/>
        <item x="909"/>
        <item x="531"/>
        <item x="1453"/>
        <item x="1129"/>
        <item x="729"/>
        <item x="983"/>
        <item x="29"/>
        <item x="212"/>
        <item x="491"/>
        <item x="870"/>
        <item x="540"/>
        <item x="940"/>
        <item x="411"/>
        <item x="1385"/>
        <item x="1313"/>
        <item x="922"/>
        <item x="739"/>
        <item x="346"/>
        <item x="1366"/>
        <item x="154"/>
        <item x="71"/>
        <item x="1043"/>
        <item x="1411"/>
        <item x="443"/>
        <item x="955"/>
        <item x="1044"/>
        <item x="86"/>
        <item x="1509"/>
        <item x="754"/>
        <item x="1412"/>
        <item x="1100"/>
        <item x="587"/>
        <item x="1465"/>
        <item x="1101"/>
        <item x="1431"/>
        <item x="891"/>
        <item x="1057"/>
        <item x="956"/>
        <item x="772"/>
        <item x="30"/>
        <item x="1314"/>
        <item x="328"/>
        <item x="1315"/>
        <item x="871"/>
        <item x="957"/>
        <item x="1330"/>
        <item x="1494"/>
        <item x="263"/>
        <item x="329"/>
        <item x="1236"/>
        <item x="370"/>
        <item x="45"/>
        <item x="1413"/>
        <item x="155"/>
        <item x="1000"/>
        <item x="1414"/>
        <item x="264"/>
        <item x="412"/>
        <item x="631"/>
        <item x="619"/>
        <item x="509"/>
        <item x="910"/>
        <item x="1466"/>
        <item x="213"/>
        <item x="1072"/>
        <item x="463"/>
        <item x="520"/>
        <item x="245"/>
        <item x="1432"/>
        <item x="603"/>
        <item x="911"/>
        <item x="532"/>
        <item x="72"/>
        <item x="413"/>
        <item x="371"/>
        <item x="541"/>
        <item x="656"/>
        <item x="1467"/>
        <item x="1251"/>
        <item x="1271"/>
        <item x="464"/>
        <item x="828"/>
        <item x="1526"/>
        <item x="1153"/>
        <item x="1352"/>
        <item x="1415"/>
        <item x="800"/>
        <item x="1178"/>
        <item x="1214"/>
        <item x="1510"/>
        <item x="1454"/>
        <item x="214"/>
        <item x="1252"/>
        <item x="1316"/>
        <item x="1117"/>
        <item x="197"/>
        <item x="984"/>
        <item x="1272"/>
        <item x="31"/>
        <item x="1468"/>
        <item x="755"/>
        <item x="1193"/>
        <item x="287"/>
        <item x="604"/>
        <item x="710"/>
        <item x="215"/>
        <item x="756"/>
        <item x="156"/>
        <item x="1179"/>
        <item x="17"/>
        <item x="393"/>
        <item x="444"/>
        <item x="1455"/>
        <item x="1317"/>
        <item x="730"/>
        <item x="1273"/>
        <item x="107"/>
        <item x="478"/>
        <item x="1274"/>
        <item x="265"/>
        <item x="605"/>
        <item x="1058"/>
        <item x="521"/>
        <item x="1293"/>
        <item x="606"/>
        <item x="1154"/>
        <item x="445"/>
        <item x="46"/>
        <item x="740"/>
        <item x="672"/>
        <item x="985"/>
        <item x="1194"/>
        <item x="266"/>
        <item x="1195"/>
        <item x="1260"/>
        <item x="923"/>
        <item x="18"/>
        <item x="47"/>
        <item x="32"/>
        <item x="1353"/>
        <item x="741"/>
        <item x="892"/>
        <item x="73"/>
        <item x="1416"/>
        <item x="1012"/>
        <item x="492"/>
        <item x="559"/>
        <item x="306"/>
        <item x="1045"/>
        <item x="731"/>
        <item x="1331"/>
        <item x="1275"/>
        <item x="1479"/>
        <item x="330"/>
        <item x="588"/>
        <item x="1196"/>
        <item x="232"/>
        <item x="1495"/>
        <item x="1367"/>
        <item x="783"/>
        <item x="493"/>
        <item x="394"/>
        <item x="74"/>
        <item x="1224"/>
        <item x="986"/>
        <item x="1480"/>
        <item x="108"/>
        <item x="1169"/>
        <item x="1215"/>
        <item x="1332"/>
        <item x="307"/>
        <item x="1102"/>
        <item x="428"/>
        <item x="632"/>
        <item x="1013"/>
        <item x="1155"/>
        <item x="19"/>
        <item x="1130"/>
        <item x="657"/>
        <item x="124"/>
        <item x="658"/>
        <item x="33"/>
        <item x="1368"/>
        <item x="1082"/>
        <item x="87"/>
        <item x="1156"/>
        <item x="1318"/>
        <item x="1496"/>
        <item x="1433"/>
        <item x="801"/>
        <item x="742"/>
        <item x="75"/>
        <item x="1399"/>
        <item x="308"/>
        <item x="273"/>
        <item x="958"/>
        <item x="185"/>
        <item x="347"/>
        <item x="233"/>
        <item x="1400"/>
        <item x="1261"/>
        <item x="533"/>
        <item x="0"/>
        <item x="1139"/>
        <item x="173"/>
        <item x="773"/>
        <item x="987"/>
        <item x="1118"/>
        <item x="1511"/>
        <item x="589"/>
        <item x="1417"/>
        <item x="893"/>
        <item x="1083"/>
        <item x="673"/>
        <item x="1369"/>
        <item x="1456"/>
        <item x="1014"/>
        <item x="198"/>
        <item x="814"/>
        <item x="691"/>
        <item x="246"/>
        <item x="711"/>
        <item x="1028"/>
        <item x="1527"/>
        <item x="1276"/>
        <item x="858"/>
        <item x="542"/>
        <item x="1481"/>
        <item x="1015"/>
        <item x="1237"/>
        <item x="692"/>
        <item x="912"/>
        <item x="1401"/>
        <item x="348"/>
        <item x="125"/>
        <item x="571"/>
        <item x="1073"/>
        <item x="1046"/>
        <item x="1180"/>
        <item x="959"/>
        <item x="894"/>
        <item x="633"/>
        <item x="1497"/>
        <item x="988"/>
        <item x="1119"/>
        <item x="607"/>
        <item x="247"/>
        <item x="1059"/>
        <item x="1262"/>
        <item x="989"/>
        <item x="1418"/>
        <item x="309"/>
        <item x="510"/>
        <item x="395"/>
        <item x="1370"/>
        <item x="429"/>
        <item x="1419"/>
        <item x="126"/>
        <item x="465"/>
        <item x="924"/>
        <item x="414"/>
        <item x="310"/>
        <item x="349"/>
        <item x="990"/>
        <item x="157"/>
        <item x="216"/>
        <item x="140"/>
        <item x="20"/>
        <item x="815"/>
        <item x="1420"/>
        <item x="311"/>
        <item x="1225"/>
        <item x="217"/>
        <item x="218"/>
        <item x="1084"/>
        <item x="1512"/>
        <item x="88"/>
        <item x="674"/>
        <item x="312"/>
        <item x="1253"/>
        <item x="1131"/>
        <item x="1371"/>
        <item x="199"/>
        <item x="1528"/>
        <item x="960"/>
        <item x="48"/>
        <item x="1386"/>
        <item x="446"/>
        <item x="1387"/>
        <item x="572"/>
        <item x="829"/>
        <item x="872"/>
        <item x="274"/>
        <item x="76"/>
        <item x="1482"/>
        <item x="415"/>
        <item x="1277"/>
        <item x="447"/>
        <item x="961"/>
        <item x="1354"/>
        <item x="350"/>
        <item x="573"/>
        <item x="1529"/>
        <item x="141"/>
        <item x="1085"/>
        <item x="313"/>
        <item x="873"/>
        <item x="1157"/>
        <item x="590"/>
        <item x="288"/>
        <item x="843"/>
        <item x="1513"/>
        <item x="591"/>
        <item x="248"/>
        <item x="466"/>
        <item x="830"/>
        <item x="991"/>
        <item x="859"/>
        <item x="784"/>
        <item x="314"/>
        <item x="712"/>
        <item x="1319"/>
        <item x="1469"/>
        <item x="1470"/>
        <item x="1047"/>
        <item x="1197"/>
        <item x="89"/>
        <item x="249"/>
        <item x="416"/>
        <item x="1181"/>
        <item x="1029"/>
        <item x="831"/>
        <item x="675"/>
        <item x="351"/>
        <item x="430"/>
        <item x="1530"/>
        <item x="396"/>
        <item x="511"/>
        <item x="713"/>
        <item x="941"/>
        <item x="1132"/>
        <item x="1238"/>
        <item x="1514"/>
        <item x="1086"/>
        <item x="732"/>
        <item x="1"/>
        <item x="757"/>
        <item x="275"/>
        <item x="1170"/>
        <item x="913"/>
        <item x="1198"/>
        <item x="962"/>
        <item x="186"/>
        <item x="1421"/>
        <item x="1060"/>
        <item x="574"/>
        <item x="289"/>
        <item x="21"/>
        <item x="925"/>
        <item x="479"/>
        <item x="352"/>
        <item x="1372"/>
        <item x="693"/>
        <item x="1294"/>
        <item x="1320"/>
        <item x="1295"/>
        <item x="1061"/>
        <item x="1254"/>
        <item x="659"/>
        <item x="250"/>
        <item x="1333"/>
        <item x="874"/>
        <item x="315"/>
        <item x="543"/>
        <item x="316"/>
        <item x="494"/>
        <item x="480"/>
        <item x="1263"/>
        <item x="158"/>
        <item x="2"/>
        <item x="1278"/>
        <item x="1087"/>
        <item x="49"/>
        <item x="694"/>
        <item x="785"/>
        <item x="544"/>
        <item x="417"/>
        <item x="634"/>
        <item x="159"/>
        <item x="676"/>
        <item x="1158"/>
        <item x="695"/>
        <item x="90"/>
        <item x="187"/>
        <item x="635"/>
        <item x="786"/>
        <item x="1199"/>
        <item x="774"/>
        <item x="844"/>
        <item x="1334"/>
        <item x="1457"/>
        <item x="992"/>
        <item x="1171"/>
        <item x="1355"/>
        <item x="200"/>
        <item x="495"/>
        <item x="802"/>
        <item x="1335"/>
        <item x="743"/>
        <item x="1088"/>
        <item x="1279"/>
        <item x="1001"/>
        <item x="142"/>
        <item x="926"/>
        <item x="1299"/>
        <item x="787"/>
        <item x="816"/>
        <item x="1030"/>
        <item x="331"/>
        <item x="109"/>
        <item x="50"/>
        <item x="963"/>
        <item x="431"/>
        <item x="914"/>
        <item x="832"/>
        <item x="201"/>
        <item x="803"/>
        <item x="775"/>
        <item x="534"/>
        <item x="895"/>
        <item x="575"/>
        <item x="1402"/>
        <item x="1140"/>
        <item x="1239"/>
        <item x="467"/>
        <item x="804"/>
        <item x="714"/>
        <item x="1515"/>
        <item x="560"/>
        <item x="744"/>
        <item x="576"/>
        <item x="372"/>
        <item x="993"/>
        <item x="745"/>
        <item x="1159"/>
        <item x="577"/>
        <item x="1103"/>
        <item x="1403"/>
        <item x="1373"/>
        <item x="1200"/>
        <item x="1321"/>
        <item x="202"/>
        <item x="1031"/>
        <item x="1483"/>
        <item x="290"/>
        <item x="34"/>
        <item x="219"/>
        <item x="3"/>
        <item x="545"/>
        <item x="291"/>
        <item x="1141"/>
        <item x="1531"/>
        <item x="860"/>
        <item x="160"/>
        <item x="353"/>
        <item x="1322"/>
        <item x="1201"/>
        <item x="1300"/>
        <item x="1422"/>
        <item x="51"/>
        <item x="1296"/>
        <item x="1458"/>
        <item x="964"/>
        <item x="522"/>
        <item x="448"/>
        <item x="1104"/>
        <item x="449"/>
        <item x="535"/>
        <item x="418"/>
        <item x="292"/>
        <item x="1374"/>
        <item x="523"/>
        <item x="1120"/>
        <item x="817"/>
        <item x="1516"/>
        <item x="608"/>
        <item x="1336"/>
        <item x="818"/>
        <item x="776"/>
        <item x="660"/>
        <item x="677"/>
        <item x="758"/>
        <item x="819"/>
        <item x="1323"/>
        <item x="35"/>
        <item x="592"/>
        <item x="1240"/>
        <item x="1280"/>
        <item x="1484"/>
        <item x="1182"/>
        <item x="1048"/>
        <item x="4"/>
        <item x="875"/>
        <item x="1281"/>
        <item x="354"/>
        <item x="432"/>
        <item x="293"/>
        <item x="1160"/>
        <item x="220"/>
        <item x="715"/>
        <item x="965"/>
        <item x="973"/>
        <item x="397"/>
        <item x="386"/>
        <item x="36"/>
        <item x="433"/>
        <item x="994"/>
        <item x="1471"/>
        <item x="1002"/>
        <item x="661"/>
        <item x="251"/>
        <item x="22"/>
        <item x="716"/>
        <item x="820"/>
        <item x="276"/>
        <item x="1388"/>
        <item x="221"/>
        <item x="717"/>
        <item x="1133"/>
        <item x="419"/>
        <item x="512"/>
        <item x="1532"/>
        <item x="915"/>
        <item x="387"/>
        <item x="23"/>
        <item x="1003"/>
        <item x="1297"/>
        <item x="1089"/>
        <item x="174"/>
        <item x="833"/>
        <item x="5"/>
        <item x="1241"/>
        <item x="1472"/>
        <item x="834"/>
        <item x="942"/>
        <item x="203"/>
        <item x="468"/>
        <item x="1389"/>
        <item x="420"/>
        <item x="861"/>
        <item x="696"/>
        <item x="1498"/>
        <item x="561"/>
        <item x="110"/>
        <item x="1161"/>
        <item x="1004"/>
        <item x="513"/>
        <item x="1390"/>
        <item x="127"/>
        <item x="562"/>
        <item x="91"/>
        <item x="1049"/>
        <item x="718"/>
        <item x="294"/>
        <item x="620"/>
        <item x="536"/>
        <item x="267"/>
        <item x="1255"/>
        <item x="1016"/>
        <item x="1301"/>
        <item x="1105"/>
        <item x="6"/>
        <item x="943"/>
        <item x="77"/>
        <item x="593"/>
        <item x="927"/>
        <item x="563"/>
        <item x="1183"/>
        <item x="450"/>
        <item x="92"/>
        <item x="93"/>
        <item x="252"/>
        <item x="944"/>
        <item x="746"/>
        <item x="537"/>
        <item x="1434"/>
        <item x="253"/>
        <item x="514"/>
        <item x="1517"/>
        <item x="1202"/>
        <item x="1256"/>
        <item x="1162"/>
        <item x="805"/>
        <item x="451"/>
        <item x="662"/>
        <item x="1090"/>
        <item x="398"/>
        <item x="609"/>
        <item x="295"/>
        <item x="234"/>
        <item x="788"/>
        <item x="594"/>
        <item x="578"/>
        <item x="268"/>
        <item x="332"/>
        <item x="94"/>
        <item x="546"/>
        <item x="663"/>
        <item x="876"/>
        <item x="111"/>
        <item x="1074"/>
        <item x="188"/>
        <item x="1121"/>
        <item x="388"/>
        <item x="112"/>
        <item x="113"/>
        <item x="719"/>
        <item x="1423"/>
        <item x="78"/>
        <item x="1062"/>
        <item x="697"/>
        <item x="1017"/>
        <item x="496"/>
        <item x="777"/>
        <item x="452"/>
        <item x="1032"/>
        <item x="1203"/>
        <item x="296"/>
        <item x="373"/>
        <item x="1216"/>
        <item x="52"/>
        <item x="53"/>
        <item x="1356"/>
        <item x="974"/>
        <item x="235"/>
        <item x="636"/>
        <item x="399"/>
        <item x="355"/>
        <item x="421"/>
        <item x="1337"/>
        <item x="54"/>
        <item x="356"/>
        <item x="333"/>
        <item x="1518"/>
        <item x="916"/>
        <item x="1033"/>
        <item x="678"/>
        <item x="679"/>
        <item x="845"/>
        <item x="1204"/>
        <item x="995"/>
        <item x="547"/>
        <item x="55"/>
        <item x="877"/>
        <item x="175"/>
        <item x="434"/>
        <item x="1391"/>
        <item x="469"/>
        <item x="1172"/>
        <item x="1106"/>
        <item x="1302"/>
        <item x="1338"/>
        <item x="161"/>
        <item x="778"/>
        <item x="733"/>
        <item x="1142"/>
        <item x="734"/>
        <item x="1533"/>
        <item x="515"/>
        <item x="1122"/>
        <item x="1091"/>
        <item x="664"/>
        <item x="334"/>
        <item x="162"/>
        <item x="1242"/>
        <item x="497"/>
        <item x="665"/>
        <item x="821"/>
        <item x="846"/>
        <item x="481"/>
        <item x="56"/>
        <item x="637"/>
        <item x="1435"/>
        <item x="335"/>
        <item x="163"/>
        <item x="1107"/>
        <item x="1264"/>
        <item x="1459"/>
        <item x="317"/>
        <item x="966"/>
        <item x="1063"/>
        <item x="57"/>
        <item x="638"/>
        <item x="1075"/>
        <item x="779"/>
        <item x="806"/>
        <item x="482"/>
        <item x="1050"/>
        <item x="720"/>
        <item x="164"/>
        <item x="548"/>
        <item x="143"/>
        <item x="1339"/>
        <item x="1324"/>
        <item x="639"/>
        <item x="1123"/>
        <item x="1357"/>
        <item x="144"/>
        <item x="847"/>
        <item x="878"/>
        <item x="297"/>
        <item x="453"/>
        <item x="549"/>
        <item x="454"/>
        <item x="498"/>
        <item x="400"/>
        <item x="1392"/>
        <item x="1226"/>
        <item x="165"/>
        <item x="7"/>
        <item x="610"/>
        <item x="1034"/>
        <item x="114"/>
        <item x="1205"/>
        <item x="807"/>
        <item x="298"/>
        <item x="928"/>
        <item x="1018"/>
        <item x="1473"/>
        <item x="848"/>
        <item x="1340"/>
        <item x="1184"/>
        <item x="621"/>
        <item x="640"/>
        <item x="1185"/>
        <item x="389"/>
        <item x="176"/>
        <item x="789"/>
        <item x="58"/>
        <item x="790"/>
        <item x="896"/>
        <item x="1341"/>
        <item x="879"/>
        <item x="780"/>
        <item x="1076"/>
        <item x="374"/>
        <item x="145"/>
        <item x="357"/>
        <item x="929"/>
        <item x="128"/>
        <item x="1282"/>
        <item x="975"/>
        <item x="1283"/>
        <item x="1019"/>
        <item x="930"/>
        <item x="611"/>
        <item x="1284"/>
        <item x="698"/>
        <item x="612"/>
        <item x="318"/>
        <item x="931"/>
        <item x="1257"/>
        <item x="435"/>
        <item x="1134"/>
        <item x="336"/>
        <item x="1051"/>
        <item x="550"/>
        <item x="436"/>
        <item x="680"/>
        <item x="483"/>
        <item x="791"/>
        <item x="1163"/>
        <item x="666"/>
        <item x="516"/>
        <item x="254"/>
        <item x="747"/>
        <item x="1265"/>
        <item x="236"/>
        <item x="862"/>
        <item x="358"/>
        <item x="822"/>
        <item x="359"/>
        <item x="401"/>
        <item x="641"/>
        <item x="1325"/>
        <item x="735"/>
        <item x="622"/>
        <item x="1342"/>
        <item x="95"/>
        <item x="146"/>
        <item x="863"/>
        <item x="699"/>
        <item x="1424"/>
        <item x="792"/>
        <item x="1243"/>
        <item x="700"/>
        <item x="1303"/>
        <item x="551"/>
        <item x="1499"/>
        <item x="595"/>
        <item x="945"/>
        <item x="115"/>
        <item x="1227"/>
        <item x="299"/>
        <item x="1375"/>
        <item x="1404"/>
        <item x="337"/>
        <item x="1304"/>
        <item x="932"/>
        <item x="1035"/>
        <item x="897"/>
        <item x="1143"/>
        <item x="517"/>
        <item x="1108"/>
        <item x="499"/>
        <item x="1326"/>
        <item x="1405"/>
        <item x="564"/>
        <item x="1206"/>
        <item x="1092"/>
        <item x="269"/>
        <item x="1406"/>
        <item x="1407"/>
        <item x="823"/>
        <item x="8"/>
        <item x="129"/>
        <item x="642"/>
        <item x="437"/>
        <item x="681"/>
        <item x="849"/>
        <item x="1244"/>
        <item x="667"/>
        <item x="643"/>
        <item x="37"/>
        <item x="565"/>
        <item x="759"/>
        <item x="470"/>
        <item x="500"/>
        <item x="579"/>
        <item x="9"/>
        <item x="596"/>
        <item x="222"/>
        <item x="319"/>
        <item x="1305"/>
        <item x="701"/>
        <item x="1207"/>
        <item x="580"/>
        <item x="177"/>
        <item x="338"/>
        <item x="1327"/>
        <item x="375"/>
        <item x="402"/>
        <item x="976"/>
        <item x="204"/>
        <item x="1208"/>
        <item x="501"/>
        <item x="223"/>
        <item x="864"/>
        <item x="1173"/>
        <item x="79"/>
        <item x="524"/>
        <item x="850"/>
        <item x="996"/>
        <item x="471"/>
        <item x="1425"/>
        <item x="1285"/>
        <item x="1534"/>
        <item x="898"/>
        <item x="1258"/>
        <item x="644"/>
        <item x="1535"/>
        <item x="597"/>
        <item x="189"/>
        <item x="1306"/>
        <item x="1358"/>
        <item x="760"/>
        <item x="933"/>
        <item x="967"/>
        <item x="997"/>
        <item x="1307"/>
        <item x="300"/>
        <item x="682"/>
        <item x="1408"/>
        <item x="96"/>
        <item x="224"/>
        <item x="422"/>
        <item x="116"/>
        <item x="97"/>
        <item x="190"/>
        <item x="376"/>
        <item x="339"/>
        <item x="277"/>
        <item x="98"/>
        <item x="1135"/>
        <item x="278"/>
        <item x="1036"/>
        <item x="1359"/>
        <item x="1500"/>
        <item x="1093"/>
        <item x="1228"/>
        <item x="835"/>
        <item x="403"/>
        <item x="1286"/>
        <item x="598"/>
        <item x="117"/>
        <item x="1229"/>
        <item x="968"/>
        <item x="1144"/>
        <item x="1343"/>
        <item x="360"/>
        <item x="423"/>
        <item x="279"/>
        <item x="1287"/>
        <item x="946"/>
        <item x="237"/>
        <item x="525"/>
        <item x="1376"/>
        <item x="99"/>
        <item x="1474"/>
        <item x="748"/>
        <item x="977"/>
        <item x="38"/>
        <item x="1145"/>
        <item x="1288"/>
        <item x="205"/>
        <item x="761"/>
        <item x="1077"/>
        <item x="581"/>
        <item x="100"/>
        <item x="1393"/>
        <item x="582"/>
        <item x="781"/>
        <item x="320"/>
        <item x="1094"/>
        <item x="1436"/>
        <item x="225"/>
        <item x="880"/>
        <item x="1437"/>
        <item x="80"/>
        <item x="24"/>
        <item x="1020"/>
        <item x="526"/>
        <item x="59"/>
        <item x="1146"/>
        <item x="1186"/>
        <item x="130"/>
        <item x="899"/>
        <item x="1124"/>
        <item x="118"/>
        <item x="131"/>
        <item x="1078"/>
        <item x="1426"/>
        <item x="60"/>
        <item x="645"/>
        <item x="836"/>
        <item x="1536"/>
        <item x="683"/>
        <item x="1021"/>
        <item x="808"/>
        <item x="1475"/>
        <item x="566"/>
        <item x="502"/>
        <item x="321"/>
        <item x="178"/>
        <item x="1245"/>
        <item x="25"/>
        <item x="1217"/>
        <item x="255"/>
        <item x="472"/>
        <item x="1377"/>
        <item x="322"/>
        <item x="934"/>
        <item x="26"/>
        <item x="668"/>
        <item x="39"/>
        <item x="736"/>
        <item x="881"/>
        <item x="1064"/>
        <item x="646"/>
        <item x="473"/>
        <item x="503"/>
        <item x="1438"/>
        <item x="527"/>
        <item x="238"/>
        <item x="1246"/>
        <item x="340"/>
        <item x="917"/>
        <item x="504"/>
        <item x="702"/>
        <item x="1360"/>
        <item x="1052"/>
        <item x="721"/>
        <item x="377"/>
        <item x="947"/>
        <item x="280"/>
        <item x="1361"/>
        <item x="1174"/>
        <item x="10"/>
        <item x="865"/>
        <item x="323"/>
        <item x="206"/>
        <item x="27"/>
        <item x="11"/>
        <item x="455"/>
        <item x="882"/>
        <item x="61"/>
        <item x="101"/>
        <item x="361"/>
        <item x="1022"/>
        <item x="438"/>
        <item x="528"/>
        <item x="623"/>
        <item x="624"/>
        <item x="1378"/>
        <item x="270"/>
        <item x="900"/>
        <item x="484"/>
        <item x="485"/>
        <item x="851"/>
        <item x="324"/>
        <item x="1485"/>
        <item x="166"/>
        <item x="948"/>
        <item x="456"/>
        <item x="390"/>
        <item x="824"/>
        <item x="1005"/>
        <item x="81"/>
        <item x="684"/>
        <item x="613"/>
        <item x="722"/>
        <item x="1187"/>
        <item x="62"/>
        <item x="599"/>
        <item x="1537"/>
        <item x="439"/>
        <item x="341"/>
        <item x="647"/>
        <item x="529"/>
        <item x="1538"/>
        <item x="1539"/>
        <item x="1095"/>
        <item x="1460"/>
        <item x="1230"/>
        <item x="837"/>
        <item x="1188"/>
        <item x="852"/>
        <item x="918"/>
        <item x="301"/>
        <item x="793"/>
        <item x="762"/>
        <item x="794"/>
        <item x="901"/>
        <item x="102"/>
        <item x="1394"/>
        <item x="404"/>
        <item x="552"/>
        <item x="1109"/>
        <item x="362"/>
        <item x="919"/>
        <item x="457"/>
        <item x="763"/>
        <item x="1289"/>
        <item x="12"/>
        <item x="809"/>
        <item x="147"/>
        <item x="1501"/>
        <item x="969"/>
        <item x="614"/>
        <item x="167"/>
        <item x="1218"/>
        <item x="1439"/>
        <item x="1023"/>
        <item x="764"/>
        <item x="567"/>
        <item x="1219"/>
        <item x="405"/>
        <item x="1164"/>
        <item x="1096"/>
        <item x="1502"/>
        <item x="1147"/>
        <item x="363"/>
        <item x="1024"/>
        <item x="625"/>
        <item x="1540"/>
        <item x="1541"/>
        <item x="148"/>
        <item x="1379"/>
        <item x="1037"/>
        <item x="226"/>
        <item x="568"/>
        <item x="1427"/>
        <item x="40"/>
        <item x="168"/>
        <item x="424"/>
        <item x="1344"/>
        <item x="553"/>
        <item x="169"/>
        <item x="239"/>
        <item x="685"/>
        <item x="569"/>
        <item x="256"/>
        <item x="626"/>
        <item x="902"/>
        <item x="1266"/>
        <item x="686"/>
        <item x="281"/>
        <item x="227"/>
        <item x="1267"/>
        <item x="1362"/>
        <item x="838"/>
        <item x="1428"/>
        <item x="505"/>
        <item x="883"/>
        <item x="1038"/>
        <item x="132"/>
        <item x="1345"/>
        <item x="342"/>
        <item x="1025"/>
        <item x="1409"/>
        <item x="648"/>
        <item x="170"/>
        <item x="63"/>
        <item x="1110"/>
        <item x="627"/>
        <item x="1136"/>
        <item x="765"/>
        <item x="364"/>
        <item x="795"/>
        <item x="282"/>
        <item x="949"/>
        <item x="554"/>
        <item x="1209"/>
        <item x="1111"/>
        <item x="179"/>
        <item x="1189"/>
        <item x="325"/>
        <item x="723"/>
        <item x="103"/>
        <item x="749"/>
        <item x="1097"/>
        <item x="1006"/>
        <item x="853"/>
        <item x="1486"/>
        <item x="1053"/>
        <item x="1007"/>
        <item x="796"/>
        <item x="555"/>
        <item x="1220"/>
        <item x="64"/>
        <item x="1429"/>
        <item x="1175"/>
        <item x="486"/>
        <item x="240"/>
        <item x="1346"/>
        <item x="669"/>
        <item x="1112"/>
        <item x="1440"/>
        <item x="1519"/>
        <item x="766"/>
        <item x="649"/>
        <item x="1328"/>
        <item x="950"/>
        <item x="302"/>
        <item x="866"/>
        <item x="854"/>
        <item x="1542"/>
        <item x="440"/>
        <item x="1259"/>
        <item x="1441"/>
        <item x="1380"/>
        <item x="391"/>
        <item x="825"/>
        <item x="1221"/>
        <item x="998"/>
        <item x="978"/>
        <item x="241"/>
        <item x="650"/>
        <item x="425"/>
        <item x="133"/>
        <item x="1054"/>
        <item x="628"/>
        <item x="538"/>
        <item x="65"/>
        <item x="703"/>
        <item x="1520"/>
        <item x="228"/>
        <item x="1210"/>
        <item x="303"/>
        <item x="1381"/>
        <item x="1442"/>
        <item x="855"/>
        <item x="149"/>
        <item x="242"/>
        <item x="506"/>
        <item x="839"/>
        <item x="651"/>
        <item x="458"/>
        <item x="687"/>
        <item x="507"/>
        <item x="1521"/>
        <item x="856"/>
        <item x="283"/>
        <item x="487"/>
        <item x="1247"/>
        <item x="670"/>
        <item x="13"/>
        <item x="378"/>
        <item x="508"/>
        <item x="884"/>
        <item x="459"/>
        <item x="180"/>
        <item x="1522"/>
        <item x="1125"/>
        <item x="284"/>
        <item x="1443"/>
        <item x="724"/>
        <item x="304"/>
        <item x="885"/>
        <item x="1008"/>
        <item x="615"/>
        <item x="1382"/>
        <item x="935"/>
        <item x="1065"/>
        <item x="474"/>
        <item x="570"/>
        <item x="1461"/>
        <item x="1290"/>
        <item x="725"/>
        <item x="810"/>
        <item x="1148"/>
        <item x="583"/>
        <item x="41"/>
        <item x="1055"/>
        <item x="343"/>
        <item x="257"/>
        <item x="970"/>
        <item x="1395"/>
        <item x="726"/>
        <item x="750"/>
        <item x="1503"/>
        <item x="1504"/>
        <item x="1523"/>
        <item x="119"/>
        <item x="688"/>
        <item x="1211"/>
        <item x="797"/>
        <item x="406"/>
        <item x="171"/>
        <item x="134"/>
        <item x="379"/>
        <item x="1026"/>
        <item x="727"/>
        <item x="886"/>
        <item x="441"/>
        <item x="1212"/>
        <item x="475"/>
        <item x="407"/>
        <item x="1396"/>
        <item x="1113"/>
        <item x="191"/>
        <item x="1066"/>
        <item x="82"/>
        <item x="83"/>
        <item x="798"/>
        <item x="826"/>
        <item x="811"/>
        <item x="120"/>
        <item x="1079"/>
        <item x="616"/>
        <item x="135"/>
        <item x="1231"/>
        <item x="150"/>
        <item x="476"/>
        <item x="920"/>
        <item x="488"/>
        <item x="271"/>
        <item x="1149"/>
        <item x="887"/>
        <item x="737"/>
        <item x="903"/>
        <item x="1430"/>
        <item x="326"/>
        <item x="518"/>
        <item x="408"/>
        <item x="1444"/>
        <item x="151"/>
        <item x="243"/>
        <item x="1445"/>
        <item x="181"/>
        <item x="182"/>
        <item x="951"/>
        <item x="365"/>
        <item x="617"/>
        <item x="1222"/>
        <item x="489"/>
        <item x="14"/>
        <item x="936"/>
        <item x="867"/>
        <item x="1232"/>
        <item x="1505"/>
        <item x="584"/>
        <item x="1446"/>
        <item x="1447"/>
        <item x="380"/>
        <item x="1176"/>
        <item x="1543"/>
        <item x="1448"/>
        <item x="285"/>
        <item x="812"/>
        <item x="813"/>
        <item x="344"/>
        <item x="207"/>
        <item x="381"/>
        <item x="1080"/>
        <item x="66"/>
        <item x="704"/>
        <item x="1487"/>
        <item x="652"/>
        <item x="305"/>
        <item x="999"/>
        <item x="1449"/>
        <item x="1506"/>
        <item x="1308"/>
        <item x="121"/>
        <item x="1009"/>
        <item x="653"/>
        <item x="366"/>
        <item x="629"/>
        <item x="1450"/>
        <item x="1165"/>
        <item x="1150"/>
        <item x="868"/>
        <item x="840"/>
        <item x="1010"/>
        <item x="585"/>
        <item x="888"/>
        <item x="84"/>
        <item x="1383"/>
        <item x="671"/>
        <item x="136"/>
        <item x="1151"/>
        <item x="1223"/>
        <item x="208"/>
        <item x="367"/>
        <item x="1233"/>
        <item x="1363"/>
        <item x="1067"/>
        <item x="705"/>
        <item x="192"/>
        <item x="382"/>
        <item x="1068"/>
        <item x="229"/>
        <item x="1507"/>
        <item x="869"/>
        <item x="1347"/>
        <item x="172"/>
        <item x="1190"/>
        <item x="1126"/>
        <item x="799"/>
        <item x="1397"/>
        <item x="368"/>
        <item x="327"/>
        <item x="519"/>
        <item x="767"/>
        <item x="1309"/>
        <item x="889"/>
        <item x="1462"/>
        <item x="979"/>
        <item x="841"/>
        <item x="460"/>
        <item x="921"/>
        <item x="383"/>
        <item x="1027"/>
        <item x="193"/>
        <item x="426"/>
        <item x="768"/>
        <item x="1127"/>
        <item x="461"/>
        <item x="630"/>
        <item x="1114"/>
        <item x="980"/>
        <item x="1348"/>
        <item x="971"/>
        <item x="384"/>
        <item x="1463"/>
        <item x="782"/>
        <item x="600"/>
        <item x="1488"/>
        <item x="1056"/>
        <item x="654"/>
        <item x="952"/>
        <item x="1039"/>
        <item x="586"/>
        <item x="751"/>
        <item x="152"/>
        <item x="738"/>
        <item x="1098"/>
        <item x="42"/>
        <item x="1451"/>
        <item x="601"/>
        <item x="904"/>
        <item x="1489"/>
        <item x="462"/>
        <item x="490"/>
        <item x="272"/>
        <item x="137"/>
        <item x="530"/>
        <item x="286"/>
        <item x="258"/>
        <item x="1040"/>
        <item x="539"/>
        <item x="409"/>
        <item x="706"/>
        <item x="67"/>
        <item x="43"/>
        <item x="183"/>
        <item x="392"/>
        <item x="1298"/>
        <item x="153"/>
        <item x="842"/>
        <item x="410"/>
        <item x="1248"/>
        <item x="618"/>
        <item x="194"/>
        <item x="953"/>
        <item x="1476"/>
        <item x="556"/>
        <item x="1490"/>
        <item x="1069"/>
        <item x="557"/>
        <item x="769"/>
        <item x="259"/>
        <item x="1234"/>
        <item x="1349"/>
        <item x="905"/>
        <item x="1166"/>
        <item x="770"/>
        <item x="195"/>
        <item x="771"/>
        <item x="385"/>
        <item x="260"/>
        <item x="345"/>
        <item x="1070"/>
        <item x="602"/>
        <item x="230"/>
        <item x="1137"/>
        <item x="244"/>
        <item x="209"/>
        <item x="1138"/>
        <item x="1464"/>
        <item x="1268"/>
        <item x="558"/>
        <item x="126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1447">
        <item x="1378"/>
        <item x="543"/>
        <item x="1375"/>
        <item x="695"/>
        <item x="1300"/>
        <item x="923"/>
        <item x="1225"/>
        <item x="720"/>
        <item x="1127"/>
        <item x="1179"/>
        <item x="136"/>
        <item x="646"/>
        <item x="412"/>
        <item x="595"/>
        <item x="1182"/>
        <item x="1247"/>
        <item x="444"/>
        <item x="265"/>
        <item x="598"/>
        <item x="1391"/>
        <item x="647"/>
        <item x="1024"/>
        <item x="273"/>
        <item x="936"/>
        <item x="1419"/>
        <item x="1373"/>
        <item x="1207"/>
        <item x="348"/>
        <item x="1113"/>
        <item x="664"/>
        <item x="1027"/>
        <item x="479"/>
        <item x="894"/>
        <item x="420"/>
        <item x="571"/>
        <item x="1425"/>
        <item x="1206"/>
        <item x="631"/>
        <item x="1343"/>
        <item x="1234"/>
        <item x="1257"/>
        <item x="926"/>
        <item x="225"/>
        <item x="795"/>
        <item x="1175"/>
        <item x="658"/>
        <item x="887"/>
        <item x="473"/>
        <item x="765"/>
        <item x="640"/>
        <item x="228"/>
        <item x="378"/>
        <item x="776"/>
        <item x="576"/>
        <item x="83"/>
        <item x="305"/>
        <item x="1414"/>
        <item x="856"/>
        <item x="1012"/>
        <item x="1329"/>
        <item x="1014"/>
        <item x="122"/>
        <item x="1037"/>
        <item x="480"/>
        <item x="238"/>
        <item x="449"/>
        <item x="1065"/>
        <item x="491"/>
        <item x="212"/>
        <item x="328"/>
        <item x="1333"/>
        <item x="1381"/>
        <item x="1202"/>
        <item x="611"/>
        <item x="1053"/>
        <item x="1124"/>
        <item x="287"/>
        <item x="960"/>
        <item x="7"/>
        <item x="755"/>
        <item x="1040"/>
        <item x="1089"/>
        <item x="1393"/>
        <item x="1138"/>
        <item x="446"/>
        <item x="893"/>
        <item x="231"/>
        <item x="924"/>
        <item x="2"/>
        <item x="1101"/>
        <item x="47"/>
        <item x="680"/>
        <item x="118"/>
        <item x="667"/>
        <item x="1171"/>
        <item x="1172"/>
        <item x="436"/>
        <item x="347"/>
        <item x="944"/>
        <item x="896"/>
        <item x="485"/>
        <item x="1185"/>
        <item x="903"/>
        <item x="1292"/>
        <item x="1323"/>
        <item x="1374"/>
        <item x="85"/>
        <item x="1201"/>
        <item x="1444"/>
        <item x="1034"/>
        <item x="1360"/>
        <item x="713"/>
        <item x="1424"/>
        <item x="1353"/>
        <item x="1289"/>
        <item x="1359"/>
        <item x="1004"/>
        <item x="980"/>
        <item x="1222"/>
        <item x="1010"/>
        <item x="1022"/>
        <item x="629"/>
        <item x="812"/>
        <item x="10"/>
        <item x="463"/>
        <item x="46"/>
        <item x="623"/>
        <item x="651"/>
        <item x="753"/>
        <item x="442"/>
        <item x="493"/>
        <item x="1263"/>
        <item x="1396"/>
        <item x="506"/>
        <item x="1177"/>
        <item x="1189"/>
        <item x="608"/>
        <item x="130"/>
        <item x="818"/>
        <item x="835"/>
        <item x="101"/>
        <item x="742"/>
        <item x="901"/>
        <item x="368"/>
        <item x="1161"/>
        <item x="1319"/>
        <item x="849"/>
        <item x="1241"/>
        <item x="654"/>
        <item x="860"/>
        <item x="790"/>
        <item x="124"/>
        <item x="771"/>
        <item x="1238"/>
        <item x="1142"/>
        <item x="134"/>
        <item x="86"/>
        <item x="1039"/>
        <item x="329"/>
        <item x="737"/>
        <item x="492"/>
        <item x="394"/>
        <item x="847"/>
        <item x="1420"/>
        <item x="1299"/>
        <item x="507"/>
        <item x="143"/>
        <item x="723"/>
        <item x="346"/>
        <item x="18"/>
        <item x="1337"/>
        <item x="912"/>
        <item x="203"/>
        <item x="224"/>
        <item x="694"/>
        <item x="345"/>
        <item x="992"/>
        <item x="24"/>
        <item x="1302"/>
        <item x="1245"/>
        <item x="950"/>
        <item x="965"/>
        <item x="1357"/>
        <item x="873"/>
        <item x="64"/>
        <item x="511"/>
        <item x="404"/>
        <item x="218"/>
        <item x="949"/>
        <item x="759"/>
        <item x="174"/>
        <item x="793"/>
        <item x="165"/>
        <item x="1075"/>
        <item x="804"/>
        <item x="562"/>
        <item x="749"/>
        <item x="687"/>
        <item x="917"/>
        <item x="1215"/>
        <item x="690"/>
        <item x="1303"/>
        <item x="833"/>
        <item x="102"/>
        <item x="281"/>
        <item x="132"/>
        <item x="1328"/>
        <item x="638"/>
        <item x="1047"/>
        <item x="1093"/>
        <item x="450"/>
        <item x="584"/>
        <item x="761"/>
        <item x="516"/>
        <item x="613"/>
        <item x="752"/>
        <item x="298"/>
        <item x="488"/>
        <item x="363"/>
        <item x="1121"/>
        <item x="704"/>
        <item x="778"/>
        <item x="375"/>
        <item x="471"/>
        <item x="34"/>
        <item x="811"/>
        <item x="854"/>
        <item x="1136"/>
        <item x="1100"/>
        <item x="358"/>
        <item x="1445"/>
        <item x="1408"/>
        <item x="679"/>
        <item x="872"/>
        <item x="197"/>
        <item x="1106"/>
        <item x="672"/>
        <item x="634"/>
        <item x="1287"/>
        <item x="350"/>
        <item x="1377"/>
        <item x="1159"/>
        <item x="135"/>
        <item x="1410"/>
        <item x="525"/>
        <item x="468"/>
        <item x="813"/>
        <item x="857"/>
        <item x="6"/>
        <item x="736"/>
        <item x="280"/>
        <item x="1442"/>
        <item x="1224"/>
        <item x="764"/>
        <item x="1026"/>
        <item x="971"/>
        <item x="311"/>
        <item x="564"/>
        <item x="1019"/>
        <item x="1163"/>
        <item x="797"/>
        <item x="751"/>
        <item x="538"/>
        <item x="837"/>
        <item x="529"/>
        <item x="605"/>
        <item x="789"/>
        <item x="1416"/>
        <item x="1297"/>
        <item x="1055"/>
        <item x="879"/>
        <item x="806"/>
        <item x="575"/>
        <item x="39"/>
        <item x="440"/>
        <item x="227"/>
        <item x="1440"/>
        <item x="767"/>
        <item x="29"/>
        <item x="937"/>
        <item x="313"/>
        <item x="1209"/>
        <item x="356"/>
        <item x="1426"/>
        <item x="424"/>
        <item x="641"/>
        <item x="487"/>
        <item x="744"/>
        <item x="43"/>
        <item x="1365"/>
        <item x="105"/>
        <item x="750"/>
        <item x="257"/>
        <item x="1074"/>
        <item x="888"/>
        <item x="14"/>
        <item x="1186"/>
        <item x="70"/>
        <item x="580"/>
        <item x="1282"/>
        <item x="419"/>
        <item x="267"/>
        <item x="563"/>
        <item x="954"/>
        <item x="1062"/>
        <item x="1200"/>
        <item x="1239"/>
        <item x="1390"/>
        <item x="991"/>
        <item x="44"/>
        <item x="897"/>
        <item x="719"/>
        <item x="858"/>
        <item x="524"/>
        <item x="589"/>
        <item x="282"/>
        <item x="618"/>
        <item x="587"/>
        <item x="1314"/>
        <item x="1349"/>
        <item x="244"/>
        <item x="619"/>
        <item x="661"/>
        <item x="829"/>
        <item x="677"/>
        <item x="1355"/>
        <item x="1036"/>
        <item x="688"/>
        <item x="392"/>
        <item x="801"/>
        <item x="526"/>
        <item x="747"/>
        <item x="1275"/>
        <item x="1348"/>
        <item x="271"/>
        <item x="920"/>
        <item x="785"/>
        <item x="1422"/>
        <item x="891"/>
        <item x="508"/>
        <item x="715"/>
        <item x="551"/>
        <item x="519"/>
        <item x="986"/>
        <item x="536"/>
        <item x="836"/>
        <item x="279"/>
        <item x="205"/>
        <item x="552"/>
        <item x="142"/>
        <item x="464"/>
        <item x="966"/>
        <item x="100"/>
        <item x="1020"/>
        <item x="786"/>
        <item x="1259"/>
        <item x="283"/>
        <item x="344"/>
        <item x="642"/>
        <item x="1214"/>
        <item x="862"/>
        <item x="532"/>
        <item x="156"/>
        <item x="1112"/>
        <item x="1248"/>
        <item x="1002"/>
        <item x="521"/>
        <item x="724"/>
        <item x="725"/>
        <item x="989"/>
        <item x="1405"/>
        <item x="961"/>
        <item x="456"/>
        <item x="726"/>
        <item x="1318"/>
        <item x="909"/>
        <item x="185"/>
        <item x="1336"/>
        <item x="1025"/>
        <item x="681"/>
        <item x="1330"/>
        <item x="1193"/>
        <item x="429"/>
        <item x="1421"/>
        <item x="314"/>
        <item x="1435"/>
        <item x="1152"/>
        <item x="1267"/>
        <item x="354"/>
        <item x="1311"/>
        <item x="1232"/>
        <item x="559"/>
        <item x="542"/>
        <item x="451"/>
        <item x="1030"/>
        <item x="332"/>
        <item x="653"/>
        <item x="509"/>
        <item x="561"/>
        <item x="784"/>
        <item x="548"/>
        <item x="632"/>
        <item x="1219"/>
        <item x="691"/>
        <item x="573"/>
        <item x="204"/>
        <item x="817"/>
        <item x="1033"/>
        <item x="60"/>
        <item x="377"/>
        <item x="322"/>
        <item x="610"/>
        <item x="459"/>
        <item x="1061"/>
        <item x="663"/>
        <item x="834"/>
        <item x="1007"/>
        <item x="503"/>
        <item x="527"/>
        <item x="869"/>
        <item x="1290"/>
        <item x="361"/>
        <item x="807"/>
        <item x="1371"/>
        <item x="1286"/>
        <item x="674"/>
        <item x="341"/>
        <item x="1376"/>
        <item x="741"/>
        <item x="1411"/>
        <item x="148"/>
        <item x="1035"/>
        <item x="486"/>
        <item x="240"/>
        <item x="659"/>
        <item x="639"/>
        <item x="819"/>
        <item x="787"/>
        <item x="133"/>
        <item x="61"/>
        <item x="810"/>
        <item x="242"/>
        <item x="458"/>
        <item x="466"/>
        <item x="110"/>
        <item x="180"/>
        <item x="607"/>
        <item x="308"/>
        <item x="599"/>
        <item x="731"/>
        <item x="120"/>
        <item x="1162"/>
        <item x="840"/>
        <item x="518"/>
        <item x="1397"/>
        <item x="972"/>
        <item x="366"/>
        <item x="1084"/>
        <item x="799"/>
        <item x="578"/>
        <item x="1388"/>
        <item x="104"/>
        <item x="477"/>
        <item x="777"/>
        <item x="512"/>
        <item x="303"/>
        <item x="138"/>
        <item x="889"/>
        <item x="1051"/>
        <item x="539"/>
        <item x="1086"/>
        <item x="930"/>
        <item x="1260"/>
        <item x="890"/>
        <item x="262"/>
        <item x="1429"/>
        <item x="1293"/>
        <item x="1144"/>
        <item x="369"/>
        <item x="861"/>
        <item x="411"/>
        <item x="71"/>
        <item x="1261"/>
        <item x="370"/>
        <item x="1194"/>
        <item x="1436"/>
        <item x="188"/>
        <item x="1057"/>
        <item x="387"/>
        <item x="52"/>
        <item x="399"/>
        <item x="830"/>
        <item x="1322"/>
        <item x="374"/>
        <item x="513"/>
        <item x="1220"/>
        <item x="970"/>
        <item x="983"/>
        <item x="827"/>
        <item x="176"/>
        <item x="1403"/>
        <item x="211"/>
        <item x="319"/>
        <item x="1262"/>
        <item x="1315"/>
        <item x="35"/>
        <item x="264"/>
        <item x="1306"/>
        <item x="1105"/>
        <item x="932"/>
        <item x="892"/>
        <item x="1309"/>
        <item x="1115"/>
        <item x="365"/>
        <item x="987"/>
        <item x="1246"/>
        <item x="908"/>
        <item x="948"/>
        <item x="621"/>
        <item x="1401"/>
        <item x="323"/>
        <item x="1191"/>
        <item x="565"/>
        <item x="1351"/>
        <item x="1345"/>
        <item x="844"/>
        <item x="1111"/>
        <item x="1145"/>
        <item x="285"/>
        <item x="1052"/>
        <item x="933"/>
        <item x="1203"/>
        <item x="425"/>
        <item x="59"/>
        <item x="17"/>
        <item x="393"/>
        <item x="1372"/>
        <item x="1128"/>
        <item x="79"/>
        <item x="220"/>
        <item x="372"/>
        <item x="478"/>
        <item x="1005"/>
        <item x="380"/>
        <item x="805"/>
        <item x="689"/>
        <item x="232"/>
        <item x="935"/>
        <item x="19"/>
        <item x="1090"/>
        <item x="931"/>
        <item x="233"/>
        <item x="1054"/>
        <item x="962"/>
        <item x="700"/>
        <item x="682"/>
        <item x="990"/>
        <item x="500"/>
        <item x="414"/>
        <item x="250"/>
        <item x="349"/>
        <item x="939"/>
        <item x="140"/>
        <item x="88"/>
        <item x="1094"/>
        <item x="911"/>
        <item x="745"/>
        <item x="76"/>
        <item x="248"/>
        <item x="791"/>
        <item x="940"/>
        <item x="1384"/>
        <item x="396"/>
        <item x="1068"/>
        <item x="1"/>
        <item x="1340"/>
        <item x="567"/>
        <item x="72"/>
        <item x="1251"/>
        <item x="624"/>
        <item x="1091"/>
        <item x="1285"/>
        <item x="194"/>
        <item x="50"/>
        <item x="1167"/>
        <item x="49"/>
        <item x="1076"/>
        <item x="1210"/>
        <item x="94"/>
        <item x="433"/>
        <item x="523"/>
        <item x="782"/>
        <item x="1223"/>
        <item x="417"/>
        <item x="55"/>
        <item x="114"/>
        <item x="99"/>
        <item x="90"/>
        <item x="880"/>
        <item x="1431"/>
        <item x="26"/>
        <item x="914"/>
        <item x="266"/>
        <item x="432"/>
        <item x="293"/>
        <item x="489"/>
        <item x="1069"/>
        <item x="416"/>
        <item x="1114"/>
        <item x="448"/>
        <item x="401"/>
        <item x="315"/>
        <item x="588"/>
        <item x="77"/>
        <item x="409"/>
        <item x="656"/>
        <item x="222"/>
        <item x="1137"/>
        <item x="95"/>
        <item x="716"/>
        <item x="733"/>
        <item x="652"/>
        <item x="398"/>
        <item x="760"/>
        <item x="586"/>
        <item x="1369"/>
        <item x="1226"/>
        <item x="388"/>
        <item x="942"/>
        <item x="832"/>
        <item x="1307"/>
        <item x="913"/>
        <item x="698"/>
        <item x="147"/>
        <item x="103"/>
        <item x="153"/>
        <item x="541"/>
        <item x="82"/>
        <item x="754"/>
        <item x="1433"/>
        <item x="1406"/>
        <item x="307"/>
        <item x="1276"/>
        <item x="1217"/>
        <item x="1278"/>
        <item x="1155"/>
        <item x="866"/>
        <item x="1317"/>
        <item x="770"/>
        <item x="1103"/>
        <item x="158"/>
        <item x="434"/>
        <item x="1274"/>
        <item x="615"/>
        <item x="1395"/>
        <item x="455"/>
        <item x="56"/>
        <item x="1352"/>
        <item x="157"/>
        <item x="4"/>
        <item x="1117"/>
        <item x="261"/>
        <item x="943"/>
        <item x="161"/>
        <item x="1058"/>
        <item x="762"/>
        <item x="117"/>
        <item x="343"/>
        <item x="381"/>
        <item x="648"/>
        <item x="75"/>
        <item x="781"/>
        <item x="614"/>
        <item x="921"/>
        <item x="1073"/>
        <item x="969"/>
        <item x="673"/>
        <item x="1205"/>
        <item x="504"/>
        <item x="73"/>
        <item x="735"/>
        <item x="1389"/>
        <item x="1015"/>
        <item x="863"/>
        <item x="1383"/>
        <item x="309"/>
        <item x="1250"/>
        <item x="702"/>
        <item x="431"/>
        <item x="290"/>
        <item x="699"/>
        <item x="33"/>
        <item x="963"/>
        <item x="310"/>
        <item x="756"/>
        <item x="535"/>
        <item x="1211"/>
        <item x="645"/>
        <item x="175"/>
        <item x="1043"/>
        <item x="528"/>
        <item x="164"/>
        <item x="1009"/>
        <item x="1413"/>
        <item x="1109"/>
        <item x="1050"/>
        <item x="904"/>
        <item x="501"/>
        <item x="945"/>
        <item x="1417"/>
        <item x="1107"/>
        <item x="853"/>
        <item x="1308"/>
        <item x="848"/>
        <item x="644"/>
        <item x="259"/>
        <item x="1298"/>
        <item x="1434"/>
        <item x="1195"/>
        <item x="843"/>
        <item x="637"/>
        <item x="976"/>
        <item x="1157"/>
        <item x="330"/>
        <item x="333"/>
        <item x="718"/>
        <item x="1023"/>
        <item x="28"/>
        <item x="123"/>
        <item x="697"/>
        <item x="734"/>
        <item x="1430"/>
        <item x="16"/>
        <item x="520"/>
        <item x="1335"/>
        <item x="1295"/>
        <item x="622"/>
        <item x="846"/>
        <item x="701"/>
        <item x="1301"/>
        <item x="12"/>
        <item x="334"/>
        <item x="994"/>
        <item x="146"/>
        <item x="1258"/>
        <item x="1439"/>
        <item x="300"/>
        <item x="1060"/>
        <item x="1118"/>
        <item x="476"/>
        <item x="947"/>
        <item x="1229"/>
        <item x="1099"/>
        <item x="154"/>
        <item x="1404"/>
        <item x="213"/>
        <item x="1418"/>
        <item x="1003"/>
        <item x="1008"/>
        <item x="1204"/>
        <item x="597"/>
        <item x="662"/>
        <item x="1126"/>
        <item x="875"/>
        <item x="1146"/>
        <item x="779"/>
        <item x="864"/>
        <item x="938"/>
        <item x="465"/>
        <item x="312"/>
        <item x="1184"/>
        <item x="1067"/>
        <item x="48"/>
        <item x="1310"/>
        <item x="58"/>
        <item x="596"/>
        <item x="1398"/>
        <item x="922"/>
        <item x="732"/>
        <item x="214"/>
        <item x="822"/>
        <item x="593"/>
        <item x="8"/>
        <item x="470"/>
        <item x="131"/>
        <item x="1279"/>
        <item x="1212"/>
        <item x="975"/>
        <item x="198"/>
        <item x="814"/>
        <item x="1071"/>
        <item x="967"/>
        <item x="497"/>
        <item x="128"/>
        <item x="884"/>
        <item x="215"/>
        <item x="160"/>
        <item x="555"/>
        <item x="190"/>
        <item x="850"/>
        <item x="170"/>
        <item x="1199"/>
        <item x="316"/>
        <item x="1254"/>
        <item x="1394"/>
        <item x="792"/>
        <item x="127"/>
        <item x="93"/>
        <item x="626"/>
        <item x="355"/>
        <item x="668"/>
        <item x="803"/>
        <item x="389"/>
        <item x="604"/>
        <item x="815"/>
        <item x="1324"/>
        <item x="269"/>
        <item x="402"/>
        <item x="1237"/>
        <item x="1327"/>
        <item x="376"/>
        <item x="98"/>
        <item x="1045"/>
        <item x="168"/>
        <item x="364"/>
        <item x="927"/>
        <item x="241"/>
        <item x="711"/>
        <item x="1154"/>
        <item x="193"/>
        <item x="272"/>
        <item x="1400"/>
        <item x="209"/>
        <item x="934"/>
        <item x="570"/>
        <item x="268"/>
        <item x="113"/>
        <item x="362"/>
        <item x="192"/>
        <item x="383"/>
        <item x="490"/>
        <item x="324"/>
        <item x="1013"/>
        <item x="111"/>
        <item x="558"/>
        <item x="352"/>
        <item x="686"/>
        <item x="592"/>
        <item x="1149"/>
        <item x="155"/>
        <item x="727"/>
        <item x="1321"/>
        <item x="1092"/>
        <item x="112"/>
        <item x="1342"/>
        <item x="454"/>
        <item x="560"/>
        <item x="339"/>
        <item x="1160"/>
        <item x="919"/>
        <item x="1079"/>
        <item x="1441"/>
        <item x="997"/>
        <item x="1108"/>
        <item x="460"/>
        <item x="1063"/>
        <item x="195"/>
        <item x="1097"/>
        <item x="208"/>
        <item x="609"/>
        <item x="1231"/>
        <item x="252"/>
        <item x="236"/>
        <item x="163"/>
        <item x="294"/>
        <item x="1385"/>
        <item x="21"/>
        <item x="1166"/>
        <item x="1080"/>
        <item x="200"/>
        <item x="353"/>
        <item x="915"/>
        <item x="1056"/>
        <item x="249"/>
        <item x="1280"/>
        <item x="397"/>
        <item x="251"/>
        <item x="705"/>
        <item x="867"/>
        <item x="1041"/>
        <item x="612"/>
        <item x="438"/>
        <item x="270"/>
        <item x="263"/>
        <item x="1001"/>
        <item x="1363"/>
        <item x="816"/>
        <item x="1147"/>
        <item x="669"/>
        <item x="173"/>
        <item x="297"/>
        <item x="400"/>
        <item x="603"/>
        <item x="729"/>
        <item x="910"/>
        <item x="633"/>
        <item x="636"/>
        <item x="796"/>
        <item x="40"/>
        <item x="256"/>
        <item x="1256"/>
        <item x="740"/>
        <item x="295"/>
        <item x="326"/>
        <item x="1198"/>
        <item x="973"/>
        <item x="63"/>
        <item x="617"/>
        <item x="809"/>
        <item x="876"/>
        <item x="1164"/>
        <item x="121"/>
        <item x="671"/>
        <item x="577"/>
        <item x="902"/>
        <item x="367"/>
        <item x="1228"/>
        <item x="299"/>
        <item x="600"/>
        <item x="1270"/>
        <item x="1066"/>
        <item x="1249"/>
        <item x="877"/>
        <item x="494"/>
        <item x="916"/>
        <item x="1268"/>
        <item x="1354"/>
        <item x="1059"/>
        <item x="422"/>
        <item x="1218"/>
        <item x="1048"/>
        <item x="84"/>
        <item x="553"/>
        <item x="650"/>
        <item x="36"/>
        <item x="655"/>
        <item x="423"/>
        <item x="502"/>
        <item x="859"/>
        <item x="1000"/>
        <item x="557"/>
        <item x="496"/>
        <item x="630"/>
        <item x="1367"/>
        <item x="1011"/>
        <item x="9"/>
        <item x="292"/>
        <item x="1356"/>
        <item x="1190"/>
        <item x="1221"/>
        <item x="1173"/>
        <item x="544"/>
        <item x="968"/>
        <item x="1046"/>
        <item x="66"/>
        <item x="531"/>
        <item x="327"/>
        <item x="152"/>
        <item x="78"/>
        <item x="1368"/>
        <item x="137"/>
        <item x="721"/>
        <item x="210"/>
        <item x="1344"/>
        <item x="1187"/>
        <item x="469"/>
        <item x="1325"/>
        <item x="286"/>
        <item x="1326"/>
        <item x="53"/>
        <item x="627"/>
        <item x="45"/>
        <item x="783"/>
        <item x="229"/>
        <item x="706"/>
        <item x="828"/>
        <item x="428"/>
        <item x="1269"/>
        <item x="162"/>
        <item x="481"/>
        <item x="335"/>
        <item x="628"/>
        <item x="1110"/>
        <item x="1272"/>
        <item x="357"/>
        <item x="413"/>
        <item x="905"/>
        <item x="1361"/>
        <item x="883"/>
        <item x="1188"/>
        <item x="336"/>
        <item x="483"/>
        <item x="556"/>
        <item x="191"/>
        <item x="1196"/>
        <item x="359"/>
        <item x="1235"/>
        <item x="499"/>
        <item x="881"/>
        <item x="129"/>
        <item x="338"/>
        <item x="275"/>
        <item x="1049"/>
        <item x="808"/>
        <item x="171"/>
        <item x="1044"/>
        <item x="331"/>
        <item x="925"/>
        <item x="177"/>
        <item x="1139"/>
        <item x="1253"/>
        <item x="1216"/>
        <item x="851"/>
        <item x="461"/>
        <item x="743"/>
        <item x="579"/>
        <item x="800"/>
        <item x="289"/>
        <item x="445"/>
        <item x="65"/>
        <item x="382"/>
        <item x="842"/>
        <item x="982"/>
        <item x="1415"/>
        <item x="929"/>
        <item x="384"/>
        <item x="979"/>
        <item x="1240"/>
        <item x="11"/>
        <item x="601"/>
        <item x="167"/>
        <item x="1288"/>
        <item x="1409"/>
        <item x="1358"/>
        <item x="403"/>
        <item x="96"/>
        <item x="360"/>
        <item x="898"/>
        <item x="773"/>
        <item x="80"/>
        <item x="1387"/>
        <item x="178"/>
        <item x="385"/>
        <item x="472"/>
        <item x="5"/>
        <item x="707"/>
        <item x="899"/>
        <item x="373"/>
        <item x="27"/>
        <item x="900"/>
        <item x="953"/>
        <item x="81"/>
        <item x="439"/>
        <item x="1443"/>
        <item x="625"/>
        <item x="1119"/>
        <item x="870"/>
        <item x="1339"/>
        <item x="1038"/>
        <item x="498"/>
        <item x="181"/>
        <item x="1153"/>
        <item x="1346"/>
        <item x="855"/>
        <item x="676"/>
        <item x="1347"/>
        <item x="342"/>
        <item x="1072"/>
        <item x="235"/>
        <item x="1151"/>
        <item x="1277"/>
        <item x="666"/>
        <item x="159"/>
        <item x="23"/>
        <item x="1412"/>
        <item x="946"/>
        <item x="585"/>
        <item x="590"/>
        <item x="1427"/>
        <item x="995"/>
        <item x="284"/>
        <item x="1178"/>
        <item x="660"/>
        <item x="340"/>
        <item x="22"/>
        <item x="730"/>
        <item x="1350"/>
        <item x="748"/>
        <item x="977"/>
        <item x="1176"/>
        <item x="606"/>
        <item x="998"/>
        <item x="230"/>
        <item x="746"/>
        <item x="1130"/>
        <item x="1255"/>
        <item x="1122"/>
        <item x="15"/>
        <item x="1123"/>
        <item x="69"/>
        <item x="1294"/>
        <item x="906"/>
        <item x="988"/>
        <item x="1087"/>
        <item x="845"/>
        <item x="1016"/>
        <item x="20"/>
        <item x="274"/>
        <item x="826"/>
        <item x="665"/>
        <item x="430"/>
        <item x="649"/>
        <item x="964"/>
        <item x="1133"/>
        <item x="296"/>
        <item x="57"/>
        <item x="572"/>
        <item x="547"/>
        <item x="1032"/>
        <item x="574"/>
        <item x="852"/>
        <item x="321"/>
        <item x="25"/>
        <item x="1304"/>
        <item x="886"/>
        <item x="62"/>
        <item x="549"/>
        <item x="871"/>
        <item x="457"/>
        <item x="325"/>
        <item x="709"/>
        <item x="838"/>
        <item x="407"/>
        <item x="1021"/>
        <item x="172"/>
        <item x="530"/>
        <item x="594"/>
        <item x="554"/>
        <item x="546"/>
        <item x="1407"/>
        <item x="1437"/>
        <item x="1313"/>
        <item x="505"/>
        <item x="1370"/>
        <item x="874"/>
        <item x="418"/>
        <item x="1098"/>
        <item x="189"/>
        <item x="1265"/>
        <item x="51"/>
        <item x="421"/>
        <item x="217"/>
        <item x="253"/>
        <item x="693"/>
        <item x="1181"/>
        <item x="196"/>
        <item x="540"/>
        <item x="1244"/>
        <item x="30"/>
        <item x="31"/>
        <item x="306"/>
        <item x="1168"/>
        <item x="510"/>
        <item x="825"/>
        <item x="1208"/>
        <item x="683"/>
        <item x="757"/>
        <item x="187"/>
        <item x="1170"/>
        <item x="1252"/>
        <item x="993"/>
        <item x="978"/>
        <item x="1042"/>
        <item x="1006"/>
        <item x="482"/>
        <item x="831"/>
        <item x="1070"/>
        <item x="1158"/>
        <item x="657"/>
        <item x="37"/>
        <item x="738"/>
        <item x="1236"/>
        <item x="277"/>
        <item x="1081"/>
        <item x="1148"/>
        <item x="692"/>
        <item x="206"/>
        <item x="708"/>
        <item x="301"/>
        <item x="775"/>
        <item x="391"/>
        <item x="1141"/>
        <item x="798"/>
        <item x="406"/>
        <item x="441"/>
        <item x="957"/>
        <item x="1291"/>
        <item x="1135"/>
        <item x="643"/>
        <item x="38"/>
        <item x="1243"/>
        <item x="823"/>
        <item x="126"/>
        <item x="41"/>
        <item x="255"/>
        <item x="710"/>
        <item x="304"/>
        <item x="216"/>
        <item x="474"/>
        <item x="999"/>
        <item x="320"/>
        <item x="437"/>
        <item x="1428"/>
        <item x="678"/>
        <item x="119"/>
        <item x="184"/>
        <item x="839"/>
        <item x="1143"/>
        <item x="151"/>
        <item x="221"/>
        <item x="243"/>
        <item x="1362"/>
        <item x="467"/>
        <item x="583"/>
        <item x="139"/>
        <item x="201"/>
        <item x="54"/>
        <item x="1271"/>
        <item x="820"/>
        <item x="106"/>
        <item x="1183"/>
        <item x="1125"/>
        <item x="415"/>
        <item x="865"/>
        <item x="885"/>
        <item x="317"/>
        <item x="670"/>
        <item x="1028"/>
        <item x="1213"/>
        <item x="254"/>
        <item x="1392"/>
        <item x="1104"/>
        <item x="410"/>
        <item x="405"/>
        <item x="1312"/>
        <item x="1227"/>
        <item x="169"/>
        <item x="794"/>
        <item x="941"/>
        <item x="1102"/>
        <item x="125"/>
        <item x="89"/>
        <item x="0"/>
        <item x="514"/>
        <item x="453"/>
        <item x="149"/>
        <item x="956"/>
        <item x="207"/>
        <item x="985"/>
        <item x="427"/>
        <item x="1180"/>
        <item x="959"/>
        <item x="443"/>
        <item x="1380"/>
        <item x="907"/>
        <item x="202"/>
        <item x="484"/>
        <item x="351"/>
        <item x="245"/>
        <item x="1382"/>
        <item x="97"/>
        <item x="1283"/>
        <item x="32"/>
        <item x="581"/>
        <item x="1192"/>
        <item x="582"/>
        <item x="247"/>
        <item x="1432"/>
        <item x="1338"/>
        <item x="447"/>
        <item x="390"/>
        <item x="1169"/>
        <item x="1264"/>
        <item x="395"/>
        <item x="1029"/>
        <item x="1230"/>
        <item x="109"/>
        <item x="534"/>
        <item x="703"/>
        <item x="3"/>
        <item x="291"/>
        <item x="1077"/>
        <item x="1132"/>
        <item x="1341"/>
        <item x="522"/>
        <item x="952"/>
        <item x="1116"/>
        <item x="768"/>
        <item x="868"/>
        <item x="515"/>
        <item x="684"/>
        <item x="144"/>
        <item x="533"/>
        <item x="145"/>
        <item x="318"/>
        <item x="951"/>
        <item x="1096"/>
        <item x="68"/>
        <item x="788"/>
        <item x="802"/>
        <item x="878"/>
        <item x="1320"/>
        <item x="685"/>
        <item x="115"/>
        <item x="1078"/>
        <item x="337"/>
        <item x="739"/>
        <item x="116"/>
        <item x="237"/>
        <item x="895"/>
        <item x="996"/>
        <item x="763"/>
        <item x="774"/>
        <item x="239"/>
        <item x="616"/>
        <item x="1316"/>
        <item x="1120"/>
        <item x="675"/>
        <item x="371"/>
        <item x="918"/>
        <item x="379"/>
        <item x="974"/>
        <item x="1083"/>
        <item x="1266"/>
        <item x="550"/>
        <item x="408"/>
        <item x="462"/>
        <item x="1366"/>
        <item x="1085"/>
        <item x="1281"/>
        <item x="107"/>
        <item x="1242"/>
        <item x="841"/>
        <item x="426"/>
        <item x="537"/>
        <item x="620"/>
        <item x="728"/>
        <item x="234"/>
        <item x="722"/>
        <item x="246"/>
        <item x="223"/>
        <item x="766"/>
        <item x="1088"/>
        <item x="1095"/>
        <item x="278"/>
        <item x="166"/>
        <item x="1082"/>
        <item x="435"/>
        <item x="183"/>
        <item x="984"/>
        <item x="1284"/>
        <item x="1334"/>
        <item x="226"/>
        <item x="882"/>
        <item x="42"/>
        <item x="566"/>
        <item x="1399"/>
        <item x="258"/>
        <item x="635"/>
        <item x="602"/>
        <item x="1233"/>
        <item x="696"/>
        <item x="67"/>
        <item x="1165"/>
        <item x="981"/>
        <item x="717"/>
        <item x="1423"/>
        <item x="772"/>
        <item x="1332"/>
        <item x="517"/>
        <item x="108"/>
        <item x="182"/>
        <item x="1364"/>
        <item x="302"/>
        <item x="288"/>
        <item x="714"/>
        <item x="87"/>
        <item x="495"/>
        <item x="780"/>
        <item x="1156"/>
        <item x="141"/>
        <item x="186"/>
        <item x="758"/>
        <item x="1131"/>
        <item x="92"/>
        <item x="452"/>
        <item x="1134"/>
        <item x="1018"/>
        <item x="1197"/>
        <item x="591"/>
        <item x="1386"/>
        <item x="1305"/>
        <item x="475"/>
        <item x="712"/>
        <item x="1296"/>
        <item x="958"/>
        <item x="74"/>
        <item x="1129"/>
        <item x="1017"/>
        <item x="824"/>
        <item x="1140"/>
        <item x="1174"/>
        <item x="260"/>
        <item x="928"/>
        <item x="769"/>
        <item x="955"/>
        <item x="1064"/>
        <item x="13"/>
        <item x="276"/>
        <item x="386"/>
        <item x="821"/>
        <item x="568"/>
        <item x="1273"/>
        <item x="1331"/>
        <item x="1150"/>
        <item x="1402"/>
        <item x="569"/>
        <item x="219"/>
        <item x="1438"/>
        <item x="179"/>
        <item x="150"/>
        <item x="1031"/>
        <item x="199"/>
        <item x="91"/>
        <item x="1379"/>
        <item x="545"/>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name="Word2" fld="2" subtotal="count" baseField="0" baseItem="0"/>
    <dataField name="Meaning2" fld="7" subtotal="count" baseField="0" baseItem="0"/>
  </dataFields>
  <pivotTableStyleInfo showRowHeaders="1" showColHeaders="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9" Type="http://schemas.openxmlformats.org/officeDocument/2006/relationships/hyperlink" Target="https://www.freepik.com/free-photos-vectors/ripped-paper" TargetMode="External"/><Relationship Id="rId85" Type="http://schemas.openxmlformats.org/officeDocument/2006/relationships/hyperlink" Target="https://www.freepik.com/free-photos-vectors/science-equations" TargetMode="External"/><Relationship Id="rId84" Type="http://schemas.openxmlformats.org/officeDocument/2006/relationships/hyperlink" Target="https://www.freepik.com/vectors/person-reading-book" TargetMode="External"/><Relationship Id="rId83" Type="http://schemas.openxmlformats.org/officeDocument/2006/relationships/hyperlink" Target="https://www.freepik.com/free-photos-vectors/firefighter" TargetMode="External"/><Relationship Id="rId82" Type="http://schemas.openxmlformats.org/officeDocument/2006/relationships/hyperlink" Target="https://www.freepik.com/free-photos-vectors/spider" TargetMode="External"/><Relationship Id="rId81" Type="http://schemas.openxmlformats.org/officeDocument/2006/relationships/hyperlink" Target="https://www.freepik.com/free-photos-vectors/courtroom" TargetMode="External"/><Relationship Id="rId80" Type="http://schemas.openxmlformats.org/officeDocument/2006/relationships/hyperlink" Target="https://www.freepik.com/free-photos-vectors/stingy" TargetMode="External"/><Relationship Id="rId8" Type="http://schemas.openxmlformats.org/officeDocument/2006/relationships/hyperlink" Target="https://www.pexels.com/photo/photo-of-a-person-sitting-on-the-floor-with-her-hands-on-her-head-6951513/" TargetMode="External"/><Relationship Id="rId79" Type="http://schemas.openxmlformats.org/officeDocument/2006/relationships/hyperlink" Target="https://www.freepik.com/free-photos-vectors/greed" TargetMode="External"/><Relationship Id="rId78" Type="http://schemas.openxmlformats.org/officeDocument/2006/relationships/hyperlink" Target="https://www.sefe-mt.com/careers/blog/how-to-form-a-workplace-support-system-advice-and-benefits/" TargetMode="External"/><Relationship Id="rId77" Type="http://schemas.openxmlformats.org/officeDocument/2006/relationships/hyperlink" Target="https://support.freepik.com/s/article/Attribution-How-when-and-where?language=en_US" TargetMode="External"/><Relationship Id="rId76" Type="http://schemas.openxmlformats.org/officeDocument/2006/relationships/hyperlink" Target="https://www.merriam-webster.com/dictionary/attenuate" TargetMode="External"/><Relationship Id="rId75" Type="http://schemas.openxmlformats.org/officeDocument/2006/relationships/hyperlink" Target="https://www.freepik.com/free-photos-vectors/placeholder-person" TargetMode="External"/><Relationship Id="rId74" Type="http://schemas.openxmlformats.org/officeDocument/2006/relationships/hyperlink" Target="https://www.freepik.com/free-photos-vectors/astute" TargetMode="External"/><Relationship Id="rId73" Type="http://schemas.openxmlformats.org/officeDocument/2006/relationships/hyperlink" Target="https://www.gettyimages.com/photos/astringent-fruit" TargetMode="External"/><Relationship Id="rId72" Type="http://schemas.openxmlformats.org/officeDocument/2006/relationships/hyperlink" Target="https://www.freepik.com/free-photos-vectors/astounded" TargetMode="External"/><Relationship Id="rId71" Type="http://schemas.openxmlformats.org/officeDocument/2006/relationships/hyperlink" Target="https://www.freepik.com/free-photos-vectors/astonished" TargetMode="External"/><Relationship Id="rId70" Type="http://schemas.openxmlformats.org/officeDocument/2006/relationships/hyperlink" Target="https://www.freepik.com/free-photos-vectors/assent" TargetMode="External"/><Relationship Id="rId7" Type="http://schemas.openxmlformats.org/officeDocument/2006/relationships/hyperlink" Target="https://www.freepik.com/free-photos-vectors/holding-nose" TargetMode="External"/><Relationship Id="rId69" Type="http://schemas.openxmlformats.org/officeDocument/2006/relationships/hyperlink" Target="https://www.shutterstock.com/search/assiduous" TargetMode="External"/><Relationship Id="rId68" Type="http://schemas.openxmlformats.org/officeDocument/2006/relationships/hyperlink" Target="https://www.freepik.com/free-photos-vectors/assertive" TargetMode="External"/><Relationship Id="rId67" Type="http://schemas.openxmlformats.org/officeDocument/2006/relationships/hyperlink" Target="https://www.freepik.com/free-photos-vectors/angry-yelling" TargetMode="External"/><Relationship Id="rId66" Type="http://schemas.openxmlformats.org/officeDocument/2006/relationships/hyperlink" Target="https://www.freepik.com/free-photos-vectors/two-people-arguing" TargetMode="External"/><Relationship Id="rId65" Type="http://schemas.openxmlformats.org/officeDocument/2006/relationships/hyperlink" Target="https://www.freepik.com/free-photos-vectors/storytelling" TargetMode="External"/><Relationship Id="rId64" Type="http://schemas.openxmlformats.org/officeDocument/2006/relationships/hyperlink" Target="https://pixabay.com/images/search/shepherd%20sheep/" TargetMode="External"/><Relationship Id="rId63" Type="http://schemas.openxmlformats.org/officeDocument/2006/relationships/hyperlink" Target="https://pixabay.com/images/search/typewriter/" TargetMode="External"/><Relationship Id="rId62" Type="http://schemas.openxmlformats.org/officeDocument/2006/relationships/hyperlink" Target="https://pixabay.com/images/search/medieval%20knights/" TargetMode="External"/><Relationship Id="rId61" Type="http://schemas.openxmlformats.org/officeDocument/2006/relationships/hyperlink" Target="https://www.freepik.com/free-photos-vectors/audience-laughing" TargetMode="External"/><Relationship Id="rId60" Type="http://schemas.openxmlformats.org/officeDocument/2006/relationships/hyperlink" Target="https://www.microscopemaster.com/amoeba-under-the-microscope.html" TargetMode="External"/><Relationship Id="rId6" Type="http://schemas.openxmlformats.org/officeDocument/2006/relationships/hyperlink" Target="https://www.freepik.com/free-photos-vectors/disgusted" TargetMode="External"/><Relationship Id="rId59" Type="http://schemas.openxmlformats.org/officeDocument/2006/relationships/hyperlink" Target="https://www.freepik.com/free-photos-vectors/two-people-laughing" TargetMode="External"/><Relationship Id="rId58" Type="http://schemas.openxmlformats.org/officeDocument/2006/relationships/hyperlink" Target="https://www.freepik.com/free-photos-vectors/doctor-and-patient" TargetMode="External"/><Relationship Id="rId57" Type="http://schemas.openxmlformats.org/officeDocument/2006/relationships/hyperlink" Target="https://en.wikipedia.org/wiki/August_Leu" TargetMode="External"/><Relationship Id="rId56" Type="http://schemas.openxmlformats.org/officeDocument/2006/relationships/hyperlink" Target="https://pixabay.com/images/search/world%20globe/" TargetMode="External"/><Relationship Id="rId55" Type="http://schemas.openxmlformats.org/officeDocument/2006/relationships/hyperlink" Target="https://www.freepik.com/free-photos-vectors/two-people-standing" TargetMode="External"/><Relationship Id="rId54" Type="http://schemas.openxmlformats.org/officeDocument/2006/relationships/hyperlink" Target="https://www.freepik.com/premium-vector/happy-man-running-park_4868015.htm" TargetMode="External"/><Relationship Id="rId53" Type="http://schemas.openxmlformats.org/officeDocument/2006/relationships/hyperlink" Target="https://www.dreamstime.com/photos-images/dusty-books-shelf.html" TargetMode="External"/><Relationship Id="rId52" Type="http://schemas.openxmlformats.org/officeDocument/2006/relationships/hyperlink" Target="https://www.freepik.com/free-photos-vectors/two-people-shaking-hands" TargetMode="External"/><Relationship Id="rId51" Type="http://schemas.openxmlformats.org/officeDocument/2006/relationships/hyperlink" Target="https://www.freepik.com/free-photos-vectors/people-shouting" TargetMode="External"/><Relationship Id="rId50" Type="http://schemas.openxmlformats.org/officeDocument/2006/relationships/hyperlink" Target="https://www.dreamstime.com/photos-images/surprised-shocked-woman-face-open-mouth.html" TargetMode="External"/><Relationship Id="rId5" Type="http://schemas.openxmlformats.org/officeDocument/2006/relationships/hyperlink" Target="https://www.dreamstime.com/photos-images/man-sleeping-hammock.html" TargetMode="External"/><Relationship Id="rId49" Type="http://schemas.openxmlformats.org/officeDocument/2006/relationships/hyperlink" Target="https://www.dreamstime.com/photos-images/person-standing-pedestal.html" TargetMode="External"/><Relationship Id="rId48" Type="http://schemas.openxmlformats.org/officeDocument/2006/relationships/hyperlink" Target="https://www.freepik.com/free-photos-vectors/crossed-arms" TargetMode="External"/><Relationship Id="rId47" Type="http://schemas.openxmlformats.org/officeDocument/2006/relationships/hyperlink" Target="https://pixabay.com/images/search/pool%20house/" TargetMode="External"/><Relationship Id="rId46" Type="http://schemas.openxmlformats.org/officeDocument/2006/relationships/hyperlink" Target="https://www.istockphoto.com/photos/dog-and-cat-cuddling" TargetMode="External"/><Relationship Id="rId45" Type="http://schemas.openxmlformats.org/officeDocument/2006/relationships/hyperlink" Target="https://www.freepik.com/free-photos-vectors/person-posing" TargetMode="External"/><Relationship Id="rId44" Type="http://schemas.openxmlformats.org/officeDocument/2006/relationships/hyperlink" Target="https://pixabay.com/images/search/butterfly%20wings/" TargetMode="External"/><Relationship Id="rId43" Type="http://schemas.openxmlformats.org/officeDocument/2006/relationships/hyperlink" Target="https://www.freepik.com/free-photos-vectors/smiling-people" TargetMode="External"/><Relationship Id="rId42" Type="http://schemas.openxmlformats.org/officeDocument/2006/relationships/hyperlink" Target="https://pixabay.com/images/search/sunset/" TargetMode="External"/><Relationship Id="rId41" Type="http://schemas.openxmlformats.org/officeDocument/2006/relationships/hyperlink" Target="https://www.freepik.com/free-photos-vectors/people-rally" TargetMode="External"/><Relationship Id="rId40" Type="http://schemas.openxmlformats.org/officeDocument/2006/relationships/hyperlink" Target="https://pixabay.com/images/search/storm%20clouds/" TargetMode="External"/><Relationship Id="rId4" Type="http://schemas.openxmlformats.org/officeDocument/2006/relationships/hyperlink" Target="https://www.freepik.com/free-photos-vectors/criminal" TargetMode="External"/><Relationship Id="rId39" Type="http://schemas.openxmlformats.org/officeDocument/2006/relationships/hyperlink" Target="https://www.istockphoto.com/photos/warning-label-bottle" TargetMode="External"/><Relationship Id="rId38" Type="http://schemas.openxmlformats.org/officeDocument/2006/relationships/hyperlink" Target="https://www.freepik.com/free-photos-vectors/cheering-crowd" TargetMode="External"/><Relationship Id="rId37" Type="http://schemas.openxmlformats.org/officeDocument/2006/relationships/hyperlink" Target="https://www.freepik.com/free-photos-vectors/surgery-room" TargetMode="External"/><Relationship Id="rId36" Type="http://schemas.openxmlformats.org/officeDocument/2006/relationships/hyperlink" Target="https://www.freepik.com/vectors/upset-child" TargetMode="External"/><Relationship Id="rId35" Type="http://schemas.openxmlformats.org/officeDocument/2006/relationships/hyperlink" Target="https://www.freepik.com/free-photos-vectors/brainstorming-ideas" TargetMode="External"/><Relationship Id="rId34" Type="http://schemas.openxmlformats.org/officeDocument/2006/relationships/hyperlink" Target="https://www.freepik.com/free-photos-vectors/praying-hands" TargetMode="External"/><Relationship Id="rId33" Type="http://schemas.openxmlformats.org/officeDocument/2006/relationships/hyperlink" Target="https://www.freepik.com/free-photos-vectors/woman-playing-violin" TargetMode="External"/><Relationship Id="rId32" Type="http://schemas.openxmlformats.org/officeDocument/2006/relationships/hyperlink" Target="https://www.freepik.com/free-photos-vectors/high-temperature" TargetMode="External"/><Relationship Id="rId31" Type="http://schemas.openxmlformats.org/officeDocument/2006/relationships/hyperlink" Target="https://www.istockphoto.com/illustrations/light-bulb-white-background" TargetMode="External"/><Relationship Id="rId30" Type="http://schemas.openxmlformats.org/officeDocument/2006/relationships/hyperlink" Target="https://www.freepik.com/free-photos-vectors/protestors-holding-signs" TargetMode="External"/><Relationship Id="rId3" Type="http://schemas.openxmlformats.org/officeDocument/2006/relationships/hyperlink" Target="https://www.freepik.com/free-photos-vectors/surprised" TargetMode="External"/><Relationship Id="rId29" Type="http://schemas.openxmlformats.org/officeDocument/2006/relationships/hyperlink" Target="https://www.freepik.com/free-photos-vectors/people-arguing" TargetMode="External"/><Relationship Id="rId28" Type="http://schemas.openxmlformats.org/officeDocument/2006/relationships/hyperlink" Target="https://www.freepik.com/free-photos-vectors/people-holding-money" TargetMode="External"/><Relationship Id="rId27" Type="http://schemas.openxmlformats.org/officeDocument/2006/relationships/hyperlink" Target="https://www.freepik.com/free-photos-vectors/person-shrugging" TargetMode="External"/><Relationship Id="rId26" Type="http://schemas.openxmlformats.org/officeDocument/2006/relationships/hyperlink" Target="https://www.freepik.com/free-photos-vectors/student-learning" TargetMode="External"/><Relationship Id="rId25" Type="http://schemas.openxmlformats.org/officeDocument/2006/relationships/hyperlink" Target="https://www.freepik.com/free-photos-vectors/angry-woman-face" TargetMode="External"/><Relationship Id="rId24" Type="http://schemas.openxmlformats.org/officeDocument/2006/relationships/hyperlink" Target="https://www.freepik.com/free-photos-vectors/handshake-agreement" TargetMode="External"/><Relationship Id="rId23" Type="http://schemas.openxmlformats.org/officeDocument/2006/relationships/hyperlink" Target="https://www.freepik.com/free-photos-vectors/trophy-award" TargetMode="External"/><Relationship Id="rId22" Type="http://schemas.openxmlformats.org/officeDocument/2006/relationships/hyperlink" Target="https://www.freepik.com/free-photos-vectors/recognition-award" TargetMode="External"/><Relationship Id="rId21" Type="http://schemas.openxmlformats.org/officeDocument/2006/relationships/hyperlink" Target="https://arrowlift.com/blog/how-to-make-stairs-handicap-accessible/" TargetMode="External"/><Relationship Id="rId20" Type="http://schemas.openxmlformats.org/officeDocument/2006/relationships/hyperlink" Target="https://www.freepik.com/free-photos-vectors/highlight" TargetMode="External"/><Relationship Id="rId2" Type="http://schemas.openxmlformats.org/officeDocument/2006/relationships/hyperlink" Target="https://www.freepik.com/free-photos-vectors/storm-cloud" TargetMode="External"/><Relationship Id="rId19" Type="http://schemas.openxmlformats.org/officeDocument/2006/relationships/hyperlink" Target="https://www.freepik.com/free-photos-vectors/question-mark" TargetMode="External"/><Relationship Id="rId18" Type="http://schemas.openxmlformats.org/officeDocument/2006/relationships/hyperlink" Target="https://www.freepik.com/free-photos-vectors/painting" TargetMode="External"/><Relationship Id="rId17" Type="http://schemas.openxmlformats.org/officeDocument/2006/relationships/hyperlink" Target="https://www.freepik.com/free-photos-vectors/brain" TargetMode="External"/><Relationship Id="rId16" Type="http://schemas.openxmlformats.org/officeDocument/2006/relationships/hyperlink" Target="https://www.freepik.com/free-photos-vectors/thinking" TargetMode="External"/><Relationship Id="rId15" Type="http://schemas.openxmlformats.org/officeDocument/2006/relationships/hyperlink" Target="https://www.freepik.com/free-photos-vectors/thief" TargetMode="External"/><Relationship Id="rId14" Type="http://schemas.openxmlformats.org/officeDocument/2006/relationships/hyperlink" Target="https://www.freepik.com/free-photos-vectors/law" TargetMode="External"/><Relationship Id="rId13" Type="http://schemas.openxmlformats.org/officeDocument/2006/relationships/hyperlink" Target="https://www.freepik.com/free-photos-vectors/cut" TargetMode="External"/><Relationship Id="rId12" Type="http://schemas.openxmlformats.org/officeDocument/2006/relationships/hyperlink" Target="https://www.freepik.com/free-photos-vectors/newspaper" TargetMode="External"/><Relationship Id="rId11" Type="http://schemas.openxmlformats.org/officeDocument/2006/relationships/hyperlink" Target="https://www.freepik.com/free-photos-vectors/sandpaper" TargetMode="External"/><Relationship Id="rId10" Type="http://schemas.openxmlformats.org/officeDocument/2006/relationships/hyperlink" Target="https://www.freepik.com/free-photos-vectors/forest" TargetMode="External"/><Relationship Id="rId1" Type="http://schemas.openxmlformats.org/officeDocument/2006/relationships/hyperlink" Target="https://www.freepik.com/free-photos-vectors/loneliness"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www.collinsdictionary.com/dictionary/english/habit" TargetMode="External"/><Relationship Id="rId1" Type="http://schemas.openxmlformats.org/officeDocument/2006/relationships/hyperlink" Target="https://www.collinsdictionary.com/dictionary/english/unexpected"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0"/>
  <sheetViews>
    <sheetView workbookViewId="0">
      <pane ySplit="1" topLeftCell="A2" activePane="bottomLeft" state="frozen"/>
      <selection/>
      <selection pane="bottomLeft" activeCell="B3" sqref="B3"/>
    </sheetView>
  </sheetViews>
  <sheetFormatPr defaultColWidth="12.6296296296296" defaultRowHeight="15.75" customHeight="1"/>
  <cols>
    <col min="3" max="5" width="18.8796296296296" customWidth="1"/>
    <col min="6" max="8" width="12.6296296296296" customWidth="1"/>
  </cols>
  <sheetData>
    <row r="1" customHeight="1" spans="1:24">
      <c r="A1" s="44" t="s">
        <v>0</v>
      </c>
      <c r="B1" s="44" t="s">
        <v>1</v>
      </c>
      <c r="C1" s="44" t="s">
        <v>2</v>
      </c>
      <c r="D1" s="44" t="s">
        <v>3</v>
      </c>
      <c r="E1" s="44" t="s">
        <v>4</v>
      </c>
      <c r="F1" s="44" t="s">
        <v>5</v>
      </c>
      <c r="G1" s="44" t="s">
        <v>6</v>
      </c>
      <c r="H1" s="44" t="s">
        <v>7</v>
      </c>
      <c r="I1" s="44"/>
      <c r="J1" s="44"/>
      <c r="K1" s="44"/>
      <c r="L1" s="44"/>
      <c r="M1" s="44"/>
      <c r="N1" s="44"/>
      <c r="O1" s="44"/>
      <c r="P1" s="44"/>
      <c r="Q1" s="44"/>
      <c r="R1" s="44"/>
      <c r="S1" s="44"/>
      <c r="T1" s="44"/>
      <c r="U1" s="44"/>
      <c r="V1" s="44"/>
      <c r="W1" s="44"/>
      <c r="X1" s="44"/>
    </row>
    <row r="2" customHeight="1" spans="1:24">
      <c r="A2" s="45" t="s">
        <v>8</v>
      </c>
      <c r="B2" s="45" t="s">
        <v>9</v>
      </c>
      <c r="C2" s="45" t="s">
        <v>10</v>
      </c>
      <c r="D2" s="45" t="s">
        <v>11</v>
      </c>
      <c r="E2" s="45" t="s">
        <v>12</v>
      </c>
      <c r="F2" s="45" t="s">
        <v>13</v>
      </c>
      <c r="G2" s="45" t="s">
        <v>14</v>
      </c>
      <c r="H2" s="45" t="s">
        <v>15</v>
      </c>
      <c r="I2" s="46"/>
      <c r="J2" s="46"/>
      <c r="K2" s="46"/>
      <c r="L2" s="46"/>
      <c r="M2" s="46"/>
      <c r="N2" s="46"/>
      <c r="O2" s="46"/>
      <c r="P2" s="46"/>
      <c r="Q2" s="46"/>
      <c r="R2" s="46"/>
      <c r="S2" s="46"/>
      <c r="T2" s="46"/>
      <c r="U2" s="46"/>
      <c r="V2" s="46"/>
      <c r="W2" s="46"/>
      <c r="X2" s="46"/>
    </row>
    <row r="3" customHeight="1" spans="1:24">
      <c r="A3" s="45" t="s">
        <v>16</v>
      </c>
      <c r="B3" s="45" t="s">
        <v>17</v>
      </c>
      <c r="C3" s="45" t="s">
        <v>18</v>
      </c>
      <c r="D3" s="45" t="s">
        <v>19</v>
      </c>
      <c r="E3" s="45" t="s">
        <v>20</v>
      </c>
      <c r="F3" s="45" t="s">
        <v>21</v>
      </c>
      <c r="G3" s="45" t="s">
        <v>22</v>
      </c>
      <c r="H3" s="45" t="s">
        <v>23</v>
      </c>
      <c r="I3" s="46"/>
      <c r="J3" s="46"/>
      <c r="K3" s="46"/>
      <c r="L3" s="46"/>
      <c r="M3" s="46"/>
      <c r="N3" s="46"/>
      <c r="O3" s="46"/>
      <c r="P3" s="46"/>
      <c r="Q3" s="46"/>
      <c r="R3" s="46"/>
      <c r="S3" s="46"/>
      <c r="T3" s="46"/>
      <c r="U3" s="46"/>
      <c r="V3" s="46"/>
      <c r="W3" s="46"/>
      <c r="X3" s="46"/>
    </row>
    <row r="4" customHeight="1" spans="1:24">
      <c r="A4" s="45" t="s">
        <v>24</v>
      </c>
      <c r="B4" s="45" t="s">
        <v>25</v>
      </c>
      <c r="C4" s="45" t="s">
        <v>26</v>
      </c>
      <c r="D4" s="45" t="s">
        <v>27</v>
      </c>
      <c r="E4" s="45" t="s">
        <v>28</v>
      </c>
      <c r="F4" s="45" t="s">
        <v>29</v>
      </c>
      <c r="G4" s="45" t="s">
        <v>30</v>
      </c>
      <c r="H4" s="45" t="s">
        <v>31</v>
      </c>
      <c r="I4" s="46"/>
      <c r="J4" s="46"/>
      <c r="K4" s="46"/>
      <c r="L4" s="46"/>
      <c r="M4" s="46"/>
      <c r="N4" s="46"/>
      <c r="O4" s="46"/>
      <c r="P4" s="46"/>
      <c r="Q4" s="46"/>
      <c r="R4" s="46"/>
      <c r="S4" s="46"/>
      <c r="T4" s="46"/>
      <c r="U4" s="46"/>
      <c r="V4" s="46"/>
      <c r="W4" s="46"/>
      <c r="X4" s="46"/>
    </row>
    <row r="5" customHeight="1" spans="1:24">
      <c r="A5" s="45" t="s">
        <v>32</v>
      </c>
      <c r="B5" s="45" t="s">
        <v>9</v>
      </c>
      <c r="C5" s="45" t="s">
        <v>33</v>
      </c>
      <c r="D5" s="45" t="s">
        <v>34</v>
      </c>
      <c r="E5" s="45" t="s">
        <v>35</v>
      </c>
      <c r="F5" s="45" t="s">
        <v>36</v>
      </c>
      <c r="G5" s="45" t="s">
        <v>37</v>
      </c>
      <c r="H5" s="45" t="s">
        <v>38</v>
      </c>
      <c r="I5" s="46"/>
      <c r="J5" s="46"/>
      <c r="K5" s="46"/>
      <c r="L5" s="46"/>
      <c r="M5" s="46"/>
      <c r="N5" s="46"/>
      <c r="O5" s="46"/>
      <c r="P5" s="46"/>
      <c r="Q5" s="46"/>
      <c r="R5" s="46"/>
      <c r="S5" s="46"/>
      <c r="T5" s="46"/>
      <c r="U5" s="46"/>
      <c r="V5" s="46"/>
      <c r="W5" s="46"/>
      <c r="X5" s="46"/>
    </row>
    <row r="6" customHeight="1" spans="1:24">
      <c r="A6" s="45" t="s">
        <v>39</v>
      </c>
      <c r="B6" s="45" t="s">
        <v>17</v>
      </c>
      <c r="C6" s="45" t="s">
        <v>40</v>
      </c>
      <c r="D6" s="45" t="s">
        <v>41</v>
      </c>
      <c r="E6" s="45" t="s">
        <v>42</v>
      </c>
      <c r="F6" s="45" t="s">
        <v>43</v>
      </c>
      <c r="G6" s="45" t="s">
        <v>44</v>
      </c>
      <c r="H6" s="45" t="s">
        <v>45</v>
      </c>
      <c r="I6" s="46"/>
      <c r="J6" s="46"/>
      <c r="K6" s="46"/>
      <c r="L6" s="46"/>
      <c r="M6" s="46"/>
      <c r="N6" s="46"/>
      <c r="O6" s="46"/>
      <c r="P6" s="46"/>
      <c r="Q6" s="46"/>
      <c r="R6" s="46"/>
      <c r="S6" s="46"/>
      <c r="T6" s="46"/>
      <c r="U6" s="46"/>
      <c r="V6" s="46"/>
      <c r="W6" s="46"/>
      <c r="X6" s="46"/>
    </row>
    <row r="7" customHeight="1" spans="1:24">
      <c r="A7" s="45" t="s">
        <v>46</v>
      </c>
      <c r="B7" s="45" t="s">
        <v>9</v>
      </c>
      <c r="C7" s="45" t="s">
        <v>47</v>
      </c>
      <c r="D7" s="45" t="s">
        <v>48</v>
      </c>
      <c r="E7" s="45" t="s">
        <v>49</v>
      </c>
      <c r="F7" s="45" t="s">
        <v>50</v>
      </c>
      <c r="G7" s="45" t="s">
        <v>51</v>
      </c>
      <c r="H7" s="45" t="s">
        <v>52</v>
      </c>
      <c r="I7" s="46"/>
      <c r="J7" s="46"/>
      <c r="K7" s="46"/>
      <c r="L7" s="46"/>
      <c r="M7" s="46"/>
      <c r="N7" s="46"/>
      <c r="O7" s="46"/>
      <c r="P7" s="46"/>
      <c r="Q7" s="46"/>
      <c r="R7" s="46"/>
      <c r="S7" s="46"/>
      <c r="T7" s="46"/>
      <c r="U7" s="46"/>
      <c r="V7" s="46"/>
      <c r="W7" s="46"/>
      <c r="X7" s="46"/>
    </row>
    <row r="8" customHeight="1" spans="1:24">
      <c r="A8" s="45" t="s">
        <v>53</v>
      </c>
      <c r="B8" s="45" t="s">
        <v>54</v>
      </c>
      <c r="C8" s="45" t="s">
        <v>55</v>
      </c>
      <c r="D8" s="45" t="s">
        <v>56</v>
      </c>
      <c r="E8" s="45" t="s">
        <v>57</v>
      </c>
      <c r="F8" s="45" t="s">
        <v>58</v>
      </c>
      <c r="G8" s="45" t="s">
        <v>59</v>
      </c>
      <c r="H8" s="45" t="s">
        <v>60</v>
      </c>
      <c r="I8" s="46"/>
      <c r="J8" s="46"/>
      <c r="K8" s="46"/>
      <c r="L8" s="46"/>
      <c r="M8" s="46"/>
      <c r="N8" s="46"/>
      <c r="O8" s="46"/>
      <c r="P8" s="46"/>
      <c r="Q8" s="46"/>
      <c r="R8" s="46"/>
      <c r="S8" s="46"/>
      <c r="T8" s="46"/>
      <c r="U8" s="46"/>
      <c r="V8" s="46"/>
      <c r="W8" s="46"/>
      <c r="X8" s="46"/>
    </row>
    <row r="9" customHeight="1" spans="1:24">
      <c r="A9" s="46" t="s">
        <v>61</v>
      </c>
      <c r="B9" s="46" t="s">
        <v>54</v>
      </c>
      <c r="C9" s="46" t="s">
        <v>62</v>
      </c>
      <c r="D9" s="46" t="s">
        <v>63</v>
      </c>
      <c r="E9" s="46" t="s">
        <v>64</v>
      </c>
      <c r="F9" s="46" t="s">
        <v>65</v>
      </c>
      <c r="G9" s="46" t="s">
        <v>66</v>
      </c>
      <c r="H9" s="46" t="s">
        <v>67</v>
      </c>
      <c r="I9" s="46"/>
      <c r="J9" s="46"/>
      <c r="K9" s="46"/>
      <c r="L9" s="46"/>
      <c r="M9" s="46"/>
      <c r="N9" s="46"/>
      <c r="O9" s="46"/>
      <c r="P9" s="46"/>
      <c r="Q9" s="46"/>
      <c r="R9" s="46"/>
      <c r="S9" s="46"/>
      <c r="T9" s="46"/>
      <c r="U9" s="46"/>
      <c r="V9" s="46"/>
      <c r="W9" s="46"/>
      <c r="X9" s="46"/>
    </row>
    <row r="10" customHeight="1" spans="1:24">
      <c r="A10" s="46" t="s">
        <v>68</v>
      </c>
      <c r="B10" s="46" t="s">
        <v>54</v>
      </c>
      <c r="C10" s="46" t="s">
        <v>69</v>
      </c>
      <c r="D10" s="46" t="s">
        <v>70</v>
      </c>
      <c r="E10" s="46" t="s">
        <v>71</v>
      </c>
      <c r="F10" s="46" t="s">
        <v>72</v>
      </c>
      <c r="G10" s="46" t="s">
        <v>73</v>
      </c>
      <c r="H10" s="46" t="s">
        <v>74</v>
      </c>
      <c r="I10" s="46"/>
      <c r="J10" s="46"/>
      <c r="K10" s="46"/>
      <c r="L10" s="46"/>
      <c r="M10" s="46"/>
      <c r="N10" s="46"/>
      <c r="O10" s="46"/>
      <c r="P10" s="46"/>
      <c r="Q10" s="46"/>
      <c r="R10" s="46"/>
      <c r="S10" s="46"/>
      <c r="T10" s="46"/>
      <c r="U10" s="46"/>
      <c r="V10" s="46"/>
      <c r="W10" s="46"/>
      <c r="X10" s="46"/>
    </row>
    <row r="11" customHeight="1" spans="1:24">
      <c r="A11" s="46" t="s">
        <v>75</v>
      </c>
      <c r="B11" s="46" t="s">
        <v>17</v>
      </c>
      <c r="C11" s="46" t="s">
        <v>76</v>
      </c>
      <c r="D11" s="46" t="s">
        <v>77</v>
      </c>
      <c r="E11" s="46" t="s">
        <v>78</v>
      </c>
      <c r="F11" s="46" t="s">
        <v>79</v>
      </c>
      <c r="G11" s="46" t="s">
        <v>80</v>
      </c>
      <c r="H11" s="46" t="s">
        <v>81</v>
      </c>
      <c r="I11" s="46"/>
      <c r="J11" s="46"/>
      <c r="K11" s="46"/>
      <c r="L11" s="46"/>
      <c r="M11" s="46"/>
      <c r="N11" s="46"/>
      <c r="O11" s="46"/>
      <c r="P11" s="46"/>
      <c r="Q11" s="46"/>
      <c r="R11" s="46"/>
      <c r="S11" s="46"/>
      <c r="T11" s="46"/>
      <c r="U11" s="46"/>
      <c r="V11" s="46"/>
      <c r="W11" s="46"/>
      <c r="X11" s="46"/>
    </row>
    <row r="12" customHeight="1" spans="1:24">
      <c r="A12" s="46" t="s">
        <v>82</v>
      </c>
      <c r="B12" s="46" t="s">
        <v>9</v>
      </c>
      <c r="C12" s="46" t="s">
        <v>83</v>
      </c>
      <c r="D12" s="46" t="s">
        <v>84</v>
      </c>
      <c r="E12" s="46" t="s">
        <v>85</v>
      </c>
      <c r="F12" s="46" t="s">
        <v>86</v>
      </c>
      <c r="G12" s="46" t="s">
        <v>87</v>
      </c>
      <c r="H12" s="46" t="s">
        <v>88</v>
      </c>
      <c r="I12" s="46"/>
      <c r="J12" s="46"/>
      <c r="K12" s="46"/>
      <c r="L12" s="46"/>
      <c r="M12" s="46"/>
      <c r="N12" s="46"/>
      <c r="O12" s="46"/>
      <c r="P12" s="46"/>
      <c r="Q12" s="46"/>
      <c r="R12" s="46"/>
      <c r="S12" s="46"/>
      <c r="T12" s="46"/>
      <c r="U12" s="46"/>
      <c r="V12" s="46"/>
      <c r="W12" s="46"/>
      <c r="X12" s="46"/>
    </row>
    <row r="13" customHeight="1" spans="1:24">
      <c r="A13" s="46" t="s">
        <v>89</v>
      </c>
      <c r="B13" s="46" t="s">
        <v>9</v>
      </c>
      <c r="C13" s="46" t="s">
        <v>90</v>
      </c>
      <c r="D13" s="46" t="s">
        <v>91</v>
      </c>
      <c r="E13" s="46" t="s">
        <v>92</v>
      </c>
      <c r="F13" s="46" t="s">
        <v>93</v>
      </c>
      <c r="G13" s="46" t="s">
        <v>94</v>
      </c>
      <c r="H13" s="46" t="s">
        <v>95</v>
      </c>
      <c r="I13" s="46"/>
      <c r="J13" s="46"/>
      <c r="K13" s="46"/>
      <c r="L13" s="46"/>
      <c r="M13" s="46"/>
      <c r="N13" s="46"/>
      <c r="O13" s="46"/>
      <c r="P13" s="46"/>
      <c r="Q13" s="46"/>
      <c r="R13" s="46"/>
      <c r="S13" s="46"/>
      <c r="T13" s="46"/>
      <c r="U13" s="46"/>
      <c r="V13" s="46"/>
      <c r="W13" s="46"/>
      <c r="X13" s="46"/>
    </row>
    <row r="14" customHeight="1" spans="1:24">
      <c r="A14" s="46" t="s">
        <v>96</v>
      </c>
      <c r="B14" s="46" t="s">
        <v>17</v>
      </c>
      <c r="C14" s="46" t="s">
        <v>97</v>
      </c>
      <c r="D14" s="46" t="s">
        <v>98</v>
      </c>
      <c r="E14" s="46" t="s">
        <v>99</v>
      </c>
      <c r="F14" s="46" t="s">
        <v>100</v>
      </c>
      <c r="G14" s="46" t="s">
        <v>101</v>
      </c>
      <c r="H14" s="46" t="s">
        <v>102</v>
      </c>
      <c r="I14" s="46"/>
      <c r="J14" s="46"/>
      <c r="K14" s="46"/>
      <c r="L14" s="46"/>
      <c r="M14" s="46"/>
      <c r="N14" s="46"/>
      <c r="O14" s="46"/>
      <c r="P14" s="46"/>
      <c r="Q14" s="46"/>
      <c r="R14" s="46"/>
      <c r="S14" s="46"/>
      <c r="T14" s="46"/>
      <c r="U14" s="46"/>
      <c r="V14" s="46"/>
      <c r="W14" s="46"/>
      <c r="X14" s="46"/>
    </row>
    <row r="15" customHeight="1" spans="1:24">
      <c r="A15" s="46" t="s">
        <v>103</v>
      </c>
      <c r="B15" s="46" t="s">
        <v>54</v>
      </c>
      <c r="C15" s="46" t="s">
        <v>104</v>
      </c>
      <c r="D15" s="46" t="s">
        <v>105</v>
      </c>
      <c r="E15" s="46" t="s">
        <v>106</v>
      </c>
      <c r="F15" s="46" t="s">
        <v>107</v>
      </c>
      <c r="G15" s="46" t="s">
        <v>108</v>
      </c>
      <c r="H15" s="46" t="s">
        <v>109</v>
      </c>
      <c r="I15" s="46"/>
      <c r="J15" s="46"/>
      <c r="K15" s="46"/>
      <c r="L15" s="46"/>
      <c r="M15" s="46"/>
      <c r="N15" s="46"/>
      <c r="O15" s="46"/>
      <c r="P15" s="46"/>
      <c r="Q15" s="46"/>
      <c r="R15" s="46"/>
      <c r="S15" s="46"/>
      <c r="T15" s="46"/>
      <c r="U15" s="46"/>
      <c r="V15" s="46"/>
      <c r="W15" s="46"/>
      <c r="X15" s="46"/>
    </row>
    <row r="16" customHeight="1" spans="1:24">
      <c r="A16" s="46" t="s">
        <v>110</v>
      </c>
      <c r="B16" s="46" t="s">
        <v>9</v>
      </c>
      <c r="C16" s="46" t="s">
        <v>111</v>
      </c>
      <c r="D16" s="46" t="s">
        <v>112</v>
      </c>
      <c r="E16" s="46" t="s">
        <v>113</v>
      </c>
      <c r="F16" s="46" t="s">
        <v>114</v>
      </c>
      <c r="G16" s="46" t="s">
        <v>115</v>
      </c>
      <c r="H16" s="46" t="s">
        <v>116</v>
      </c>
      <c r="I16" s="46"/>
      <c r="J16" s="46"/>
      <c r="K16" s="46"/>
      <c r="L16" s="46"/>
      <c r="M16" s="46"/>
      <c r="N16" s="46"/>
      <c r="O16" s="46"/>
      <c r="P16" s="46"/>
      <c r="Q16" s="46"/>
      <c r="R16" s="46"/>
      <c r="S16" s="46"/>
      <c r="T16" s="46"/>
      <c r="U16" s="46"/>
      <c r="V16" s="46"/>
      <c r="W16" s="46"/>
      <c r="X16" s="46"/>
    </row>
    <row r="17" customHeight="1" spans="1:24">
      <c r="A17" s="45" t="s">
        <v>117</v>
      </c>
      <c r="B17" s="45" t="s">
        <v>17</v>
      </c>
      <c r="C17" s="45" t="s">
        <v>118</v>
      </c>
      <c r="D17" s="45" t="s">
        <v>119</v>
      </c>
      <c r="E17" s="45" t="s">
        <v>120</v>
      </c>
      <c r="F17" s="45" t="s">
        <v>121</v>
      </c>
      <c r="G17" s="45" t="s">
        <v>122</v>
      </c>
      <c r="H17" s="45" t="s">
        <v>123</v>
      </c>
      <c r="I17" s="46"/>
      <c r="J17" s="46"/>
      <c r="K17" s="46"/>
      <c r="L17" s="46"/>
      <c r="M17" s="46"/>
      <c r="N17" s="46"/>
      <c r="O17" s="46"/>
      <c r="P17" s="46"/>
      <c r="Q17" s="46"/>
      <c r="R17" s="46"/>
      <c r="S17" s="46"/>
      <c r="T17" s="46"/>
      <c r="U17" s="46"/>
      <c r="V17" s="46"/>
      <c r="W17" s="46"/>
      <c r="X17" s="46"/>
    </row>
    <row r="18" customHeight="1" spans="1:24">
      <c r="A18" s="46" t="s">
        <v>124</v>
      </c>
      <c r="B18" s="46" t="s">
        <v>54</v>
      </c>
      <c r="C18" s="46" t="s">
        <v>125</v>
      </c>
      <c r="D18" s="46" t="s">
        <v>126</v>
      </c>
      <c r="E18" s="46" t="s">
        <v>127</v>
      </c>
      <c r="F18" s="46" t="s">
        <v>128</v>
      </c>
      <c r="G18" s="46" t="s">
        <v>129</v>
      </c>
      <c r="H18" s="46" t="s">
        <v>130</v>
      </c>
      <c r="I18" s="46"/>
      <c r="J18" s="46"/>
      <c r="K18" s="46"/>
      <c r="L18" s="46"/>
      <c r="M18" s="46"/>
      <c r="N18" s="46"/>
      <c r="O18" s="46"/>
      <c r="P18" s="46"/>
      <c r="Q18" s="46"/>
      <c r="R18" s="46"/>
      <c r="S18" s="46"/>
      <c r="T18" s="46"/>
      <c r="U18" s="46"/>
      <c r="V18" s="46"/>
      <c r="W18" s="46"/>
      <c r="X18" s="46"/>
    </row>
    <row r="19" customHeight="1" spans="1:24">
      <c r="A19" s="45" t="s">
        <v>131</v>
      </c>
      <c r="B19" s="45" t="s">
        <v>17</v>
      </c>
      <c r="C19" s="45" t="s">
        <v>132</v>
      </c>
      <c r="D19" s="45" t="s">
        <v>133</v>
      </c>
      <c r="E19" s="45" t="s">
        <v>134</v>
      </c>
      <c r="F19" s="45" t="s">
        <v>135</v>
      </c>
      <c r="G19" s="45" t="s">
        <v>136</v>
      </c>
      <c r="H19" s="45" t="s">
        <v>137</v>
      </c>
      <c r="I19" s="46"/>
      <c r="J19" s="46"/>
      <c r="K19" s="46"/>
      <c r="L19" s="46"/>
      <c r="M19" s="46"/>
      <c r="N19" s="46"/>
      <c r="O19" s="46"/>
      <c r="P19" s="46"/>
      <c r="Q19" s="46"/>
      <c r="R19" s="46"/>
      <c r="S19" s="46"/>
      <c r="T19" s="46"/>
      <c r="U19" s="46"/>
      <c r="V19" s="46"/>
      <c r="W19" s="46"/>
      <c r="X19" s="46"/>
    </row>
    <row r="20" customHeight="1" spans="1:24">
      <c r="A20" s="46" t="s">
        <v>138</v>
      </c>
      <c r="B20" s="46"/>
      <c r="C20" s="46" t="s">
        <v>139</v>
      </c>
      <c r="D20" s="46" t="s">
        <v>140</v>
      </c>
      <c r="E20" s="46" t="s">
        <v>141</v>
      </c>
      <c r="F20" s="46" t="s">
        <v>142</v>
      </c>
      <c r="G20" s="46" t="s">
        <v>143</v>
      </c>
      <c r="H20" s="46" t="s">
        <v>144</v>
      </c>
      <c r="I20" s="46"/>
      <c r="J20" s="46"/>
      <c r="K20" s="46"/>
      <c r="L20" s="46"/>
      <c r="M20" s="46"/>
      <c r="N20" s="46"/>
      <c r="O20" s="46"/>
      <c r="P20" s="46"/>
      <c r="Q20" s="46"/>
      <c r="R20" s="46"/>
      <c r="S20" s="46"/>
      <c r="T20" s="46"/>
      <c r="U20" s="46"/>
      <c r="V20" s="46"/>
      <c r="W20" s="46"/>
      <c r="X20" s="46"/>
    </row>
    <row r="21" customHeight="1" spans="1:24">
      <c r="A21" s="46" t="s">
        <v>145</v>
      </c>
      <c r="B21" s="46" t="s">
        <v>17</v>
      </c>
      <c r="C21" s="46" t="s">
        <v>146</v>
      </c>
      <c r="D21" s="46" t="s">
        <v>147</v>
      </c>
      <c r="E21" s="46" t="s">
        <v>148</v>
      </c>
      <c r="F21" s="46" t="s">
        <v>149</v>
      </c>
      <c r="G21" s="46" t="s">
        <v>150</v>
      </c>
      <c r="H21" s="46" t="s">
        <v>151</v>
      </c>
      <c r="I21" s="46"/>
      <c r="J21" s="46"/>
      <c r="K21" s="46"/>
      <c r="L21" s="46"/>
      <c r="M21" s="46"/>
      <c r="N21" s="46"/>
      <c r="O21" s="46"/>
      <c r="P21" s="46"/>
      <c r="Q21" s="46"/>
      <c r="R21" s="46"/>
      <c r="S21" s="46"/>
      <c r="T21" s="46"/>
      <c r="U21" s="46"/>
      <c r="V21" s="46"/>
      <c r="W21" s="46"/>
      <c r="X21" s="46"/>
    </row>
    <row r="22" customHeight="1" spans="1:24">
      <c r="A22" s="45" t="s">
        <v>152</v>
      </c>
      <c r="B22" s="45" t="s">
        <v>17</v>
      </c>
      <c r="C22" s="45" t="s">
        <v>153</v>
      </c>
      <c r="D22" s="45" t="s">
        <v>154</v>
      </c>
      <c r="E22" s="45" t="s">
        <v>155</v>
      </c>
      <c r="F22" s="45" t="s">
        <v>156</v>
      </c>
      <c r="G22" s="45" t="s">
        <v>157</v>
      </c>
      <c r="H22" s="45" t="s">
        <v>158</v>
      </c>
      <c r="I22" s="46"/>
      <c r="J22" s="46"/>
      <c r="K22" s="46"/>
      <c r="L22" s="46"/>
      <c r="M22" s="46"/>
      <c r="N22" s="46"/>
      <c r="O22" s="46"/>
      <c r="P22" s="46"/>
      <c r="Q22" s="46"/>
      <c r="R22" s="46"/>
      <c r="S22" s="46"/>
      <c r="T22" s="46"/>
      <c r="U22" s="46"/>
      <c r="V22" s="46"/>
      <c r="W22" s="46"/>
      <c r="X22" s="46"/>
    </row>
    <row r="23" customHeight="1" spans="1:24">
      <c r="A23" s="45" t="s">
        <v>159</v>
      </c>
      <c r="B23" s="45" t="s">
        <v>17</v>
      </c>
      <c r="C23" s="45" t="s">
        <v>160</v>
      </c>
      <c r="D23" s="45" t="s">
        <v>161</v>
      </c>
      <c r="E23" s="45" t="s">
        <v>162</v>
      </c>
      <c r="F23" s="45" t="s">
        <v>163</v>
      </c>
      <c r="G23" s="45" t="s">
        <v>164</v>
      </c>
      <c r="H23" s="45" t="s">
        <v>165</v>
      </c>
      <c r="I23" s="46"/>
      <c r="J23" s="46"/>
      <c r="K23" s="46"/>
      <c r="L23" s="46"/>
      <c r="M23" s="46"/>
      <c r="N23" s="46"/>
      <c r="O23" s="46"/>
      <c r="P23" s="46"/>
      <c r="Q23" s="46"/>
      <c r="R23" s="46"/>
      <c r="S23" s="46"/>
      <c r="T23" s="46"/>
      <c r="U23" s="46"/>
      <c r="V23" s="46"/>
      <c r="W23" s="46"/>
      <c r="X23" s="46"/>
    </row>
    <row r="24" customHeight="1" spans="1:24">
      <c r="A24" s="45" t="s">
        <v>166</v>
      </c>
      <c r="B24" s="45" t="s">
        <v>17</v>
      </c>
      <c r="C24" s="45" t="s">
        <v>167</v>
      </c>
      <c r="D24" s="45" t="s">
        <v>168</v>
      </c>
      <c r="E24" s="45" t="s">
        <v>169</v>
      </c>
      <c r="F24" s="45" t="s">
        <v>170</v>
      </c>
      <c r="G24" s="45" t="s">
        <v>171</v>
      </c>
      <c r="H24" s="45" t="s">
        <v>172</v>
      </c>
      <c r="I24" s="46"/>
      <c r="J24" s="46"/>
      <c r="K24" s="46"/>
      <c r="L24" s="46"/>
      <c r="M24" s="46"/>
      <c r="N24" s="46"/>
      <c r="O24" s="46"/>
      <c r="P24" s="46"/>
      <c r="Q24" s="46"/>
      <c r="R24" s="46"/>
      <c r="S24" s="46"/>
      <c r="T24" s="46"/>
      <c r="U24" s="46"/>
      <c r="V24" s="46"/>
      <c r="W24" s="46"/>
      <c r="X24" s="46"/>
    </row>
    <row r="25" customHeight="1" spans="1:24">
      <c r="A25" s="45" t="s">
        <v>173</v>
      </c>
      <c r="B25" s="45" t="s">
        <v>17</v>
      </c>
      <c r="C25" s="45" t="s">
        <v>174</v>
      </c>
      <c r="D25" s="45" t="s">
        <v>175</v>
      </c>
      <c r="E25" s="45" t="s">
        <v>176</v>
      </c>
      <c r="F25" s="45" t="s">
        <v>177</v>
      </c>
      <c r="G25" s="45" t="s">
        <v>178</v>
      </c>
      <c r="H25" s="45" t="s">
        <v>179</v>
      </c>
      <c r="I25" s="46"/>
      <c r="J25" s="46"/>
      <c r="K25" s="46"/>
      <c r="L25" s="46"/>
      <c r="M25" s="46"/>
      <c r="N25" s="46"/>
      <c r="O25" s="46"/>
      <c r="P25" s="46"/>
      <c r="Q25" s="46"/>
      <c r="R25" s="46"/>
      <c r="S25" s="46"/>
      <c r="T25" s="46"/>
      <c r="U25" s="46"/>
      <c r="V25" s="46"/>
      <c r="W25" s="46"/>
      <c r="X25" s="46"/>
    </row>
    <row r="26" customHeight="1" spans="1:24">
      <c r="A26" s="45" t="s">
        <v>180</v>
      </c>
      <c r="B26" s="45" t="s">
        <v>17</v>
      </c>
      <c r="C26" s="45" t="s">
        <v>181</v>
      </c>
      <c r="D26" s="45" t="s">
        <v>182</v>
      </c>
      <c r="E26" s="45" t="s">
        <v>183</v>
      </c>
      <c r="F26" s="45" t="s">
        <v>184</v>
      </c>
      <c r="G26" s="45" t="s">
        <v>185</v>
      </c>
      <c r="H26" s="45" t="s">
        <v>186</v>
      </c>
      <c r="I26" s="46"/>
      <c r="J26" s="46"/>
      <c r="K26" s="46"/>
      <c r="L26" s="46"/>
      <c r="M26" s="46"/>
      <c r="N26" s="46"/>
      <c r="O26" s="46"/>
      <c r="P26" s="46"/>
      <c r="Q26" s="46"/>
      <c r="R26" s="46"/>
      <c r="S26" s="46"/>
      <c r="T26" s="46"/>
      <c r="U26" s="46"/>
      <c r="V26" s="46"/>
      <c r="W26" s="46"/>
      <c r="X26" s="46"/>
    </row>
    <row r="27" customHeight="1" spans="1:24">
      <c r="A27" s="45" t="s">
        <v>187</v>
      </c>
      <c r="B27" s="45" t="s">
        <v>17</v>
      </c>
      <c r="C27" s="45" t="s">
        <v>188</v>
      </c>
      <c r="D27" s="45" t="s">
        <v>189</v>
      </c>
      <c r="E27" s="45" t="s">
        <v>190</v>
      </c>
      <c r="F27" s="45" t="s">
        <v>191</v>
      </c>
      <c r="G27" s="45" t="s">
        <v>192</v>
      </c>
      <c r="H27" s="45" t="s">
        <v>193</v>
      </c>
      <c r="I27" s="46"/>
      <c r="J27" s="46"/>
      <c r="K27" s="46"/>
      <c r="L27" s="46"/>
      <c r="M27" s="46"/>
      <c r="N27" s="46"/>
      <c r="O27" s="46"/>
      <c r="P27" s="46"/>
      <c r="Q27" s="46"/>
      <c r="R27" s="46"/>
      <c r="S27" s="46"/>
      <c r="T27" s="46"/>
      <c r="U27" s="46"/>
      <c r="V27" s="46"/>
      <c r="W27" s="46"/>
      <c r="X27" s="46"/>
    </row>
    <row r="28" customHeight="1" spans="1:24">
      <c r="A28" s="45" t="s">
        <v>194</v>
      </c>
      <c r="B28" s="45" t="s">
        <v>9</v>
      </c>
      <c r="C28" s="45" t="s">
        <v>195</v>
      </c>
      <c r="D28" s="45" t="s">
        <v>196</v>
      </c>
      <c r="E28" s="45" t="s">
        <v>197</v>
      </c>
      <c r="F28" s="45" t="s">
        <v>198</v>
      </c>
      <c r="G28" s="45" t="s">
        <v>199</v>
      </c>
      <c r="H28" s="45" t="s">
        <v>200</v>
      </c>
      <c r="I28" s="46"/>
      <c r="J28" s="46"/>
      <c r="K28" s="46"/>
      <c r="L28" s="46"/>
      <c r="M28" s="46"/>
      <c r="N28" s="46"/>
      <c r="O28" s="46"/>
      <c r="P28" s="46"/>
      <c r="Q28" s="46"/>
      <c r="R28" s="46"/>
      <c r="S28" s="46"/>
      <c r="T28" s="46"/>
      <c r="U28" s="46"/>
      <c r="V28" s="46"/>
      <c r="W28" s="46"/>
      <c r="X28" s="46"/>
    </row>
    <row r="29" customHeight="1" spans="1:24">
      <c r="A29" s="46" t="s">
        <v>201</v>
      </c>
      <c r="B29" s="46" t="s">
        <v>17</v>
      </c>
      <c r="C29" s="46" t="s">
        <v>202</v>
      </c>
      <c r="D29" s="46" t="s">
        <v>203</v>
      </c>
      <c r="E29" s="46" t="s">
        <v>204</v>
      </c>
      <c r="F29" s="46" t="s">
        <v>205</v>
      </c>
      <c r="G29" s="46" t="s">
        <v>206</v>
      </c>
      <c r="H29" s="46" t="s">
        <v>207</v>
      </c>
      <c r="I29" s="46"/>
      <c r="J29" s="46"/>
      <c r="K29" s="46"/>
      <c r="L29" s="46"/>
      <c r="M29" s="46"/>
      <c r="N29" s="46"/>
      <c r="O29" s="46"/>
      <c r="P29" s="46"/>
      <c r="Q29" s="46"/>
      <c r="R29" s="46"/>
      <c r="S29" s="46"/>
      <c r="T29" s="46"/>
      <c r="U29" s="46"/>
      <c r="V29" s="46"/>
      <c r="W29" s="46"/>
      <c r="X29" s="46"/>
    </row>
    <row r="30" customHeight="1" spans="1:24">
      <c r="A30" s="46" t="s">
        <v>208</v>
      </c>
      <c r="B30" s="46" t="s">
        <v>17</v>
      </c>
      <c r="C30" s="46" t="s">
        <v>209</v>
      </c>
      <c r="D30" s="46" t="s">
        <v>210</v>
      </c>
      <c r="E30" s="46" t="s">
        <v>211</v>
      </c>
      <c r="F30" s="46" t="s">
        <v>212</v>
      </c>
      <c r="G30" s="46" t="s">
        <v>213</v>
      </c>
      <c r="H30" s="46" t="s">
        <v>214</v>
      </c>
      <c r="I30" s="46"/>
      <c r="J30" s="46"/>
      <c r="K30" s="46"/>
      <c r="L30" s="46"/>
      <c r="M30" s="46"/>
      <c r="N30" s="46"/>
      <c r="O30" s="46"/>
      <c r="P30" s="46"/>
      <c r="Q30" s="46"/>
      <c r="R30" s="46"/>
      <c r="S30" s="46"/>
      <c r="T30" s="46"/>
      <c r="U30" s="46"/>
      <c r="V30" s="46"/>
      <c r="W30" s="46"/>
      <c r="X30" s="46"/>
    </row>
    <row r="31" customHeight="1" spans="1:24">
      <c r="A31" s="46" t="s">
        <v>215</v>
      </c>
      <c r="B31" s="46" t="s">
        <v>17</v>
      </c>
      <c r="C31" s="46" t="s">
        <v>216</v>
      </c>
      <c r="D31" s="46" t="s">
        <v>217</v>
      </c>
      <c r="E31" s="46" t="s">
        <v>218</v>
      </c>
      <c r="F31" s="46" t="s">
        <v>219</v>
      </c>
      <c r="G31" s="46" t="s">
        <v>220</v>
      </c>
      <c r="H31" s="46" t="s">
        <v>221</v>
      </c>
      <c r="I31" s="46"/>
      <c r="J31" s="46"/>
      <c r="K31" s="46"/>
      <c r="L31" s="46"/>
      <c r="M31" s="46"/>
      <c r="N31" s="46"/>
      <c r="O31" s="46"/>
      <c r="P31" s="46"/>
      <c r="Q31" s="46"/>
      <c r="R31" s="46"/>
      <c r="S31" s="46"/>
      <c r="T31" s="46"/>
      <c r="U31" s="46"/>
      <c r="V31" s="46"/>
      <c r="W31" s="46"/>
      <c r="X31" s="46"/>
    </row>
    <row r="32" customHeight="1" spans="1:24">
      <c r="A32" s="46" t="s">
        <v>222</v>
      </c>
      <c r="B32" s="46" t="s">
        <v>17</v>
      </c>
      <c r="C32" s="46" t="s">
        <v>223</v>
      </c>
      <c r="D32" s="46" t="s">
        <v>224</v>
      </c>
      <c r="E32" s="46" t="s">
        <v>225</v>
      </c>
      <c r="F32" s="46" t="s">
        <v>226</v>
      </c>
      <c r="G32" s="46" t="s">
        <v>227</v>
      </c>
      <c r="H32" s="46" t="s">
        <v>228</v>
      </c>
      <c r="I32" s="46"/>
      <c r="J32" s="46"/>
      <c r="K32" s="46"/>
      <c r="L32" s="46"/>
      <c r="M32" s="46"/>
      <c r="N32" s="46"/>
      <c r="O32" s="46"/>
      <c r="P32" s="46"/>
      <c r="Q32" s="46"/>
      <c r="R32" s="46"/>
      <c r="S32" s="46"/>
      <c r="T32" s="46"/>
      <c r="U32" s="46"/>
      <c r="V32" s="46"/>
      <c r="W32" s="46"/>
      <c r="X32" s="46"/>
    </row>
    <row r="33" customHeight="1" spans="1:24">
      <c r="A33" s="46" t="s">
        <v>229</v>
      </c>
      <c r="B33" s="46" t="s">
        <v>17</v>
      </c>
      <c r="C33" s="46" t="s">
        <v>230</v>
      </c>
      <c r="D33" s="46" t="s">
        <v>231</v>
      </c>
      <c r="E33" s="46" t="s">
        <v>232</v>
      </c>
      <c r="F33" s="46" t="s">
        <v>233</v>
      </c>
      <c r="G33" s="46" t="s">
        <v>234</v>
      </c>
      <c r="H33" s="46" t="s">
        <v>235</v>
      </c>
      <c r="I33" s="46"/>
      <c r="J33" s="46"/>
      <c r="K33" s="46"/>
      <c r="L33" s="46"/>
      <c r="M33" s="46"/>
      <c r="N33" s="46"/>
      <c r="O33" s="46"/>
      <c r="P33" s="46"/>
      <c r="Q33" s="46"/>
      <c r="R33" s="46"/>
      <c r="S33" s="46"/>
      <c r="T33" s="46"/>
      <c r="U33" s="46"/>
      <c r="V33" s="46"/>
      <c r="W33" s="46"/>
      <c r="X33" s="46"/>
    </row>
    <row r="34" customHeight="1" spans="1:24">
      <c r="A34" s="46" t="s">
        <v>236</v>
      </c>
      <c r="B34" s="46" t="s">
        <v>9</v>
      </c>
      <c r="C34" s="46" t="s">
        <v>237</v>
      </c>
      <c r="D34" s="46" t="s">
        <v>238</v>
      </c>
      <c r="E34" s="46" t="s">
        <v>239</v>
      </c>
      <c r="F34" s="46" t="s">
        <v>240</v>
      </c>
      <c r="G34" s="46" t="s">
        <v>241</v>
      </c>
      <c r="H34" s="46" t="s">
        <v>242</v>
      </c>
      <c r="I34" s="46"/>
      <c r="J34" s="46"/>
      <c r="K34" s="46"/>
      <c r="L34" s="46"/>
      <c r="M34" s="46"/>
      <c r="N34" s="46"/>
      <c r="O34" s="46"/>
      <c r="P34" s="46"/>
      <c r="Q34" s="46"/>
      <c r="R34" s="46"/>
      <c r="S34" s="46"/>
      <c r="T34" s="46"/>
      <c r="U34" s="46"/>
      <c r="V34" s="46"/>
      <c r="W34" s="46"/>
      <c r="X34" s="46"/>
    </row>
    <row r="35" customHeight="1" spans="1:24">
      <c r="A35" s="46" t="s">
        <v>243</v>
      </c>
      <c r="B35" s="46" t="s">
        <v>17</v>
      </c>
      <c r="C35" s="46" t="s">
        <v>244</v>
      </c>
      <c r="D35" s="46" t="s">
        <v>245</v>
      </c>
      <c r="E35" s="46" t="s">
        <v>246</v>
      </c>
      <c r="F35" s="46" t="s">
        <v>247</v>
      </c>
      <c r="G35" s="46" t="s">
        <v>248</v>
      </c>
      <c r="H35" s="46" t="s">
        <v>249</v>
      </c>
      <c r="I35" s="46"/>
      <c r="J35" s="46"/>
      <c r="K35" s="46"/>
      <c r="L35" s="46"/>
      <c r="M35" s="46"/>
      <c r="N35" s="46"/>
      <c r="O35" s="46"/>
      <c r="P35" s="46"/>
      <c r="Q35" s="46"/>
      <c r="R35" s="46"/>
      <c r="S35" s="46"/>
      <c r="T35" s="46"/>
      <c r="U35" s="46"/>
      <c r="V35" s="46"/>
      <c r="W35" s="46"/>
      <c r="X35" s="46"/>
    </row>
    <row r="36" customHeight="1" spans="1:24">
      <c r="A36" s="46" t="s">
        <v>250</v>
      </c>
      <c r="B36" s="46" t="s">
        <v>17</v>
      </c>
      <c r="C36" s="46" t="s">
        <v>251</v>
      </c>
      <c r="D36" s="46" t="s">
        <v>252</v>
      </c>
      <c r="E36" s="46" t="s">
        <v>253</v>
      </c>
      <c r="F36" s="46" t="s">
        <v>254</v>
      </c>
      <c r="G36" s="46" t="s">
        <v>255</v>
      </c>
      <c r="H36" s="46" t="s">
        <v>256</v>
      </c>
      <c r="I36" s="46"/>
      <c r="J36" s="46"/>
      <c r="K36" s="46"/>
      <c r="L36" s="46"/>
      <c r="M36" s="46"/>
      <c r="N36" s="46"/>
      <c r="O36" s="46"/>
      <c r="P36" s="46"/>
      <c r="Q36" s="46"/>
      <c r="R36" s="46"/>
      <c r="S36" s="46"/>
      <c r="T36" s="46"/>
      <c r="U36" s="46"/>
      <c r="V36" s="46"/>
      <c r="W36" s="46"/>
      <c r="X36" s="46"/>
    </row>
    <row r="37" customHeight="1" spans="1:24">
      <c r="A37" s="46" t="s">
        <v>257</v>
      </c>
      <c r="B37" s="46" t="s">
        <v>17</v>
      </c>
      <c r="C37" s="46" t="s">
        <v>258</v>
      </c>
      <c r="D37" s="46" t="s">
        <v>259</v>
      </c>
      <c r="E37" s="46" t="s">
        <v>260</v>
      </c>
      <c r="F37" s="46" t="s">
        <v>261</v>
      </c>
      <c r="G37" s="46" t="s">
        <v>262</v>
      </c>
      <c r="H37" s="46" t="s">
        <v>263</v>
      </c>
      <c r="I37" s="46"/>
      <c r="J37" s="46"/>
      <c r="K37" s="46"/>
      <c r="L37" s="46"/>
      <c r="M37" s="46"/>
      <c r="N37" s="46"/>
      <c r="O37" s="46"/>
      <c r="P37" s="46"/>
      <c r="Q37" s="46"/>
      <c r="R37" s="46"/>
      <c r="S37" s="46"/>
      <c r="T37" s="46"/>
      <c r="U37" s="46"/>
      <c r="V37" s="46"/>
      <c r="W37" s="46"/>
      <c r="X37" s="46"/>
    </row>
    <row r="38" customHeight="1" spans="1:24">
      <c r="A38" s="46" t="s">
        <v>264</v>
      </c>
      <c r="B38" s="46" t="s">
        <v>17</v>
      </c>
      <c r="C38" s="46" t="s">
        <v>265</v>
      </c>
      <c r="D38" s="46" t="s">
        <v>266</v>
      </c>
      <c r="E38" s="46" t="s">
        <v>267</v>
      </c>
      <c r="F38" s="46" t="s">
        <v>268</v>
      </c>
      <c r="G38" s="46" t="s">
        <v>269</v>
      </c>
      <c r="H38" s="46" t="s">
        <v>270</v>
      </c>
      <c r="I38" s="46"/>
      <c r="J38" s="46"/>
      <c r="K38" s="46"/>
      <c r="L38" s="46"/>
      <c r="M38" s="46"/>
      <c r="N38" s="46"/>
      <c r="O38" s="46"/>
      <c r="P38" s="46"/>
      <c r="Q38" s="46"/>
      <c r="R38" s="46"/>
      <c r="S38" s="46"/>
      <c r="T38" s="46"/>
      <c r="U38" s="46"/>
      <c r="V38" s="46"/>
      <c r="W38" s="46"/>
      <c r="X38" s="46"/>
    </row>
    <row r="39" customHeight="1" spans="1:24">
      <c r="A39" s="46" t="s">
        <v>271</v>
      </c>
      <c r="B39" s="46" t="s">
        <v>17</v>
      </c>
      <c r="C39" s="46" t="s">
        <v>272</v>
      </c>
      <c r="D39" s="46" t="s">
        <v>273</v>
      </c>
      <c r="E39" s="46" t="s">
        <v>274</v>
      </c>
      <c r="F39" s="46" t="s">
        <v>275</v>
      </c>
      <c r="G39" s="46" t="s">
        <v>178</v>
      </c>
      <c r="H39" s="46" t="s">
        <v>276</v>
      </c>
      <c r="I39" s="46"/>
      <c r="J39" s="46"/>
      <c r="K39" s="46"/>
      <c r="L39" s="46"/>
      <c r="M39" s="46"/>
      <c r="N39" s="46"/>
      <c r="O39" s="46"/>
      <c r="P39" s="46"/>
      <c r="Q39" s="46"/>
      <c r="R39" s="46"/>
      <c r="S39" s="46"/>
      <c r="T39" s="46"/>
      <c r="U39" s="46"/>
      <c r="V39" s="46"/>
      <c r="W39" s="46"/>
      <c r="X39" s="46"/>
    </row>
    <row r="40" customHeight="1" spans="1:24">
      <c r="A40" s="46" t="s">
        <v>277</v>
      </c>
      <c r="B40" s="46" t="s">
        <v>17</v>
      </c>
      <c r="C40" s="46" t="s">
        <v>278</v>
      </c>
      <c r="D40" s="46" t="s">
        <v>279</v>
      </c>
      <c r="E40" s="46" t="s">
        <v>280</v>
      </c>
      <c r="F40" s="46" t="s">
        <v>281</v>
      </c>
      <c r="G40" s="46" t="s">
        <v>282</v>
      </c>
      <c r="H40" s="46" t="s">
        <v>283</v>
      </c>
      <c r="I40" s="46"/>
      <c r="J40" s="46"/>
      <c r="K40" s="46"/>
      <c r="L40" s="46"/>
      <c r="M40" s="46"/>
      <c r="N40" s="46"/>
      <c r="O40" s="46"/>
      <c r="P40" s="46"/>
      <c r="Q40" s="46"/>
      <c r="R40" s="46"/>
      <c r="S40" s="46"/>
      <c r="T40" s="46"/>
      <c r="U40" s="46"/>
      <c r="V40" s="46"/>
      <c r="W40" s="46"/>
      <c r="X40" s="46"/>
    </row>
    <row r="41" customHeight="1" spans="1:24">
      <c r="A41" s="46" t="s">
        <v>284</v>
      </c>
      <c r="B41" s="46" t="s">
        <v>17</v>
      </c>
      <c r="C41" s="46" t="s">
        <v>285</v>
      </c>
      <c r="D41" s="46" t="s">
        <v>286</v>
      </c>
      <c r="E41" s="46" t="s">
        <v>287</v>
      </c>
      <c r="F41" s="46" t="s">
        <v>288</v>
      </c>
      <c r="G41" s="46" t="s">
        <v>289</v>
      </c>
      <c r="H41" s="46" t="s">
        <v>290</v>
      </c>
      <c r="I41" s="46"/>
      <c r="J41" s="46"/>
      <c r="K41" s="46"/>
      <c r="L41" s="46"/>
      <c r="M41" s="46"/>
      <c r="N41" s="46"/>
      <c r="O41" s="46"/>
      <c r="P41" s="46"/>
      <c r="Q41" s="46"/>
      <c r="R41" s="46"/>
      <c r="S41" s="46"/>
      <c r="T41" s="46"/>
      <c r="U41" s="46"/>
      <c r="V41" s="46"/>
      <c r="W41" s="46"/>
      <c r="X41" s="46"/>
    </row>
    <row r="42" customHeight="1" spans="1:24">
      <c r="A42" s="46" t="s">
        <v>291</v>
      </c>
      <c r="B42" s="46" t="s">
        <v>54</v>
      </c>
      <c r="C42" s="46" t="s">
        <v>292</v>
      </c>
      <c r="D42" s="46" t="s">
        <v>293</v>
      </c>
      <c r="E42" s="46" t="s">
        <v>294</v>
      </c>
      <c r="F42" s="46" t="s">
        <v>295</v>
      </c>
      <c r="G42" s="46" t="s">
        <v>296</v>
      </c>
      <c r="H42" s="46" t="s">
        <v>297</v>
      </c>
      <c r="I42" s="46"/>
      <c r="J42" s="46"/>
      <c r="K42" s="46"/>
      <c r="L42" s="46"/>
      <c r="M42" s="46"/>
      <c r="N42" s="46"/>
      <c r="O42" s="46"/>
      <c r="P42" s="46"/>
      <c r="Q42" s="46"/>
      <c r="R42" s="46"/>
      <c r="S42" s="46"/>
      <c r="T42" s="46"/>
      <c r="U42" s="46"/>
      <c r="V42" s="46"/>
      <c r="W42" s="46"/>
      <c r="X42" s="46"/>
    </row>
    <row r="43" customHeight="1" spans="1:24">
      <c r="A43" s="45" t="s">
        <v>298</v>
      </c>
      <c r="B43" s="45" t="s">
        <v>299</v>
      </c>
      <c r="C43" s="45" t="s">
        <v>300</v>
      </c>
      <c r="D43" s="45" t="s">
        <v>301</v>
      </c>
      <c r="E43" s="45" t="s">
        <v>302</v>
      </c>
      <c r="F43" s="45" t="s">
        <v>303</v>
      </c>
      <c r="G43" s="45" t="s">
        <v>304</v>
      </c>
      <c r="H43" s="45" t="s">
        <v>305</v>
      </c>
      <c r="I43" s="46"/>
      <c r="J43" s="46"/>
      <c r="K43" s="46"/>
      <c r="L43" s="46"/>
      <c r="M43" s="46"/>
      <c r="N43" s="46"/>
      <c r="O43" s="46"/>
      <c r="P43" s="46"/>
      <c r="Q43" s="46"/>
      <c r="R43" s="46"/>
      <c r="S43" s="46"/>
      <c r="T43" s="46"/>
      <c r="U43" s="46"/>
      <c r="V43" s="46"/>
      <c r="W43" s="46"/>
      <c r="X43" s="46"/>
    </row>
    <row r="44" customHeight="1" spans="1:24">
      <c r="A44" s="45" t="s">
        <v>306</v>
      </c>
      <c r="B44" s="45" t="s">
        <v>17</v>
      </c>
      <c r="C44" s="45" t="s">
        <v>307</v>
      </c>
      <c r="D44" s="45" t="s">
        <v>308</v>
      </c>
      <c r="E44" s="45" t="s">
        <v>309</v>
      </c>
      <c r="F44" s="45" t="s">
        <v>310</v>
      </c>
      <c r="G44" s="45" t="s">
        <v>311</v>
      </c>
      <c r="H44" s="45" t="s">
        <v>312</v>
      </c>
      <c r="I44" s="46"/>
      <c r="J44" s="46"/>
      <c r="K44" s="46"/>
      <c r="L44" s="46"/>
      <c r="M44" s="46"/>
      <c r="N44" s="46"/>
      <c r="O44" s="46"/>
      <c r="P44" s="46"/>
      <c r="Q44" s="46"/>
      <c r="R44" s="46"/>
      <c r="S44" s="46"/>
      <c r="T44" s="46"/>
      <c r="U44" s="46"/>
      <c r="V44" s="46"/>
      <c r="W44" s="46"/>
      <c r="X44" s="46"/>
    </row>
    <row r="45" customHeight="1" spans="1:24">
      <c r="A45" s="45" t="s">
        <v>313</v>
      </c>
      <c r="B45" s="45" t="s">
        <v>17</v>
      </c>
      <c r="C45" s="45" t="s">
        <v>314</v>
      </c>
      <c r="D45" s="45" t="s">
        <v>315</v>
      </c>
      <c r="E45" s="45" t="s">
        <v>316</v>
      </c>
      <c r="F45" s="45" t="s">
        <v>317</v>
      </c>
      <c r="G45" s="45" t="s">
        <v>318</v>
      </c>
      <c r="H45" s="45" t="s">
        <v>319</v>
      </c>
      <c r="I45" s="46"/>
      <c r="J45" s="46"/>
      <c r="K45" s="46"/>
      <c r="L45" s="46"/>
      <c r="M45" s="46"/>
      <c r="N45" s="46"/>
      <c r="O45" s="46"/>
      <c r="P45" s="46"/>
      <c r="Q45" s="46"/>
      <c r="R45" s="46"/>
      <c r="S45" s="46"/>
      <c r="T45" s="46"/>
      <c r="U45" s="46"/>
      <c r="V45" s="46"/>
      <c r="W45" s="46"/>
      <c r="X45" s="46"/>
    </row>
    <row r="46" customHeight="1" spans="1:24">
      <c r="A46" s="45" t="s">
        <v>320</v>
      </c>
      <c r="B46" s="45" t="s">
        <v>54</v>
      </c>
      <c r="C46" s="45" t="s">
        <v>321</v>
      </c>
      <c r="D46" s="45" t="s">
        <v>322</v>
      </c>
      <c r="E46" s="45" t="s">
        <v>323</v>
      </c>
      <c r="F46" s="45" t="s">
        <v>324</v>
      </c>
      <c r="G46" s="45" t="s">
        <v>325</v>
      </c>
      <c r="H46" s="45" t="s">
        <v>326</v>
      </c>
      <c r="I46" s="46"/>
      <c r="J46" s="46"/>
      <c r="K46" s="46"/>
      <c r="L46" s="46"/>
      <c r="M46" s="46"/>
      <c r="N46" s="46"/>
      <c r="O46" s="46"/>
      <c r="P46" s="46"/>
      <c r="Q46" s="46"/>
      <c r="R46" s="46"/>
      <c r="S46" s="46"/>
      <c r="T46" s="46"/>
      <c r="U46" s="46"/>
      <c r="V46" s="46"/>
      <c r="W46" s="46"/>
      <c r="X46" s="46"/>
    </row>
    <row r="47" customHeight="1" spans="1:24">
      <c r="A47" s="45" t="s">
        <v>327</v>
      </c>
      <c r="B47" s="45" t="s">
        <v>54</v>
      </c>
      <c r="C47" s="45" t="s">
        <v>328</v>
      </c>
      <c r="D47" s="45" t="s">
        <v>329</v>
      </c>
      <c r="E47" s="45" t="s">
        <v>330</v>
      </c>
      <c r="F47" s="45" t="s">
        <v>331</v>
      </c>
      <c r="G47" s="45" t="s">
        <v>332</v>
      </c>
      <c r="H47" s="45" t="s">
        <v>333</v>
      </c>
      <c r="I47" s="46"/>
      <c r="J47" s="46"/>
      <c r="K47" s="46"/>
      <c r="L47" s="46"/>
      <c r="M47" s="46"/>
      <c r="N47" s="46"/>
      <c r="O47" s="46"/>
      <c r="P47" s="46"/>
      <c r="Q47" s="46"/>
      <c r="R47" s="46"/>
      <c r="S47" s="46"/>
      <c r="T47" s="46"/>
      <c r="U47" s="46"/>
      <c r="V47" s="46"/>
      <c r="W47" s="46"/>
      <c r="X47" s="46"/>
    </row>
    <row r="48" customHeight="1" spans="1:24">
      <c r="A48" s="45" t="s">
        <v>334</v>
      </c>
      <c r="B48" s="45" t="s">
        <v>17</v>
      </c>
      <c r="C48" s="45" t="s">
        <v>335</v>
      </c>
      <c r="D48" s="45" t="s">
        <v>336</v>
      </c>
      <c r="E48" s="45" t="s">
        <v>337</v>
      </c>
      <c r="F48" s="45" t="s">
        <v>338</v>
      </c>
      <c r="G48" s="45" t="s">
        <v>339</v>
      </c>
      <c r="H48" s="45" t="s">
        <v>340</v>
      </c>
      <c r="I48" s="46"/>
      <c r="J48" s="46"/>
      <c r="K48" s="46"/>
      <c r="L48" s="46"/>
      <c r="M48" s="46"/>
      <c r="N48" s="46"/>
      <c r="O48" s="46"/>
      <c r="P48" s="46"/>
      <c r="Q48" s="46"/>
      <c r="R48" s="46"/>
      <c r="S48" s="46"/>
      <c r="T48" s="46"/>
      <c r="U48" s="46"/>
      <c r="V48" s="46"/>
      <c r="W48" s="46"/>
      <c r="X48" s="46"/>
    </row>
    <row r="49" customHeight="1" spans="1:24">
      <c r="A49" s="45" t="s">
        <v>341</v>
      </c>
      <c r="B49" s="45" t="s">
        <v>17</v>
      </c>
      <c r="C49" s="45" t="s">
        <v>342</v>
      </c>
      <c r="D49" s="45" t="s">
        <v>343</v>
      </c>
      <c r="E49" s="45" t="s">
        <v>344</v>
      </c>
      <c r="F49" s="45" t="s">
        <v>345</v>
      </c>
      <c r="G49" s="45" t="s">
        <v>346</v>
      </c>
      <c r="H49" s="45" t="s">
        <v>347</v>
      </c>
      <c r="I49" s="46"/>
      <c r="J49" s="46"/>
      <c r="K49" s="46"/>
      <c r="L49" s="46"/>
      <c r="M49" s="46"/>
      <c r="N49" s="46"/>
      <c r="O49" s="46"/>
      <c r="P49" s="46"/>
      <c r="Q49" s="46"/>
      <c r="R49" s="46"/>
      <c r="S49" s="46"/>
      <c r="T49" s="46"/>
      <c r="U49" s="46"/>
      <c r="V49" s="46"/>
      <c r="W49" s="46"/>
      <c r="X49" s="46"/>
    </row>
    <row r="50" customHeight="1" spans="1:24">
      <c r="A50" s="45" t="s">
        <v>348</v>
      </c>
      <c r="B50" s="45" t="s">
        <v>54</v>
      </c>
      <c r="C50" s="45" t="s">
        <v>349</v>
      </c>
      <c r="D50" s="45" t="s">
        <v>350</v>
      </c>
      <c r="E50" s="45" t="s">
        <v>351</v>
      </c>
      <c r="F50" s="45" t="s">
        <v>352</v>
      </c>
      <c r="G50" s="45" t="s">
        <v>353</v>
      </c>
      <c r="H50" s="45" t="s">
        <v>354</v>
      </c>
      <c r="I50" s="46"/>
      <c r="J50" s="46"/>
      <c r="K50" s="46"/>
      <c r="L50" s="46"/>
      <c r="M50" s="46"/>
      <c r="N50" s="46"/>
      <c r="O50" s="46"/>
      <c r="P50" s="46"/>
      <c r="Q50" s="46"/>
      <c r="R50" s="46"/>
      <c r="S50" s="46"/>
      <c r="T50" s="46"/>
      <c r="U50" s="46"/>
      <c r="V50" s="46"/>
      <c r="W50" s="46"/>
      <c r="X50" s="46"/>
    </row>
    <row r="51" customHeight="1" spans="1:24">
      <c r="A51" s="45" t="s">
        <v>355</v>
      </c>
      <c r="B51" s="45" t="s">
        <v>356</v>
      </c>
      <c r="C51" s="45" t="s">
        <v>357</v>
      </c>
      <c r="D51" s="45" t="s">
        <v>358</v>
      </c>
      <c r="E51" s="45" t="s">
        <v>359</v>
      </c>
      <c r="F51" s="45" t="s">
        <v>360</v>
      </c>
      <c r="G51" s="45" t="s">
        <v>361</v>
      </c>
      <c r="H51" s="45" t="s">
        <v>362</v>
      </c>
      <c r="I51" s="46"/>
      <c r="J51" s="46"/>
      <c r="K51" s="46"/>
      <c r="L51" s="46"/>
      <c r="M51" s="46"/>
      <c r="N51" s="46"/>
      <c r="O51" s="46"/>
      <c r="P51" s="46"/>
      <c r="Q51" s="46"/>
      <c r="R51" s="46"/>
      <c r="S51" s="46"/>
      <c r="T51" s="46"/>
      <c r="U51" s="46"/>
      <c r="V51" s="46"/>
      <c r="W51" s="46"/>
      <c r="X51" s="46"/>
    </row>
    <row r="52" customHeight="1" spans="1:24">
      <c r="A52" s="45" t="s">
        <v>363</v>
      </c>
      <c r="B52" s="45" t="s">
        <v>17</v>
      </c>
      <c r="C52" s="45" t="s">
        <v>364</v>
      </c>
      <c r="D52" s="45" t="s">
        <v>365</v>
      </c>
      <c r="E52" s="45" t="s">
        <v>366</v>
      </c>
      <c r="F52" s="45" t="s">
        <v>367</v>
      </c>
      <c r="G52" s="45" t="s">
        <v>368</v>
      </c>
      <c r="H52" s="45" t="s">
        <v>369</v>
      </c>
      <c r="I52" s="46"/>
      <c r="J52" s="46"/>
      <c r="K52" s="46"/>
      <c r="L52" s="46"/>
      <c r="M52" s="46"/>
      <c r="N52" s="46"/>
      <c r="O52" s="46"/>
      <c r="P52" s="46"/>
      <c r="Q52" s="46"/>
      <c r="R52" s="46"/>
      <c r="S52" s="46"/>
      <c r="T52" s="46"/>
      <c r="U52" s="46"/>
      <c r="V52" s="46"/>
      <c r="W52" s="46"/>
      <c r="X52" s="46"/>
    </row>
    <row r="53" customHeight="1" spans="1:24">
      <c r="A53" s="46"/>
      <c r="B53" s="46"/>
      <c r="C53" s="46"/>
      <c r="D53" s="46"/>
      <c r="E53" s="46"/>
      <c r="F53" s="46"/>
      <c r="G53" s="46"/>
      <c r="H53" s="46"/>
      <c r="I53" s="46"/>
      <c r="J53" s="46"/>
      <c r="K53" s="46"/>
      <c r="L53" s="46"/>
      <c r="M53" s="46"/>
      <c r="N53" s="46"/>
      <c r="O53" s="46"/>
      <c r="P53" s="46"/>
      <c r="Q53" s="46"/>
      <c r="R53" s="46"/>
      <c r="S53" s="46"/>
      <c r="T53" s="46"/>
      <c r="U53" s="46"/>
      <c r="V53" s="46"/>
      <c r="W53" s="46"/>
      <c r="X53" s="46"/>
    </row>
    <row r="54" customHeight="1" spans="1:24">
      <c r="A54" s="46"/>
      <c r="B54" s="46"/>
      <c r="C54" s="46"/>
      <c r="D54" s="46"/>
      <c r="E54" s="46"/>
      <c r="F54" s="46"/>
      <c r="G54" s="46"/>
      <c r="H54" s="46"/>
      <c r="I54" s="46"/>
      <c r="J54" s="46"/>
      <c r="K54" s="46"/>
      <c r="L54" s="46"/>
      <c r="M54" s="46"/>
      <c r="N54" s="46"/>
      <c r="O54" s="46"/>
      <c r="P54" s="46"/>
      <c r="Q54" s="46"/>
      <c r="R54" s="46"/>
      <c r="S54" s="46"/>
      <c r="T54" s="46"/>
      <c r="U54" s="46"/>
      <c r="V54" s="46"/>
      <c r="W54" s="46"/>
      <c r="X54" s="46"/>
    </row>
    <row r="55" customHeight="1" spans="1:24">
      <c r="A55" s="46"/>
      <c r="B55" s="46"/>
      <c r="C55" s="46"/>
      <c r="D55" s="46"/>
      <c r="E55" s="46"/>
      <c r="F55" s="46"/>
      <c r="G55" s="46"/>
      <c r="H55" s="46"/>
      <c r="I55" s="46"/>
      <c r="J55" s="46"/>
      <c r="K55" s="46"/>
      <c r="L55" s="46"/>
      <c r="M55" s="46"/>
      <c r="N55" s="46"/>
      <c r="O55" s="46"/>
      <c r="P55" s="46"/>
      <c r="Q55" s="46"/>
      <c r="R55" s="46"/>
      <c r="S55" s="46"/>
      <c r="T55" s="46"/>
      <c r="U55" s="46"/>
      <c r="V55" s="46"/>
      <c r="W55" s="46"/>
      <c r="X55" s="46"/>
    </row>
    <row r="56" customHeight="1" spans="1:24">
      <c r="A56" s="46"/>
      <c r="B56" s="46"/>
      <c r="C56" s="46"/>
      <c r="D56" s="46"/>
      <c r="E56" s="46"/>
      <c r="F56" s="46"/>
      <c r="G56" s="46"/>
      <c r="H56" s="46"/>
      <c r="I56" s="46"/>
      <c r="J56" s="46"/>
      <c r="K56" s="46"/>
      <c r="L56" s="46"/>
      <c r="M56" s="46"/>
      <c r="N56" s="46"/>
      <c r="O56" s="46"/>
      <c r="P56" s="46"/>
      <c r="Q56" s="46"/>
      <c r="R56" s="46"/>
      <c r="S56" s="46"/>
      <c r="T56" s="46"/>
      <c r="U56" s="46"/>
      <c r="V56" s="46"/>
      <c r="W56" s="46"/>
      <c r="X56" s="46"/>
    </row>
    <row r="57" customHeight="1" spans="1:24">
      <c r="A57" s="46"/>
      <c r="B57" s="46"/>
      <c r="C57" s="46"/>
      <c r="D57" s="46"/>
      <c r="E57" s="46"/>
      <c r="F57" s="46"/>
      <c r="G57" s="46"/>
      <c r="H57" s="46"/>
      <c r="I57" s="46"/>
      <c r="J57" s="46"/>
      <c r="K57" s="46"/>
      <c r="L57" s="46"/>
      <c r="M57" s="46"/>
      <c r="N57" s="46"/>
      <c r="O57" s="46"/>
      <c r="P57" s="46"/>
      <c r="Q57" s="46"/>
      <c r="R57" s="46"/>
      <c r="S57" s="46"/>
      <c r="T57" s="46"/>
      <c r="U57" s="46"/>
      <c r="V57" s="46"/>
      <c r="W57" s="46"/>
      <c r="X57" s="46"/>
    </row>
    <row r="58" customHeight="1" spans="1:24">
      <c r="A58" s="46"/>
      <c r="B58" s="46"/>
      <c r="C58" s="46"/>
      <c r="D58" s="46"/>
      <c r="E58" s="46"/>
      <c r="F58" s="46"/>
      <c r="G58" s="46"/>
      <c r="H58" s="46"/>
      <c r="I58" s="46"/>
      <c r="J58" s="46"/>
      <c r="K58" s="46"/>
      <c r="L58" s="46"/>
      <c r="M58" s="46"/>
      <c r="N58" s="46"/>
      <c r="O58" s="46"/>
      <c r="P58" s="46"/>
      <c r="Q58" s="46"/>
      <c r="R58" s="46"/>
      <c r="S58" s="46"/>
      <c r="T58" s="46"/>
      <c r="U58" s="46"/>
      <c r="V58" s="46"/>
      <c r="W58" s="46"/>
      <c r="X58" s="46"/>
    </row>
    <row r="59" customHeight="1" spans="1:24">
      <c r="A59" s="46"/>
      <c r="B59" s="46"/>
      <c r="C59" s="46"/>
      <c r="D59" s="46"/>
      <c r="E59" s="46"/>
      <c r="F59" s="46"/>
      <c r="G59" s="46"/>
      <c r="H59" s="46"/>
      <c r="I59" s="46"/>
      <c r="J59" s="46"/>
      <c r="K59" s="46"/>
      <c r="L59" s="46"/>
      <c r="M59" s="46"/>
      <c r="N59" s="46"/>
      <c r="O59" s="46"/>
      <c r="P59" s="46"/>
      <c r="Q59" s="46"/>
      <c r="R59" s="46"/>
      <c r="S59" s="46"/>
      <c r="T59" s="46"/>
      <c r="U59" s="46"/>
      <c r="V59" s="46"/>
      <c r="W59" s="46"/>
      <c r="X59" s="46"/>
    </row>
    <row r="60" customHeight="1" spans="1:24">
      <c r="A60" s="46"/>
      <c r="B60" s="46"/>
      <c r="C60" s="46"/>
      <c r="D60" s="46"/>
      <c r="E60" s="46"/>
      <c r="F60" s="46"/>
      <c r="G60" s="46"/>
      <c r="H60" s="46"/>
      <c r="I60" s="46"/>
      <c r="J60" s="46"/>
      <c r="K60" s="46"/>
      <c r="L60" s="46"/>
      <c r="M60" s="46"/>
      <c r="N60" s="46"/>
      <c r="O60" s="46"/>
      <c r="P60" s="46"/>
      <c r="Q60" s="46"/>
      <c r="R60" s="46"/>
      <c r="S60" s="46"/>
      <c r="T60" s="46"/>
      <c r="U60" s="46"/>
      <c r="V60" s="46"/>
      <c r="W60" s="46"/>
      <c r="X60" s="46"/>
    </row>
    <row r="61" customHeight="1" spans="1:24">
      <c r="A61" s="46"/>
      <c r="B61" s="46"/>
      <c r="C61" s="46"/>
      <c r="D61" s="46"/>
      <c r="E61" s="46"/>
      <c r="F61" s="46"/>
      <c r="G61" s="46"/>
      <c r="H61" s="46"/>
      <c r="I61" s="46"/>
      <c r="J61" s="46"/>
      <c r="K61" s="46"/>
      <c r="L61" s="46"/>
      <c r="M61" s="46"/>
      <c r="N61" s="46"/>
      <c r="O61" s="46"/>
      <c r="P61" s="46"/>
      <c r="Q61" s="46"/>
      <c r="R61" s="46"/>
      <c r="S61" s="46"/>
      <c r="T61" s="46"/>
      <c r="U61" s="46"/>
      <c r="V61" s="46"/>
      <c r="W61" s="46"/>
      <c r="X61" s="46"/>
    </row>
    <row r="62" customHeight="1" spans="1:24">
      <c r="A62" s="46"/>
      <c r="B62" s="46"/>
      <c r="C62" s="46"/>
      <c r="D62" s="46"/>
      <c r="E62" s="46"/>
      <c r="F62" s="46"/>
      <c r="G62" s="46"/>
      <c r="H62" s="46"/>
      <c r="I62" s="46"/>
      <c r="J62" s="46"/>
      <c r="K62" s="46"/>
      <c r="L62" s="46"/>
      <c r="M62" s="46"/>
      <c r="N62" s="46"/>
      <c r="O62" s="46"/>
      <c r="P62" s="46"/>
      <c r="Q62" s="46"/>
      <c r="R62" s="46"/>
      <c r="S62" s="46"/>
      <c r="T62" s="46"/>
      <c r="U62" s="46"/>
      <c r="V62" s="46"/>
      <c r="W62" s="46"/>
      <c r="X62" s="46"/>
    </row>
    <row r="63" customHeight="1" spans="1:24">
      <c r="A63" s="46"/>
      <c r="B63" s="46"/>
      <c r="C63" s="46"/>
      <c r="D63" s="46"/>
      <c r="E63" s="46"/>
      <c r="F63" s="46"/>
      <c r="G63" s="46"/>
      <c r="H63" s="46"/>
      <c r="I63" s="46"/>
      <c r="J63" s="46"/>
      <c r="K63" s="46"/>
      <c r="L63" s="46"/>
      <c r="M63" s="46"/>
      <c r="N63" s="46"/>
      <c r="O63" s="46"/>
      <c r="P63" s="46"/>
      <c r="Q63" s="46"/>
      <c r="R63" s="46"/>
      <c r="S63" s="46"/>
      <c r="T63" s="46"/>
      <c r="U63" s="46"/>
      <c r="V63" s="46"/>
      <c r="W63" s="46"/>
      <c r="X63" s="46"/>
    </row>
    <row r="64" customHeight="1" spans="1:24">
      <c r="A64" s="46"/>
      <c r="B64" s="46"/>
      <c r="C64" s="46"/>
      <c r="D64" s="46"/>
      <c r="E64" s="46"/>
      <c r="F64" s="46"/>
      <c r="G64" s="46"/>
      <c r="H64" s="46"/>
      <c r="I64" s="46"/>
      <c r="J64" s="46"/>
      <c r="K64" s="46"/>
      <c r="L64" s="46"/>
      <c r="M64" s="46"/>
      <c r="N64" s="46"/>
      <c r="O64" s="46"/>
      <c r="P64" s="46"/>
      <c r="Q64" s="46"/>
      <c r="R64" s="46"/>
      <c r="S64" s="46"/>
      <c r="T64" s="46"/>
      <c r="U64" s="46"/>
      <c r="V64" s="46"/>
      <c r="W64" s="46"/>
      <c r="X64" s="46"/>
    </row>
    <row r="65" customHeight="1" spans="1:24">
      <c r="A65" s="46"/>
      <c r="B65" s="46"/>
      <c r="C65" s="46"/>
      <c r="D65" s="46"/>
      <c r="E65" s="46"/>
      <c r="F65" s="46"/>
      <c r="G65" s="46"/>
      <c r="H65" s="46"/>
      <c r="I65" s="46"/>
      <c r="J65" s="46"/>
      <c r="K65" s="46"/>
      <c r="L65" s="46"/>
      <c r="M65" s="46"/>
      <c r="N65" s="46"/>
      <c r="O65" s="46"/>
      <c r="P65" s="46"/>
      <c r="Q65" s="46"/>
      <c r="R65" s="46"/>
      <c r="S65" s="46"/>
      <c r="T65" s="46"/>
      <c r="U65" s="46"/>
      <c r="V65" s="46"/>
      <c r="W65" s="46"/>
      <c r="X65" s="46"/>
    </row>
    <row r="66" customHeight="1" spans="1:24">
      <c r="A66" s="46"/>
      <c r="B66" s="46"/>
      <c r="C66" s="46"/>
      <c r="D66" s="46"/>
      <c r="E66" s="46"/>
      <c r="F66" s="46"/>
      <c r="G66" s="46"/>
      <c r="H66" s="46"/>
      <c r="I66" s="46"/>
      <c r="J66" s="46"/>
      <c r="K66" s="46"/>
      <c r="L66" s="46"/>
      <c r="M66" s="46"/>
      <c r="N66" s="46"/>
      <c r="O66" s="46"/>
      <c r="P66" s="46"/>
      <c r="Q66" s="46"/>
      <c r="R66" s="46"/>
      <c r="S66" s="46"/>
      <c r="T66" s="46"/>
      <c r="U66" s="46"/>
      <c r="V66" s="46"/>
      <c r="W66" s="46"/>
      <c r="X66" s="46"/>
    </row>
    <row r="67" customHeight="1" spans="1:24">
      <c r="A67" s="46"/>
      <c r="B67" s="46"/>
      <c r="C67" s="46"/>
      <c r="D67" s="46"/>
      <c r="E67" s="46"/>
      <c r="F67" s="46"/>
      <c r="G67" s="46"/>
      <c r="H67" s="46"/>
      <c r="I67" s="46"/>
      <c r="J67" s="46"/>
      <c r="K67" s="46"/>
      <c r="L67" s="46"/>
      <c r="M67" s="46"/>
      <c r="N67" s="46"/>
      <c r="O67" s="46"/>
      <c r="P67" s="46"/>
      <c r="Q67" s="46"/>
      <c r="R67" s="46"/>
      <c r="S67" s="46"/>
      <c r="T67" s="46"/>
      <c r="U67" s="46"/>
      <c r="V67" s="46"/>
      <c r="W67" s="46"/>
      <c r="X67" s="46"/>
    </row>
    <row r="68" customHeight="1" spans="1:24">
      <c r="A68" s="46"/>
      <c r="B68" s="46"/>
      <c r="C68" s="46"/>
      <c r="D68" s="46"/>
      <c r="E68" s="46"/>
      <c r="F68" s="46"/>
      <c r="G68" s="46"/>
      <c r="H68" s="46"/>
      <c r="I68" s="46"/>
      <c r="J68" s="46"/>
      <c r="K68" s="46"/>
      <c r="L68" s="46"/>
      <c r="M68" s="46"/>
      <c r="N68" s="46"/>
      <c r="O68" s="46"/>
      <c r="P68" s="46"/>
      <c r="Q68" s="46"/>
      <c r="R68" s="46"/>
      <c r="S68" s="46"/>
      <c r="T68" s="46"/>
      <c r="U68" s="46"/>
      <c r="V68" s="46"/>
      <c r="W68" s="46"/>
      <c r="X68" s="46"/>
    </row>
    <row r="69" customHeight="1" spans="1:24">
      <c r="A69" s="46"/>
      <c r="B69" s="46"/>
      <c r="C69" s="46"/>
      <c r="D69" s="46"/>
      <c r="E69" s="46"/>
      <c r="F69" s="46"/>
      <c r="G69" s="46"/>
      <c r="H69" s="46"/>
      <c r="I69" s="46"/>
      <c r="J69" s="46"/>
      <c r="K69" s="46"/>
      <c r="L69" s="46"/>
      <c r="M69" s="46"/>
      <c r="N69" s="46"/>
      <c r="O69" s="46"/>
      <c r="P69" s="46"/>
      <c r="Q69" s="46"/>
      <c r="R69" s="46"/>
      <c r="S69" s="46"/>
      <c r="T69" s="46"/>
      <c r="U69" s="46"/>
      <c r="V69" s="46"/>
      <c r="W69" s="46"/>
      <c r="X69" s="46"/>
    </row>
    <row r="70" customHeight="1" spans="1:24">
      <c r="A70" s="46"/>
      <c r="B70" s="46"/>
      <c r="C70" s="46"/>
      <c r="D70" s="46"/>
      <c r="E70" s="46"/>
      <c r="F70" s="46"/>
      <c r="G70" s="46"/>
      <c r="H70" s="46"/>
      <c r="I70" s="46"/>
      <c r="J70" s="46"/>
      <c r="K70" s="46"/>
      <c r="L70" s="46"/>
      <c r="M70" s="46"/>
      <c r="N70" s="46"/>
      <c r="O70" s="46"/>
      <c r="P70" s="46"/>
      <c r="Q70" s="46"/>
      <c r="R70" s="46"/>
      <c r="S70" s="46"/>
      <c r="T70" s="46"/>
      <c r="U70" s="46"/>
      <c r="V70" s="46"/>
      <c r="W70" s="46"/>
      <c r="X70" s="46"/>
    </row>
    <row r="71" customHeight="1" spans="1:24">
      <c r="A71" s="46"/>
      <c r="B71" s="46"/>
      <c r="C71" s="46"/>
      <c r="D71" s="46"/>
      <c r="E71" s="46"/>
      <c r="F71" s="46"/>
      <c r="G71" s="46"/>
      <c r="H71" s="46"/>
      <c r="I71" s="46"/>
      <c r="J71" s="46"/>
      <c r="K71" s="46"/>
      <c r="L71" s="46"/>
      <c r="M71" s="46"/>
      <c r="N71" s="46"/>
      <c r="O71" s="46"/>
      <c r="P71" s="46"/>
      <c r="Q71" s="46"/>
      <c r="R71" s="46"/>
      <c r="S71" s="46"/>
      <c r="T71" s="46"/>
      <c r="U71" s="46"/>
      <c r="V71" s="46"/>
      <c r="W71" s="46"/>
      <c r="X71" s="46"/>
    </row>
    <row r="72" customHeight="1" spans="1:24">
      <c r="A72" s="46"/>
      <c r="B72" s="46"/>
      <c r="C72" s="46"/>
      <c r="D72" s="46"/>
      <c r="E72" s="46"/>
      <c r="F72" s="46"/>
      <c r="G72" s="46"/>
      <c r="H72" s="46"/>
      <c r="I72" s="46"/>
      <c r="J72" s="46"/>
      <c r="K72" s="46"/>
      <c r="L72" s="46"/>
      <c r="M72" s="46"/>
      <c r="N72" s="46"/>
      <c r="O72" s="46"/>
      <c r="P72" s="46"/>
      <c r="Q72" s="46"/>
      <c r="R72" s="46"/>
      <c r="S72" s="46"/>
      <c r="T72" s="46"/>
      <c r="U72" s="46"/>
      <c r="V72" s="46"/>
      <c r="W72" s="46"/>
      <c r="X72" s="46"/>
    </row>
    <row r="73" customHeight="1" spans="1:24">
      <c r="A73" s="46"/>
      <c r="B73" s="46"/>
      <c r="C73" s="46"/>
      <c r="D73" s="46"/>
      <c r="E73" s="46"/>
      <c r="F73" s="46"/>
      <c r="G73" s="46"/>
      <c r="H73" s="46"/>
      <c r="I73" s="46"/>
      <c r="J73" s="46"/>
      <c r="K73" s="46"/>
      <c r="L73" s="46"/>
      <c r="M73" s="46"/>
      <c r="N73" s="46"/>
      <c r="O73" s="46"/>
      <c r="P73" s="46"/>
      <c r="Q73" s="46"/>
      <c r="R73" s="46"/>
      <c r="S73" s="46"/>
      <c r="T73" s="46"/>
      <c r="U73" s="46"/>
      <c r="V73" s="46"/>
      <c r="W73" s="46"/>
      <c r="X73" s="46"/>
    </row>
    <row r="74" customHeight="1" spans="1:24">
      <c r="A74" s="46"/>
      <c r="B74" s="46"/>
      <c r="C74" s="46"/>
      <c r="D74" s="46"/>
      <c r="E74" s="46"/>
      <c r="F74" s="46"/>
      <c r="G74" s="46"/>
      <c r="H74" s="46"/>
      <c r="I74" s="46"/>
      <c r="J74" s="46"/>
      <c r="K74" s="46"/>
      <c r="L74" s="46"/>
      <c r="M74" s="46"/>
      <c r="N74" s="46"/>
      <c r="O74" s="46"/>
      <c r="P74" s="46"/>
      <c r="Q74" s="46"/>
      <c r="R74" s="46"/>
      <c r="S74" s="46"/>
      <c r="T74" s="46"/>
      <c r="U74" s="46"/>
      <c r="V74" s="46"/>
      <c r="W74" s="46"/>
      <c r="X74" s="46"/>
    </row>
    <row r="75" customHeight="1" spans="1:24">
      <c r="A75" s="46"/>
      <c r="B75" s="46"/>
      <c r="C75" s="46"/>
      <c r="D75" s="46"/>
      <c r="E75" s="46"/>
      <c r="F75" s="46"/>
      <c r="G75" s="46"/>
      <c r="H75" s="46"/>
      <c r="I75" s="46"/>
      <c r="J75" s="46"/>
      <c r="K75" s="46"/>
      <c r="L75" s="46"/>
      <c r="M75" s="46"/>
      <c r="N75" s="46"/>
      <c r="O75" s="46"/>
      <c r="P75" s="46"/>
      <c r="Q75" s="46"/>
      <c r="R75" s="46"/>
      <c r="S75" s="46"/>
      <c r="T75" s="46"/>
      <c r="U75" s="46"/>
      <c r="V75" s="46"/>
      <c r="W75" s="46"/>
      <c r="X75" s="46"/>
    </row>
    <row r="76" customHeight="1" spans="1:24">
      <c r="A76" s="46"/>
      <c r="B76" s="46"/>
      <c r="C76" s="46"/>
      <c r="D76" s="46"/>
      <c r="E76" s="46"/>
      <c r="F76" s="46"/>
      <c r="G76" s="46"/>
      <c r="H76" s="46"/>
      <c r="I76" s="46"/>
      <c r="J76" s="46"/>
      <c r="K76" s="46"/>
      <c r="L76" s="46"/>
      <c r="M76" s="46"/>
      <c r="N76" s="46"/>
      <c r="O76" s="46"/>
      <c r="P76" s="46"/>
      <c r="Q76" s="46"/>
      <c r="R76" s="46"/>
      <c r="S76" s="46"/>
      <c r="T76" s="46"/>
      <c r="U76" s="46"/>
      <c r="V76" s="46"/>
      <c r="W76" s="46"/>
      <c r="X76" s="46"/>
    </row>
    <row r="77" customHeight="1" spans="1:24">
      <c r="A77" s="46"/>
      <c r="B77" s="46"/>
      <c r="C77" s="46"/>
      <c r="D77" s="46"/>
      <c r="E77" s="46"/>
      <c r="F77" s="46"/>
      <c r="G77" s="46"/>
      <c r="H77" s="46"/>
      <c r="I77" s="46"/>
      <c r="J77" s="46"/>
      <c r="K77" s="46"/>
      <c r="L77" s="46"/>
      <c r="M77" s="46"/>
      <c r="N77" s="46"/>
      <c r="O77" s="46"/>
      <c r="P77" s="46"/>
      <c r="Q77" s="46"/>
      <c r="R77" s="46"/>
      <c r="S77" s="46"/>
      <c r="T77" s="46"/>
      <c r="U77" s="46"/>
      <c r="V77" s="46"/>
      <c r="W77" s="46"/>
      <c r="X77" s="46"/>
    </row>
    <row r="78" customHeight="1" spans="1:24">
      <c r="A78" s="46"/>
      <c r="B78" s="46"/>
      <c r="C78" s="46"/>
      <c r="D78" s="46"/>
      <c r="E78" s="46"/>
      <c r="F78" s="46"/>
      <c r="G78" s="46"/>
      <c r="H78" s="46"/>
      <c r="I78" s="46"/>
      <c r="J78" s="46"/>
      <c r="K78" s="46"/>
      <c r="L78" s="46"/>
      <c r="M78" s="46"/>
      <c r="N78" s="46"/>
      <c r="O78" s="46"/>
      <c r="P78" s="46"/>
      <c r="Q78" s="46"/>
      <c r="R78" s="46"/>
      <c r="S78" s="46"/>
      <c r="T78" s="46"/>
      <c r="U78" s="46"/>
      <c r="V78" s="46"/>
      <c r="W78" s="46"/>
      <c r="X78" s="46"/>
    </row>
    <row r="79" customHeight="1" spans="1:24">
      <c r="A79" s="46"/>
      <c r="B79" s="46"/>
      <c r="C79" s="46"/>
      <c r="D79" s="46"/>
      <c r="E79" s="46"/>
      <c r="F79" s="46"/>
      <c r="G79" s="46"/>
      <c r="H79" s="46"/>
      <c r="I79" s="46"/>
      <c r="J79" s="46"/>
      <c r="K79" s="46"/>
      <c r="L79" s="46"/>
      <c r="M79" s="46"/>
      <c r="N79" s="46"/>
      <c r="O79" s="46"/>
      <c r="P79" s="46"/>
      <c r="Q79" s="46"/>
      <c r="R79" s="46"/>
      <c r="S79" s="46"/>
      <c r="T79" s="46"/>
      <c r="U79" s="46"/>
      <c r="V79" s="46"/>
      <c r="W79" s="46"/>
      <c r="X79" s="46"/>
    </row>
    <row r="80" customHeight="1" spans="1:24">
      <c r="A80" s="46"/>
      <c r="B80" s="46"/>
      <c r="C80" s="46"/>
      <c r="D80" s="46"/>
      <c r="E80" s="46"/>
      <c r="F80" s="46"/>
      <c r="G80" s="46"/>
      <c r="H80" s="46"/>
      <c r="I80" s="46"/>
      <c r="J80" s="46"/>
      <c r="K80" s="46"/>
      <c r="L80" s="46"/>
      <c r="M80" s="46"/>
      <c r="N80" s="46"/>
      <c r="O80" s="46"/>
      <c r="P80" s="46"/>
      <c r="Q80" s="46"/>
      <c r="R80" s="46"/>
      <c r="S80" s="46"/>
      <c r="T80" s="46"/>
      <c r="U80" s="46"/>
      <c r="V80" s="46"/>
      <c r="W80" s="46"/>
      <c r="X80" s="46"/>
    </row>
    <row r="81" customHeight="1" spans="1:24">
      <c r="A81" s="46"/>
      <c r="B81" s="46"/>
      <c r="C81" s="46"/>
      <c r="D81" s="46"/>
      <c r="E81" s="46"/>
      <c r="F81" s="46"/>
      <c r="G81" s="46"/>
      <c r="H81" s="46"/>
      <c r="I81" s="46"/>
      <c r="J81" s="46"/>
      <c r="K81" s="46"/>
      <c r="L81" s="46"/>
      <c r="M81" s="46"/>
      <c r="N81" s="46"/>
      <c r="O81" s="46"/>
      <c r="P81" s="46"/>
      <c r="Q81" s="46"/>
      <c r="R81" s="46"/>
      <c r="S81" s="46"/>
      <c r="T81" s="46"/>
      <c r="U81" s="46"/>
      <c r="V81" s="46"/>
      <c r="W81" s="46"/>
      <c r="X81" s="46"/>
    </row>
    <row r="82" customHeight="1" spans="1:24">
      <c r="A82" s="46"/>
      <c r="B82" s="46"/>
      <c r="C82" s="46"/>
      <c r="D82" s="46"/>
      <c r="E82" s="46"/>
      <c r="F82" s="46"/>
      <c r="G82" s="46"/>
      <c r="H82" s="46"/>
      <c r="I82" s="46"/>
      <c r="J82" s="46"/>
      <c r="K82" s="46"/>
      <c r="L82" s="46"/>
      <c r="M82" s="46"/>
      <c r="N82" s="46"/>
      <c r="O82" s="46"/>
      <c r="P82" s="46"/>
      <c r="Q82" s="46"/>
      <c r="R82" s="46"/>
      <c r="S82" s="46"/>
      <c r="T82" s="46"/>
      <c r="U82" s="46"/>
      <c r="V82" s="46"/>
      <c r="W82" s="46"/>
      <c r="X82" s="46"/>
    </row>
    <row r="83" customHeight="1" spans="1:24">
      <c r="A83" s="46"/>
      <c r="B83" s="46"/>
      <c r="C83" s="46"/>
      <c r="D83" s="46"/>
      <c r="E83" s="46"/>
      <c r="F83" s="46"/>
      <c r="G83" s="46"/>
      <c r="H83" s="46"/>
      <c r="I83" s="46"/>
      <c r="J83" s="46"/>
      <c r="K83" s="46"/>
      <c r="L83" s="46"/>
      <c r="M83" s="46"/>
      <c r="N83" s="46"/>
      <c r="O83" s="46"/>
      <c r="P83" s="46"/>
      <c r="Q83" s="46"/>
      <c r="R83" s="46"/>
      <c r="S83" s="46"/>
      <c r="T83" s="46"/>
      <c r="U83" s="46"/>
      <c r="V83" s="46"/>
      <c r="W83" s="46"/>
      <c r="X83" s="46"/>
    </row>
    <row r="84" customHeight="1" spans="1:24">
      <c r="A84" s="46"/>
      <c r="B84" s="46"/>
      <c r="C84" s="46"/>
      <c r="D84" s="46"/>
      <c r="E84" s="46"/>
      <c r="F84" s="46"/>
      <c r="G84" s="46"/>
      <c r="H84" s="46"/>
      <c r="I84" s="46"/>
      <c r="J84" s="46"/>
      <c r="K84" s="46"/>
      <c r="L84" s="46"/>
      <c r="M84" s="46"/>
      <c r="N84" s="46"/>
      <c r="O84" s="46"/>
      <c r="P84" s="46"/>
      <c r="Q84" s="46"/>
      <c r="R84" s="46"/>
      <c r="S84" s="46"/>
      <c r="T84" s="46"/>
      <c r="U84" s="46"/>
      <c r="V84" s="46"/>
      <c r="W84" s="46"/>
      <c r="X84" s="46"/>
    </row>
    <row r="85" customHeight="1" spans="1:24">
      <c r="A85" s="46"/>
      <c r="B85" s="46"/>
      <c r="C85" s="46"/>
      <c r="D85" s="46"/>
      <c r="E85" s="46"/>
      <c r="F85" s="46"/>
      <c r="G85" s="46"/>
      <c r="H85" s="46"/>
      <c r="I85" s="46"/>
      <c r="J85" s="46"/>
      <c r="K85" s="46"/>
      <c r="L85" s="46"/>
      <c r="M85" s="46"/>
      <c r="N85" s="46"/>
      <c r="O85" s="46"/>
      <c r="P85" s="46"/>
      <c r="Q85" s="46"/>
      <c r="R85" s="46"/>
      <c r="S85" s="46"/>
      <c r="T85" s="46"/>
      <c r="U85" s="46"/>
      <c r="V85" s="46"/>
      <c r="W85" s="46"/>
      <c r="X85" s="46"/>
    </row>
    <row r="86" customHeight="1" spans="1:24">
      <c r="A86" s="46"/>
      <c r="B86" s="46"/>
      <c r="C86" s="46"/>
      <c r="D86" s="46"/>
      <c r="E86" s="46"/>
      <c r="F86" s="46"/>
      <c r="G86" s="46"/>
      <c r="H86" s="46"/>
      <c r="I86" s="46"/>
      <c r="J86" s="46"/>
      <c r="K86" s="46"/>
      <c r="L86" s="46"/>
      <c r="M86" s="46"/>
      <c r="N86" s="46"/>
      <c r="O86" s="46"/>
      <c r="P86" s="46"/>
      <c r="Q86" s="46"/>
      <c r="R86" s="46"/>
      <c r="S86" s="46"/>
      <c r="T86" s="46"/>
      <c r="U86" s="46"/>
      <c r="V86" s="46"/>
      <c r="W86" s="46"/>
      <c r="X86" s="46"/>
    </row>
    <row r="87" customHeight="1" spans="1:24">
      <c r="A87" s="46"/>
      <c r="B87" s="46"/>
      <c r="C87" s="46"/>
      <c r="D87" s="46"/>
      <c r="E87" s="46"/>
      <c r="F87" s="46"/>
      <c r="G87" s="46"/>
      <c r="H87" s="46"/>
      <c r="I87" s="46"/>
      <c r="J87" s="46"/>
      <c r="K87" s="46"/>
      <c r="L87" s="46"/>
      <c r="M87" s="46"/>
      <c r="N87" s="46"/>
      <c r="O87" s="46"/>
      <c r="P87" s="46"/>
      <c r="Q87" s="46"/>
      <c r="R87" s="46"/>
      <c r="S87" s="46"/>
      <c r="T87" s="46"/>
      <c r="U87" s="46"/>
      <c r="V87" s="46"/>
      <c r="W87" s="46"/>
      <c r="X87" s="46"/>
    </row>
    <row r="88" customHeight="1" spans="1:24">
      <c r="A88" s="46"/>
      <c r="B88" s="46"/>
      <c r="C88" s="46"/>
      <c r="D88" s="46"/>
      <c r="E88" s="46"/>
      <c r="F88" s="46"/>
      <c r="G88" s="46"/>
      <c r="H88" s="46"/>
      <c r="I88" s="46"/>
      <c r="J88" s="46"/>
      <c r="K88" s="46"/>
      <c r="L88" s="46"/>
      <c r="M88" s="46"/>
      <c r="N88" s="46"/>
      <c r="O88" s="46"/>
      <c r="P88" s="46"/>
      <c r="Q88" s="46"/>
      <c r="R88" s="46"/>
      <c r="S88" s="46"/>
      <c r="T88" s="46"/>
      <c r="U88" s="46"/>
      <c r="V88" s="46"/>
      <c r="W88" s="46"/>
      <c r="X88" s="46"/>
    </row>
    <row r="89" customHeight="1" spans="1:24">
      <c r="A89" s="46"/>
      <c r="B89" s="46"/>
      <c r="C89" s="46"/>
      <c r="D89" s="46"/>
      <c r="E89" s="46"/>
      <c r="F89" s="46"/>
      <c r="G89" s="46"/>
      <c r="H89" s="46"/>
      <c r="I89" s="46"/>
      <c r="J89" s="46"/>
      <c r="K89" s="46"/>
      <c r="L89" s="46"/>
      <c r="M89" s="46"/>
      <c r="N89" s="46"/>
      <c r="O89" s="46"/>
      <c r="P89" s="46"/>
      <c r="Q89" s="46"/>
      <c r="R89" s="46"/>
      <c r="S89" s="46"/>
      <c r="T89" s="46"/>
      <c r="U89" s="46"/>
      <c r="V89" s="46"/>
      <c r="W89" s="46"/>
      <c r="X89" s="46"/>
    </row>
    <row r="90" customHeight="1" spans="1:24">
      <c r="A90" s="46"/>
      <c r="B90" s="46"/>
      <c r="C90" s="46"/>
      <c r="D90" s="46"/>
      <c r="E90" s="46"/>
      <c r="F90" s="46"/>
      <c r="G90" s="46"/>
      <c r="H90" s="46"/>
      <c r="I90" s="46"/>
      <c r="J90" s="46"/>
      <c r="K90" s="46"/>
      <c r="L90" s="46"/>
      <c r="M90" s="46"/>
      <c r="N90" s="46"/>
      <c r="O90" s="46"/>
      <c r="P90" s="46"/>
      <c r="Q90" s="46"/>
      <c r="R90" s="46"/>
      <c r="S90" s="46"/>
      <c r="T90" s="46"/>
      <c r="U90" s="46"/>
      <c r="V90" s="46"/>
      <c r="W90" s="46"/>
      <c r="X90" s="46"/>
    </row>
    <row r="91" customHeight="1" spans="1:24">
      <c r="A91" s="46"/>
      <c r="B91" s="46"/>
      <c r="C91" s="46"/>
      <c r="D91" s="46"/>
      <c r="E91" s="46"/>
      <c r="F91" s="46"/>
      <c r="G91" s="46"/>
      <c r="H91" s="46"/>
      <c r="I91" s="46"/>
      <c r="J91" s="46"/>
      <c r="K91" s="46"/>
      <c r="L91" s="46"/>
      <c r="M91" s="46"/>
      <c r="N91" s="46"/>
      <c r="O91" s="46"/>
      <c r="P91" s="46"/>
      <c r="Q91" s="46"/>
      <c r="R91" s="46"/>
      <c r="S91" s="46"/>
      <c r="T91" s="46"/>
      <c r="U91" s="46"/>
      <c r="V91" s="46"/>
      <c r="W91" s="46"/>
      <c r="X91" s="46"/>
    </row>
    <row r="92" customHeight="1" spans="1:24">
      <c r="A92" s="46"/>
      <c r="B92" s="46"/>
      <c r="C92" s="46"/>
      <c r="D92" s="46"/>
      <c r="E92" s="46"/>
      <c r="F92" s="46"/>
      <c r="G92" s="46"/>
      <c r="H92" s="46"/>
      <c r="I92" s="46"/>
      <c r="J92" s="46"/>
      <c r="K92" s="46"/>
      <c r="L92" s="46"/>
      <c r="M92" s="46"/>
      <c r="N92" s="46"/>
      <c r="O92" s="46"/>
      <c r="P92" s="46"/>
      <c r="Q92" s="46"/>
      <c r="R92" s="46"/>
      <c r="S92" s="46"/>
      <c r="T92" s="46"/>
      <c r="U92" s="46"/>
      <c r="V92" s="46"/>
      <c r="W92" s="46"/>
      <c r="X92" s="46"/>
    </row>
    <row r="93" customHeight="1" spans="1:24">
      <c r="A93" s="46"/>
      <c r="B93" s="46"/>
      <c r="C93" s="46"/>
      <c r="D93" s="46"/>
      <c r="E93" s="46"/>
      <c r="F93" s="46"/>
      <c r="G93" s="46"/>
      <c r="H93" s="46"/>
      <c r="I93" s="46"/>
      <c r="J93" s="46"/>
      <c r="K93" s="46"/>
      <c r="L93" s="46"/>
      <c r="M93" s="46"/>
      <c r="N93" s="46"/>
      <c r="O93" s="46"/>
      <c r="P93" s="46"/>
      <c r="Q93" s="46"/>
      <c r="R93" s="46"/>
      <c r="S93" s="46"/>
      <c r="T93" s="46"/>
      <c r="U93" s="46"/>
      <c r="V93" s="46"/>
      <c r="W93" s="46"/>
      <c r="X93" s="46"/>
    </row>
    <row r="94" customHeight="1" spans="1:24">
      <c r="A94" s="46"/>
      <c r="B94" s="46"/>
      <c r="C94" s="46"/>
      <c r="D94" s="46"/>
      <c r="E94" s="46"/>
      <c r="F94" s="46"/>
      <c r="G94" s="46"/>
      <c r="H94" s="46"/>
      <c r="I94" s="46"/>
      <c r="J94" s="46"/>
      <c r="K94" s="46"/>
      <c r="L94" s="46"/>
      <c r="M94" s="46"/>
      <c r="N94" s="46"/>
      <c r="O94" s="46"/>
      <c r="P94" s="46"/>
      <c r="Q94" s="46"/>
      <c r="R94" s="46"/>
      <c r="S94" s="46"/>
      <c r="T94" s="46"/>
      <c r="U94" s="46"/>
      <c r="V94" s="46"/>
      <c r="W94" s="46"/>
      <c r="X94" s="46"/>
    </row>
    <row r="95" customHeight="1" spans="1:24">
      <c r="A95" s="46"/>
      <c r="B95" s="46"/>
      <c r="C95" s="46"/>
      <c r="D95" s="46"/>
      <c r="E95" s="46"/>
      <c r="F95" s="46"/>
      <c r="G95" s="46"/>
      <c r="H95" s="46"/>
      <c r="I95" s="46"/>
      <c r="J95" s="46"/>
      <c r="K95" s="46"/>
      <c r="L95" s="46"/>
      <c r="M95" s="46"/>
      <c r="N95" s="46"/>
      <c r="O95" s="46"/>
      <c r="P95" s="46"/>
      <c r="Q95" s="46"/>
      <c r="R95" s="46"/>
      <c r="S95" s="46"/>
      <c r="T95" s="46"/>
      <c r="U95" s="46"/>
      <c r="V95" s="46"/>
      <c r="W95" s="46"/>
      <c r="X95" s="46"/>
    </row>
    <row r="96" customHeight="1" spans="1:24">
      <c r="A96" s="46"/>
      <c r="B96" s="46"/>
      <c r="C96" s="46"/>
      <c r="D96" s="46"/>
      <c r="E96" s="46"/>
      <c r="F96" s="46"/>
      <c r="G96" s="46"/>
      <c r="H96" s="46"/>
      <c r="I96" s="46"/>
      <c r="J96" s="46"/>
      <c r="K96" s="46"/>
      <c r="L96" s="46"/>
      <c r="M96" s="46"/>
      <c r="N96" s="46"/>
      <c r="O96" s="46"/>
      <c r="P96" s="46"/>
      <c r="Q96" s="46"/>
      <c r="R96" s="46"/>
      <c r="S96" s="46"/>
      <c r="T96" s="46"/>
      <c r="U96" s="46"/>
      <c r="V96" s="46"/>
      <c r="W96" s="46"/>
      <c r="X96" s="46"/>
    </row>
    <row r="97" customHeight="1" spans="1:24">
      <c r="A97" s="46"/>
      <c r="B97" s="46"/>
      <c r="C97" s="46"/>
      <c r="D97" s="46"/>
      <c r="E97" s="46"/>
      <c r="F97" s="46"/>
      <c r="G97" s="46"/>
      <c r="H97" s="46"/>
      <c r="I97" s="46"/>
      <c r="J97" s="46"/>
      <c r="K97" s="46"/>
      <c r="L97" s="46"/>
      <c r="M97" s="46"/>
      <c r="N97" s="46"/>
      <c r="O97" s="46"/>
      <c r="P97" s="46"/>
      <c r="Q97" s="46"/>
      <c r="R97" s="46"/>
      <c r="S97" s="46"/>
      <c r="T97" s="46"/>
      <c r="U97" s="46"/>
      <c r="V97" s="46"/>
      <c r="W97" s="46"/>
      <c r="X97" s="46"/>
    </row>
    <row r="98" customHeight="1" spans="1:24">
      <c r="A98" s="46"/>
      <c r="B98" s="46"/>
      <c r="C98" s="46"/>
      <c r="D98" s="46"/>
      <c r="E98" s="46"/>
      <c r="F98" s="46"/>
      <c r="G98" s="46"/>
      <c r="H98" s="46"/>
      <c r="I98" s="46"/>
      <c r="J98" s="46"/>
      <c r="K98" s="46"/>
      <c r="L98" s="46"/>
      <c r="M98" s="46"/>
      <c r="N98" s="46"/>
      <c r="O98" s="46"/>
      <c r="P98" s="46"/>
      <c r="Q98" s="46"/>
      <c r="R98" s="46"/>
      <c r="S98" s="46"/>
      <c r="T98" s="46"/>
      <c r="U98" s="46"/>
      <c r="V98" s="46"/>
      <c r="W98" s="46"/>
      <c r="X98" s="46"/>
    </row>
    <row r="99" customHeight="1" spans="1:24">
      <c r="A99" s="46"/>
      <c r="B99" s="46"/>
      <c r="C99" s="46"/>
      <c r="D99" s="46"/>
      <c r="E99" s="46"/>
      <c r="F99" s="46"/>
      <c r="G99" s="46"/>
      <c r="H99" s="46"/>
      <c r="I99" s="46"/>
      <c r="J99" s="46"/>
      <c r="K99" s="46"/>
      <c r="L99" s="46"/>
      <c r="M99" s="46"/>
      <c r="N99" s="46"/>
      <c r="O99" s="46"/>
      <c r="P99" s="46"/>
      <c r="Q99" s="46"/>
      <c r="R99" s="46"/>
      <c r="S99" s="46"/>
      <c r="T99" s="46"/>
      <c r="U99" s="46"/>
      <c r="V99" s="46"/>
      <c r="W99" s="46"/>
      <c r="X99" s="46"/>
    </row>
    <row r="100" customHeight="1" spans="1:24">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row>
    <row r="101" customHeight="1" spans="1:24">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row>
    <row r="102" customHeight="1" spans="1:24">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row>
    <row r="103" customHeight="1" spans="1:24">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row>
    <row r="104" customHeight="1" spans="1:24">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row>
    <row r="105" customHeight="1" spans="1:24">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row>
    <row r="106" customHeight="1" spans="1:24">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row>
    <row r="107" customHeight="1" spans="1:24">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row>
    <row r="108" customHeight="1" spans="1:24">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row>
    <row r="109" customHeight="1" spans="1:24">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row>
    <row r="110" customHeight="1" spans="1:24">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row>
    <row r="111" customHeight="1" spans="1:24">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row>
    <row r="112" customHeight="1" spans="1:24">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row>
    <row r="113" customHeight="1" spans="1:24">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row>
    <row r="114" customHeight="1" spans="1:24">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row>
    <row r="115" customHeight="1" spans="1:24">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row>
    <row r="116" customHeight="1" spans="1:24">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row>
    <row r="117" customHeight="1" spans="1:24">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row>
    <row r="118" customHeight="1" spans="1:24">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row>
    <row r="119" customHeight="1" spans="1:24">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row>
    <row r="120" customHeight="1" spans="1:24">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row>
    <row r="121" customHeight="1" spans="1:24">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row>
    <row r="122" customHeight="1" spans="1:24">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row>
    <row r="123" customHeight="1" spans="1:24">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row>
    <row r="124" customHeight="1" spans="1:24">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row>
    <row r="125" customHeight="1" spans="1:24">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row>
    <row r="126" customHeight="1" spans="1:24">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row>
    <row r="127" customHeight="1" spans="1:24">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row>
    <row r="128" customHeight="1" spans="1:24">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row>
    <row r="129" customHeight="1" spans="1:24">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row>
    <row r="130" customHeight="1" spans="1:24">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row>
    <row r="131" customHeight="1" spans="1:24">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row>
    <row r="132" customHeight="1" spans="1:24">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row>
    <row r="133" customHeight="1" spans="1:24">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row>
    <row r="134" customHeight="1" spans="1:24">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row>
    <row r="135" customHeight="1" spans="1:24">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row>
    <row r="136" customHeight="1" spans="1:24">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row>
    <row r="137" customHeight="1" spans="1:24">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row>
    <row r="138" customHeight="1" spans="1:24">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row>
    <row r="139" customHeight="1" spans="1:24">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row>
    <row r="140" customHeight="1" spans="1:24">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row>
    <row r="141" customHeight="1" spans="1:24">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row>
    <row r="142" customHeight="1" spans="1:24">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row>
    <row r="143" customHeight="1" spans="1:24">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row>
    <row r="144" customHeight="1" spans="1:24">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row>
    <row r="145" customHeight="1" spans="1:24">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row>
    <row r="146" customHeight="1" spans="1:24">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row>
    <row r="147" customHeight="1" spans="1:24">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row>
    <row r="148" customHeight="1" spans="1:24">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row>
    <row r="149" customHeight="1" spans="1:24">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row>
    <row r="150" customHeight="1" spans="1:24">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row>
    <row r="151" customHeight="1" spans="1:24">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row>
    <row r="152" customHeight="1" spans="1:24">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row>
    <row r="153" customHeight="1" spans="1:24">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row>
    <row r="154" customHeight="1" spans="1:24">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row>
    <row r="155" customHeight="1" spans="1:24">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row>
    <row r="156" customHeight="1" spans="1:24">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row>
    <row r="157" customHeight="1" spans="1:24">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row>
    <row r="158" customHeight="1" spans="1:24">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row>
    <row r="159" customHeight="1" spans="1:24">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row>
    <row r="160" customHeight="1" spans="1:24">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row>
    <row r="161" customHeight="1" spans="1:24">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row>
    <row r="162" customHeight="1" spans="1:24">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row>
    <row r="163" customHeight="1" spans="1:24">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row>
    <row r="164" customHeight="1" spans="1:24">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row>
    <row r="165" customHeight="1" spans="1:24">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row>
    <row r="166" customHeight="1" spans="1:24">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row>
    <row r="167" customHeight="1" spans="1:24">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row>
    <row r="168" customHeight="1" spans="1:24">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row>
    <row r="169" customHeight="1" spans="1:24">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row>
    <row r="170" customHeight="1" spans="1:24">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row>
    <row r="171" customHeight="1" spans="1:24">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row>
    <row r="172" customHeight="1" spans="1:24">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row>
    <row r="173" customHeight="1" spans="1:24">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row>
    <row r="174" customHeight="1" spans="1:24">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row>
    <row r="175" customHeight="1" spans="1:24">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row>
    <row r="176" customHeight="1" spans="1:24">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row>
    <row r="177" customHeight="1" spans="1:24">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row>
    <row r="178" customHeight="1" spans="1:24">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row>
    <row r="179" customHeight="1" spans="1:24">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row>
    <row r="180" customHeight="1" spans="1:24">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row>
    <row r="181" customHeight="1" spans="1:24">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row>
    <row r="182" customHeight="1" spans="1:24">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row>
    <row r="183" customHeight="1" spans="1:24">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row>
    <row r="184" customHeight="1" spans="1:24">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row>
    <row r="185" customHeight="1" spans="1:24">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row>
    <row r="186" customHeight="1" spans="1:24">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row>
    <row r="187" customHeight="1" spans="1:24">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row>
    <row r="188" customHeight="1" spans="1:24">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row>
    <row r="189" customHeight="1" spans="1:24">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row>
    <row r="190" customHeight="1" spans="1:24">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row>
    <row r="191" customHeight="1" spans="1:24">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row>
    <row r="192" customHeight="1" spans="1:24">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row>
    <row r="193" customHeight="1" spans="1:24">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row>
    <row r="194" customHeight="1" spans="1:24">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row>
    <row r="195" customHeight="1" spans="1:24">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row>
    <row r="196" customHeight="1" spans="1:24">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row>
    <row r="197" customHeight="1" spans="1:24">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row>
    <row r="198" customHeight="1" spans="1:24">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row>
    <row r="199" customHeight="1" spans="1:24">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row>
    <row r="200" customHeight="1" spans="1:24">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row>
    <row r="201" customHeight="1" spans="1:24">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row>
    <row r="202" customHeight="1" spans="1:24">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row>
    <row r="203" customHeight="1" spans="1:24">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row>
    <row r="204" customHeight="1" spans="1:24">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row>
    <row r="205" customHeight="1" spans="1:24">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row>
    <row r="206" customHeight="1" spans="1:24">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row>
    <row r="207" customHeight="1" spans="1:24">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row>
    <row r="208" customHeight="1" spans="1:24">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row>
    <row r="209" customHeight="1" spans="1:24">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row>
    <row r="210" customHeight="1" spans="1:24">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row>
    <row r="211" customHeight="1" spans="1:24">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row>
    <row r="212" customHeight="1" spans="1:24">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row>
    <row r="213" customHeight="1" spans="1:24">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row>
    <row r="214" customHeight="1" spans="1:24">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row>
    <row r="215" customHeight="1" spans="1:24">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row>
    <row r="216" customHeight="1" spans="1:24">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row>
    <row r="217" customHeight="1" spans="1:24">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row>
    <row r="218" customHeight="1" spans="1:24">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row>
    <row r="219" customHeight="1" spans="1:24">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row>
    <row r="220" customHeight="1" spans="1:24">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row>
    <row r="221" customHeight="1" spans="1:24">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row>
    <row r="222" customHeight="1" spans="1:24">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row>
    <row r="223" customHeight="1" spans="1:24">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row>
    <row r="224" customHeight="1" spans="1:24">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row>
    <row r="225" customHeight="1" spans="1:24">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row>
    <row r="226" customHeight="1" spans="1:24">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row>
    <row r="227" customHeight="1" spans="1:24">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row>
    <row r="228" customHeight="1" spans="1:24">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row>
    <row r="229" customHeight="1" spans="1:24">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row>
    <row r="230" customHeight="1" spans="1:24">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row>
    <row r="231" customHeight="1" spans="1:24">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row>
    <row r="232" customHeight="1" spans="1:24">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row>
    <row r="233" customHeight="1" spans="1:24">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row>
    <row r="234" customHeight="1" spans="1:24">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row>
    <row r="235" customHeight="1" spans="1:24">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row>
    <row r="236" customHeight="1" spans="1:24">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row>
    <row r="237" customHeight="1" spans="1:24">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row>
    <row r="238" customHeight="1" spans="1:24">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row>
    <row r="239" customHeight="1" spans="1:24">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row>
    <row r="240" customHeight="1" spans="1:24">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row>
    <row r="241" customHeight="1" spans="1:24">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row>
    <row r="242" customHeight="1" spans="1:24">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row>
    <row r="243" customHeight="1" spans="1:24">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row>
    <row r="244" customHeight="1" spans="1:24">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row>
    <row r="245" customHeight="1" spans="1:24">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row>
    <row r="246" customHeight="1" spans="1:24">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row>
    <row r="247" customHeight="1" spans="1:24">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row>
    <row r="248" customHeight="1" spans="1:24">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row>
    <row r="249" customHeight="1" spans="1:24">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row>
    <row r="250" customHeight="1" spans="1:24">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row>
    <row r="251" customHeight="1" spans="1:24">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row>
    <row r="252" customHeight="1" spans="1:24">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row>
    <row r="253" customHeight="1" spans="1:24">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row>
    <row r="254" customHeight="1" spans="1:24">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row>
    <row r="255" customHeight="1" spans="1:24">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row>
    <row r="256" customHeight="1" spans="1:24">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row>
    <row r="257" customHeight="1" spans="1:24">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row>
    <row r="258" customHeight="1" spans="1:24">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row>
    <row r="259" customHeight="1" spans="1:24">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row>
    <row r="260" customHeight="1" spans="1:24">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row>
    <row r="261" customHeight="1" spans="1:24">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row>
    <row r="262" customHeight="1" spans="1:24">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row>
    <row r="263" customHeight="1" spans="1:24">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row>
    <row r="264" customHeight="1" spans="1:24">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row>
    <row r="265" customHeight="1" spans="1:24">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row>
    <row r="266" customHeight="1" spans="1:24">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row>
    <row r="267" customHeight="1" spans="1:24">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row>
    <row r="268" customHeight="1" spans="1:24">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row>
    <row r="269" customHeight="1" spans="1:24">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row>
    <row r="270" customHeight="1" spans="1:24">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row>
    <row r="271" customHeight="1" spans="1:24">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row>
    <row r="272" customHeight="1" spans="1:24">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row>
    <row r="273" customHeight="1" spans="1:24">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row>
    <row r="274" customHeight="1" spans="1:24">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row>
    <row r="275" customHeight="1" spans="1:24">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row>
    <row r="276" customHeight="1" spans="1:24">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row>
    <row r="277" customHeight="1" spans="1:24">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row>
    <row r="278" customHeight="1" spans="1:24">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row>
    <row r="279" customHeight="1" spans="1:24">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row>
    <row r="280" customHeight="1" spans="1:24">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row>
    <row r="281" customHeight="1" spans="1:24">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row>
    <row r="282" customHeight="1" spans="1:24">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row>
    <row r="283" customHeight="1" spans="1:24">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row>
    <row r="284" customHeight="1" spans="1:24">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row>
    <row r="285" customHeight="1" spans="1:24">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row>
    <row r="286" customHeight="1" spans="1:24">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row>
    <row r="287" customHeight="1" spans="1:24">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row>
    <row r="288" customHeight="1" spans="1:24">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row>
    <row r="289" customHeight="1" spans="1:24">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row>
    <row r="290" customHeight="1" spans="1:24">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row>
    <row r="291" customHeight="1" spans="1:24">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row>
    <row r="292" customHeight="1" spans="1:24">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row>
    <row r="293" customHeight="1" spans="1:24">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row>
    <row r="294" customHeight="1" spans="1:24">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row>
    <row r="295" customHeight="1" spans="1:24">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row>
    <row r="296" customHeight="1" spans="1:24">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row>
    <row r="297" customHeight="1" spans="1:24">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row>
    <row r="298" customHeight="1" spans="1:24">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row>
    <row r="299" customHeight="1" spans="1:24">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row>
    <row r="300" customHeight="1" spans="1:24">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row>
    <row r="301" customHeight="1" spans="1:24">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row>
    <row r="302" customHeight="1" spans="1:24">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row>
    <row r="303" customHeight="1" spans="1:24">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row>
    <row r="304" customHeight="1" spans="1:24">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row>
    <row r="305" customHeight="1" spans="1:24">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row>
    <row r="306" customHeight="1" spans="1:24">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row>
    <row r="307" customHeight="1" spans="1:24">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row>
    <row r="308" customHeight="1" spans="1:24">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row>
    <row r="309" customHeight="1" spans="1:24">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row>
    <row r="310" customHeight="1" spans="1:24">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row>
    <row r="311" customHeight="1" spans="1:24">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row>
    <row r="312" customHeight="1" spans="1:24">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row>
    <row r="313" customHeight="1" spans="1:24">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row>
    <row r="314" customHeight="1" spans="1:24">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row>
    <row r="315" customHeight="1" spans="1:24">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row>
    <row r="316" customHeight="1" spans="1:24">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row>
    <row r="317" customHeight="1" spans="1:24">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row>
    <row r="318" customHeight="1" spans="1:24">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row>
    <row r="319" customHeight="1" spans="1:24">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row>
    <row r="320" customHeight="1" spans="1:24">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row>
    <row r="321" customHeight="1" spans="1:24">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row>
    <row r="322" customHeight="1" spans="1:24">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row>
    <row r="323" customHeight="1" spans="1:24">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row>
    <row r="324" customHeight="1" spans="1:24">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row>
    <row r="325" customHeight="1" spans="1:24">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row>
    <row r="326" customHeight="1" spans="1:24">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row>
    <row r="327" customHeight="1" spans="1:24">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row>
    <row r="328" customHeight="1" spans="1:24">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row>
    <row r="329" customHeight="1" spans="1:24">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row>
    <row r="330" customHeight="1" spans="1:24">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row>
    <row r="331" customHeight="1" spans="1:24">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row>
    <row r="332" customHeight="1" spans="1:24">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row>
    <row r="333" customHeight="1" spans="1:24">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row>
    <row r="334" customHeight="1" spans="1:24">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row>
    <row r="335" customHeight="1" spans="1:24">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row>
    <row r="336" customHeight="1" spans="1:24">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row>
    <row r="337" customHeight="1" spans="1:24">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row>
    <row r="338" customHeight="1" spans="1:24">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row>
    <row r="339" customHeight="1" spans="1:24">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row>
    <row r="340" customHeight="1" spans="1:24">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row>
    <row r="341" customHeight="1" spans="1:24">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row>
    <row r="342" customHeight="1" spans="1:24">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row>
    <row r="343" customHeight="1" spans="1:24">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row>
    <row r="344" customHeight="1" spans="1:24">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row>
    <row r="345" customHeight="1" spans="1:24">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row>
    <row r="346" customHeight="1" spans="1:24">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row>
    <row r="347" customHeight="1" spans="1:24">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row>
    <row r="348" customHeight="1" spans="1:24">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row>
    <row r="349" customHeight="1" spans="1:24">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row>
    <row r="350" customHeight="1" spans="1:24">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row>
    <row r="351" customHeight="1" spans="1:24">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row>
    <row r="352" customHeight="1" spans="1:24">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row>
    <row r="353" customHeight="1" spans="1:24">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row>
    <row r="354" customHeight="1" spans="1:24">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row>
    <row r="355" customHeight="1" spans="1:24">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row>
    <row r="356" customHeight="1" spans="1:24">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row>
    <row r="357" customHeight="1" spans="1:24">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row>
    <row r="358" customHeight="1" spans="1:24">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row>
    <row r="359" customHeight="1" spans="1:24">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row>
    <row r="360" customHeight="1" spans="1:24">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row>
    <row r="361" customHeight="1" spans="1:24">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row>
    <row r="362" customHeight="1" spans="1:24">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row>
    <row r="363" customHeight="1" spans="1:24">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row>
    <row r="364" customHeight="1" spans="1:24">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row>
    <row r="365" customHeight="1" spans="1:24">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row>
    <row r="366" customHeight="1" spans="1:24">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row>
    <row r="367" customHeight="1" spans="1:24">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row>
    <row r="368" customHeight="1" spans="1:24">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row>
    <row r="369" customHeight="1" spans="1:24">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row>
    <row r="370" customHeight="1" spans="1:24">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row>
    <row r="371" customHeight="1" spans="1:24">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row>
    <row r="372" customHeight="1" spans="1:24">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row>
    <row r="373" customHeight="1" spans="1:24">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row>
    <row r="374" customHeight="1" spans="1:24">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row>
    <row r="375" customHeight="1" spans="1:24">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row>
    <row r="376" customHeight="1" spans="1:24">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row>
    <row r="377" customHeight="1" spans="1:24">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row>
    <row r="378" customHeight="1" spans="1:24">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row>
    <row r="379" customHeight="1" spans="1:24">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row>
    <row r="380" customHeight="1" spans="1:24">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row>
    <row r="381" customHeight="1" spans="1:24">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row>
    <row r="382" customHeight="1" spans="1:24">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row>
    <row r="383" customHeight="1" spans="1:24">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row>
    <row r="384" customHeight="1" spans="1:24">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row>
    <row r="385" customHeight="1" spans="1:24">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row>
    <row r="386" customHeight="1" spans="1:24">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row>
    <row r="387" customHeight="1" spans="1:24">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row>
    <row r="388" customHeight="1" spans="1:24">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row>
    <row r="389" customHeight="1" spans="1:24">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row>
    <row r="390" customHeight="1" spans="1:24">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row>
    <row r="391" customHeight="1" spans="1:24">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row>
    <row r="392" customHeight="1" spans="1:24">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row>
    <row r="393" customHeight="1" spans="1:24">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row>
    <row r="394" customHeight="1" spans="1:24">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row>
    <row r="395" customHeight="1" spans="1:24">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row>
    <row r="396" customHeight="1" spans="1:24">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row>
    <row r="397" customHeight="1" spans="1:24">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row>
    <row r="398" customHeight="1" spans="1:24">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row>
    <row r="399" customHeight="1" spans="1:24">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row>
    <row r="400" customHeight="1" spans="1:24">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row>
    <row r="401" customHeight="1" spans="1:24">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row>
    <row r="402" customHeight="1" spans="1:24">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row>
    <row r="403" customHeight="1" spans="1:24">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row>
    <row r="404" customHeight="1" spans="1:24">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row>
    <row r="405" customHeight="1" spans="1:24">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row>
    <row r="406" customHeight="1" spans="1:24">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row>
    <row r="407" customHeight="1" spans="1:24">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row>
    <row r="408" customHeight="1" spans="1:24">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row>
    <row r="409" customHeight="1" spans="1:24">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row>
    <row r="410" customHeight="1" spans="1:24">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row>
    <row r="411" customHeight="1" spans="1:24">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row>
    <row r="412" customHeight="1" spans="1:24">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row>
    <row r="413" customHeight="1" spans="1:24">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row>
    <row r="414" customHeight="1" spans="1:24">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row>
    <row r="415" customHeight="1" spans="1:24">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row>
    <row r="416" customHeight="1" spans="1:24">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row>
    <row r="417" customHeight="1" spans="1:24">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row>
    <row r="418" customHeight="1" spans="1:24">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row>
    <row r="419" customHeight="1" spans="1:24">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row>
    <row r="420" customHeight="1" spans="1:24">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row>
    <row r="421" customHeight="1" spans="1:24">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row>
    <row r="422" customHeight="1" spans="1:24">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row>
    <row r="423" customHeight="1" spans="1:24">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row>
    <row r="424" customHeight="1" spans="1:24">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row>
    <row r="425" customHeight="1" spans="1:24">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row>
    <row r="426" customHeight="1" spans="1:24">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row>
    <row r="427" customHeight="1" spans="1:24">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row>
    <row r="428" customHeight="1" spans="1:24">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row>
    <row r="429" customHeight="1" spans="1:24">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row>
    <row r="430" customHeight="1" spans="1:24">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row>
    <row r="431" customHeight="1" spans="1:24">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row>
    <row r="432" customHeight="1" spans="1:24">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row>
    <row r="433" customHeight="1" spans="1:24">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row>
    <row r="434" customHeight="1" spans="1:24">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row>
    <row r="435" customHeight="1" spans="1:24">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row>
    <row r="436" customHeight="1" spans="1:24">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row>
    <row r="437" customHeight="1" spans="1:24">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row>
    <row r="438" customHeight="1" spans="1:24">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row>
    <row r="439" customHeight="1" spans="1:24">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row>
    <row r="440" customHeight="1" spans="1:24">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row>
    <row r="441" customHeight="1" spans="1:24">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row>
    <row r="442" customHeight="1" spans="1:24">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row>
    <row r="443" customHeight="1" spans="1:24">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row>
    <row r="444" customHeight="1" spans="1:24">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row>
    <row r="445" customHeight="1" spans="1:24">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row>
    <row r="446" customHeight="1" spans="1:24">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row>
    <row r="447" customHeight="1" spans="1:24">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row>
    <row r="448" customHeight="1" spans="1:24">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row>
    <row r="449" customHeight="1" spans="1:24">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row>
    <row r="450" customHeight="1" spans="1:24">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row>
    <row r="451" customHeight="1" spans="1:24">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row>
    <row r="452" customHeight="1" spans="1:24">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row>
    <row r="453" customHeight="1" spans="1:24">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row>
    <row r="454" customHeight="1" spans="1:24">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row>
    <row r="455" customHeight="1" spans="1:24">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row>
    <row r="456" customHeight="1" spans="1:24">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row>
    <row r="457" customHeight="1" spans="1:24">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row>
    <row r="458" customHeight="1" spans="1:24">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row>
    <row r="459" customHeight="1" spans="1:24">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row>
    <row r="460" customHeight="1" spans="1:24">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row>
    <row r="461" customHeight="1" spans="1:24">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row>
    <row r="462" customHeight="1" spans="1:24">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row>
    <row r="463" customHeight="1" spans="1:24">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row>
    <row r="464" customHeight="1" spans="1:24">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row>
    <row r="465" customHeight="1" spans="1:24">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row>
    <row r="466" customHeight="1" spans="1:24">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row>
    <row r="467" customHeight="1" spans="1:24">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row>
    <row r="468" customHeight="1" spans="1:24">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row>
    <row r="469" customHeight="1" spans="1:24">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row>
    <row r="470" customHeight="1" spans="1:24">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row>
    <row r="471" customHeight="1" spans="1:24">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row>
    <row r="472" customHeight="1" spans="1:24">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row>
    <row r="473" customHeight="1" spans="1:24">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row>
    <row r="474" customHeight="1" spans="1:24">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row>
    <row r="475" customHeight="1" spans="1:24">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row>
    <row r="476" customHeight="1" spans="1:24">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row>
    <row r="477" customHeight="1" spans="1:24">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row>
    <row r="478" customHeight="1" spans="1:24">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row>
    <row r="479" customHeight="1" spans="1:24">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row>
    <row r="480" customHeight="1" spans="1:24">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row>
    <row r="481" customHeight="1" spans="1:24">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row>
    <row r="482" customHeight="1" spans="1:24">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row>
    <row r="483" customHeight="1" spans="1:24">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row>
    <row r="484" customHeight="1" spans="1:24">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row>
    <row r="485" customHeight="1" spans="1:24">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row>
    <row r="486" customHeight="1" spans="1:24">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row>
    <row r="487" customHeight="1" spans="1:24">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row>
    <row r="488" customHeight="1" spans="1:24">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row>
    <row r="489" customHeight="1" spans="1:24">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row>
    <row r="490" customHeight="1" spans="1:24">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row>
    <row r="491" customHeight="1" spans="1:24">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row>
    <row r="492" customHeight="1" spans="1:24">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row>
    <row r="493" customHeight="1" spans="1:24">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row>
    <row r="494" customHeight="1" spans="1:24">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row>
    <row r="495" customHeight="1" spans="1:24">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row>
    <row r="496" customHeight="1" spans="1:24">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row>
    <row r="497" customHeight="1" spans="1:24">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row>
    <row r="498" customHeight="1" spans="1:24">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row>
    <row r="499" customHeight="1" spans="1:24">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row>
    <row r="500" customHeight="1" spans="1:24">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row>
    <row r="501" customHeight="1" spans="1:24">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row>
    <row r="502" customHeight="1" spans="1:24">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row>
    <row r="503" customHeight="1" spans="1:24">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row>
    <row r="504" customHeight="1" spans="1:24">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row>
    <row r="505" customHeight="1" spans="1:24">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row>
    <row r="506" customHeight="1" spans="1:24">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row>
    <row r="507" customHeight="1" spans="1:24">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row>
    <row r="508" customHeight="1" spans="1:24">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row>
    <row r="509" customHeight="1" spans="1:24">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row>
    <row r="510" customHeight="1" spans="1:24">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row>
    <row r="511" customHeight="1" spans="1:24">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row>
    <row r="512" customHeight="1" spans="1:24">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row>
    <row r="513" customHeight="1" spans="1:24">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row>
    <row r="514" customHeight="1" spans="1:24">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row>
    <row r="515" customHeight="1" spans="1:24">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row>
    <row r="516" customHeight="1" spans="1:24">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row>
    <row r="517" customHeight="1" spans="1:24">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row>
    <row r="518" customHeight="1" spans="1:24">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row>
    <row r="519" customHeight="1" spans="1:24">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row>
    <row r="520" customHeight="1" spans="1:24">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row>
    <row r="521" customHeight="1" spans="1:24">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row>
    <row r="522" customHeight="1" spans="1:24">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row>
    <row r="523" customHeight="1" spans="1:24">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row>
    <row r="524" customHeight="1" spans="1:24">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row>
    <row r="525" customHeight="1" spans="1:24">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row>
    <row r="526" customHeight="1" spans="1:24">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row>
    <row r="527" customHeight="1" spans="1:24">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row>
    <row r="528" customHeight="1" spans="1:24">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row>
    <row r="529" customHeight="1" spans="1:24">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row>
    <row r="530" customHeight="1" spans="1:24">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row>
    <row r="531" customHeight="1" spans="1:24">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row>
    <row r="532" customHeight="1" spans="1:24">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row>
    <row r="533" customHeight="1" spans="1:24">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row>
    <row r="534" customHeight="1" spans="1:24">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row>
    <row r="535" customHeight="1" spans="1:24">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row>
    <row r="536" customHeight="1" spans="1:24">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row>
    <row r="537" customHeight="1" spans="1:24">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row>
    <row r="538" customHeight="1" spans="1:24">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row>
    <row r="539" customHeight="1" spans="1:24">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row>
    <row r="540" customHeight="1" spans="1:24">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row>
    <row r="541" customHeight="1" spans="1:24">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row>
    <row r="542" customHeight="1" spans="1:24">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row>
    <row r="543" customHeight="1" spans="1:24">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row>
    <row r="544" customHeight="1" spans="1:24">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row>
    <row r="545" customHeight="1" spans="1:24">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row>
    <row r="546" customHeight="1" spans="1:24">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row>
    <row r="547" customHeight="1" spans="1:24">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row>
    <row r="548" customHeight="1" spans="1:24">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row>
    <row r="549" customHeight="1" spans="1:24">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row>
    <row r="550" customHeight="1" spans="1:24">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row>
    <row r="551" customHeight="1" spans="1:24">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row>
    <row r="552" customHeight="1" spans="1:24">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row>
    <row r="553" customHeight="1" spans="1:24">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row>
    <row r="554" customHeight="1" spans="1:24">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row>
    <row r="555" customHeight="1" spans="1:24">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row>
    <row r="556" customHeight="1" spans="1:24">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row>
    <row r="557" customHeight="1" spans="1:24">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row>
    <row r="558" customHeight="1" spans="1:24">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row>
    <row r="559" customHeight="1" spans="1:24">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row>
    <row r="560" customHeight="1" spans="1:24">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row>
    <row r="561" customHeight="1" spans="1:24">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row>
    <row r="562" customHeight="1" spans="1:24">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row>
    <row r="563" customHeight="1" spans="1:24">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row>
    <row r="564" customHeight="1" spans="1:24">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row>
    <row r="565" customHeight="1" spans="1:24">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row>
    <row r="566" customHeight="1" spans="1:24">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row>
    <row r="567" customHeight="1" spans="1:24">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row>
    <row r="568" customHeight="1" spans="1:24">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row>
    <row r="569" customHeight="1" spans="1:24">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row>
    <row r="570" customHeight="1" spans="1:24">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row>
    <row r="571" customHeight="1" spans="1:24">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row>
    <row r="572" customHeight="1" spans="1:24">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row>
    <row r="573" customHeight="1" spans="1:24">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row>
    <row r="574" customHeight="1" spans="1:24">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row>
    <row r="575" customHeight="1" spans="1:24">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row>
    <row r="576" customHeight="1" spans="1:24">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row>
    <row r="577" customHeight="1" spans="1:24">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row>
    <row r="578" customHeight="1" spans="1:24">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row>
    <row r="579" customHeight="1" spans="1:24">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row>
    <row r="580" customHeight="1" spans="1:24">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row>
    <row r="581" customHeight="1" spans="1:24">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row>
    <row r="582" customHeight="1" spans="1:24">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row>
    <row r="583" customHeight="1" spans="1:24">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row>
    <row r="584" customHeight="1" spans="1:24">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row>
    <row r="585" customHeight="1" spans="1:24">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row>
    <row r="586" customHeight="1" spans="1:24">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row>
    <row r="587" customHeight="1" spans="1:24">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row>
    <row r="588" customHeight="1" spans="1:24">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row>
    <row r="589" customHeight="1" spans="1:24">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row>
    <row r="590" customHeight="1" spans="1:24">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row>
    <row r="591" customHeight="1" spans="1:24">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row>
    <row r="592" customHeight="1" spans="1:24">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row>
    <row r="593" customHeight="1" spans="1:24">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row>
    <row r="594" customHeight="1" spans="1:24">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row>
    <row r="595" customHeight="1" spans="1:24">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row>
    <row r="596" customHeight="1" spans="1:24">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row>
    <row r="597" customHeight="1" spans="1:24">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row>
    <row r="598" customHeight="1" spans="1:24">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row>
    <row r="599" customHeight="1" spans="1:24">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row>
    <row r="600" customHeight="1" spans="1:24">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row>
    <row r="601" customHeight="1" spans="1:24">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row>
    <row r="602" customHeight="1" spans="1:24">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row>
    <row r="603" customHeight="1" spans="1:24">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row>
    <row r="604" customHeight="1" spans="1:24">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row>
    <row r="605" customHeight="1" spans="1:24">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row>
    <row r="606" customHeight="1" spans="1:24">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row>
    <row r="607" customHeight="1" spans="1:24">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row>
    <row r="608" customHeight="1" spans="1:24">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row>
    <row r="609" customHeight="1" spans="1:24">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row>
    <row r="610" customHeight="1" spans="1:24">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row>
    <row r="611" customHeight="1" spans="1:24">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row>
    <row r="612" customHeight="1" spans="1:24">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row>
    <row r="613" customHeight="1" spans="1:24">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row>
    <row r="614" customHeight="1" spans="1:24">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row>
    <row r="615" customHeight="1" spans="1:24">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row>
    <row r="616" customHeight="1" spans="1:24">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row>
    <row r="617" customHeight="1" spans="1:24">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row>
    <row r="618" customHeight="1" spans="1:24">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row>
    <row r="619" customHeight="1" spans="1:24">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row>
    <row r="620" customHeight="1" spans="1:24">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row>
    <row r="621" customHeight="1" spans="1:24">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row>
    <row r="622" customHeight="1" spans="1:24">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row>
    <row r="623" customHeight="1" spans="1:24">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row>
    <row r="624" customHeight="1" spans="1:24">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row>
    <row r="625" customHeight="1" spans="1:24">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row>
    <row r="626" customHeight="1" spans="1:24">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row>
    <row r="627" customHeight="1" spans="1:24">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row>
    <row r="628" customHeight="1" spans="1:24">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row>
    <row r="629" customHeight="1" spans="1:24">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row>
    <row r="630" customHeight="1" spans="1:24">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row>
    <row r="631" customHeight="1" spans="1:24">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row>
    <row r="632" customHeight="1" spans="1:24">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row>
    <row r="633" customHeight="1" spans="1:24">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row>
    <row r="634" customHeight="1" spans="1:24">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row>
    <row r="635" customHeight="1" spans="1:24">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row>
    <row r="636" customHeight="1" spans="1:24">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row>
    <row r="637" customHeight="1" spans="1:24">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row>
    <row r="638" customHeight="1" spans="1:24">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row>
    <row r="639" customHeight="1" spans="1:24">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row>
    <row r="640" customHeight="1" spans="1:24">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row>
    <row r="641" customHeight="1" spans="1:24">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row>
    <row r="642" customHeight="1" spans="1:24">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row>
    <row r="643" customHeight="1" spans="1:24">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row>
    <row r="644" customHeight="1" spans="1:24">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row>
    <row r="645" customHeight="1" spans="1:24">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row>
    <row r="646" customHeight="1" spans="1:24">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row>
    <row r="647" customHeight="1" spans="1:24">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row>
    <row r="648" customHeight="1" spans="1:24">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row>
    <row r="649" customHeight="1" spans="1:24">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row>
    <row r="650" customHeight="1" spans="1:24">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row>
    <row r="651" customHeight="1" spans="1:24">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row>
    <row r="652" customHeight="1" spans="1:24">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row>
    <row r="653" customHeight="1" spans="1:24">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row>
    <row r="654" customHeight="1" spans="1:24">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row>
    <row r="655" customHeight="1" spans="1:24">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row>
    <row r="656" customHeight="1" spans="1:24">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row>
    <row r="657" customHeight="1" spans="1:24">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row>
    <row r="658" customHeight="1" spans="1:24">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row>
    <row r="659" customHeight="1" spans="1:24">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row>
    <row r="660" customHeight="1" spans="1:24">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row>
    <row r="661" customHeight="1" spans="1:24">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row>
    <row r="662" customHeight="1" spans="1:24">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row>
    <row r="663" customHeight="1" spans="1:24">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row>
    <row r="664" customHeight="1" spans="1:24">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row>
    <row r="665" customHeight="1" spans="1:24">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row>
    <row r="666" customHeight="1" spans="1:24">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row>
    <row r="667" customHeight="1" spans="1:24">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row>
    <row r="668" customHeight="1" spans="1:24">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row>
    <row r="669" customHeight="1" spans="1:24">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row>
    <row r="670" customHeight="1" spans="1:24">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row>
    <row r="671" customHeight="1" spans="1:24">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row>
    <row r="672" customHeight="1" spans="1:24">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row>
    <row r="673" customHeight="1" spans="1:24">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row>
    <row r="674" customHeight="1" spans="1:24">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row>
    <row r="675" customHeight="1" spans="1:24">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row>
    <row r="676" customHeight="1" spans="1:24">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row>
    <row r="677" customHeight="1" spans="1:24">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row>
    <row r="678" customHeight="1" spans="1:24">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row>
    <row r="679" customHeight="1" spans="1:24">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row>
    <row r="680" customHeight="1" spans="1:24">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row>
    <row r="681" customHeight="1" spans="1:24">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row>
    <row r="682" customHeight="1" spans="1:24">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row>
    <row r="683" customHeight="1" spans="1:24">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row>
    <row r="684" customHeight="1" spans="1:24">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row>
    <row r="685" customHeight="1" spans="1:24">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row>
    <row r="686" customHeight="1" spans="1:24">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row>
    <row r="687" customHeight="1" spans="1:24">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row>
    <row r="688" customHeight="1" spans="1:24">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row>
    <row r="689" customHeight="1" spans="1:24">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row>
    <row r="690" customHeight="1" spans="1:24">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row>
    <row r="691" customHeight="1" spans="1:24">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row>
    <row r="692" customHeight="1" spans="1:24">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row>
    <row r="693" customHeight="1" spans="1:24">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row>
    <row r="694" customHeight="1" spans="1:24">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row>
    <row r="695" customHeight="1" spans="1:24">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row>
    <row r="696" customHeight="1" spans="1:24">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row>
    <row r="697" customHeight="1" spans="1:24">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row>
    <row r="698" customHeight="1" spans="1:24">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row>
    <row r="699" customHeight="1" spans="1:24">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row>
    <row r="700" customHeight="1" spans="1:24">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row>
    <row r="701" customHeight="1" spans="1:24">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row>
    <row r="702" customHeight="1" spans="1:24">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row>
    <row r="703" customHeight="1" spans="1:24">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row>
    <row r="704" customHeight="1" spans="1:24">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row>
    <row r="705" customHeight="1" spans="1:24">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row>
    <row r="706" customHeight="1" spans="1:24">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row>
    <row r="707" customHeight="1" spans="1:24">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row>
    <row r="708" customHeight="1" spans="1:24">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row>
    <row r="709" customHeight="1" spans="1:24">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row>
    <row r="710" customHeight="1" spans="1:24">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row>
    <row r="711" customHeight="1" spans="1:24">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row>
    <row r="712" customHeight="1" spans="1:24">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row>
    <row r="713" customHeight="1" spans="1:24">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row>
    <row r="714" customHeight="1" spans="1:24">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row>
    <row r="715" customHeight="1" spans="1:24">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row>
    <row r="716" customHeight="1" spans="1:24">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row>
    <row r="717" customHeight="1" spans="1:24">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row>
    <row r="718" customHeight="1" spans="1:24">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row>
    <row r="719" customHeight="1" spans="1:24">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row>
    <row r="720" customHeight="1" spans="1:24">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row>
    <row r="721" customHeight="1" spans="1:24">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row>
    <row r="722" customHeight="1" spans="1:24">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row>
    <row r="723" customHeight="1" spans="1:24">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row>
    <row r="724" customHeight="1" spans="1:24">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row>
    <row r="725" customHeight="1" spans="1:24">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row>
    <row r="726" customHeight="1" spans="1:24">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row>
    <row r="727" customHeight="1" spans="1:24">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row>
    <row r="728" customHeight="1" spans="1:24">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row>
    <row r="729" customHeight="1" spans="1:24">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row>
    <row r="730" customHeight="1" spans="1:24">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row>
    <row r="731" customHeight="1" spans="1:24">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row>
    <row r="732" customHeight="1" spans="1:24">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row>
    <row r="733" customHeight="1" spans="1:24">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row>
    <row r="734" customHeight="1" spans="1:24">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row>
    <row r="735" customHeight="1" spans="1:24">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row>
    <row r="736" customHeight="1" spans="1:24">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row>
    <row r="737" customHeight="1" spans="1:24">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row>
    <row r="738" customHeight="1" spans="1:24">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row>
    <row r="739" customHeight="1" spans="1:24">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row>
    <row r="740" customHeight="1" spans="1:24">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row>
    <row r="741" customHeight="1" spans="1:24">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row>
    <row r="742" customHeight="1" spans="1:24">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row>
    <row r="743" customHeight="1" spans="1:24">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row>
    <row r="744" customHeight="1" spans="1:24">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row>
    <row r="745" customHeight="1" spans="1:24">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row>
    <row r="746" customHeight="1" spans="1:24">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row>
    <row r="747" customHeight="1" spans="1:24">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row>
    <row r="748" customHeight="1" spans="1:24">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row>
    <row r="749" customHeight="1" spans="1:24">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row>
    <row r="750" customHeight="1" spans="1:24">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row>
    <row r="751" customHeight="1" spans="1:24">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row>
    <row r="752" customHeight="1" spans="1:24">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row>
    <row r="753" customHeight="1" spans="1:24">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row>
    <row r="754" customHeight="1" spans="1:24">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row>
    <row r="755" customHeight="1" spans="1:24">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row>
    <row r="756" customHeight="1" spans="1:24">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row>
    <row r="757" customHeight="1" spans="1:24">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row>
    <row r="758" customHeight="1" spans="1:24">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row>
    <row r="759" customHeight="1" spans="1:24">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row>
    <row r="760" customHeight="1" spans="1:24">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row>
    <row r="761" customHeight="1" spans="1:24">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row>
    <row r="762" customHeight="1" spans="1:24">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row>
    <row r="763" customHeight="1" spans="1:24">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row>
    <row r="764" customHeight="1" spans="1:24">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row>
    <row r="765" customHeight="1" spans="1:24">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row>
    <row r="766" customHeight="1" spans="1:24">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row>
    <row r="767" customHeight="1" spans="1:24">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row>
    <row r="768" customHeight="1" spans="1:24">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row>
    <row r="769" customHeight="1" spans="1:24">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row>
    <row r="770" customHeight="1" spans="1:24">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row>
    <row r="771" customHeight="1" spans="1:24">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row>
    <row r="772" customHeight="1" spans="1:24">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row>
    <row r="773" customHeight="1" spans="1:24">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row>
    <row r="774" customHeight="1" spans="1:24">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row>
    <row r="775" customHeight="1" spans="1:24">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row>
    <row r="776" customHeight="1" spans="1:24">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row>
    <row r="777" customHeight="1" spans="1:24">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row>
    <row r="778" customHeight="1" spans="1:24">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row>
    <row r="779" customHeight="1" spans="1:24">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row>
    <row r="780" customHeight="1" spans="1:24">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row>
    <row r="781" customHeight="1" spans="1:24">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row>
    <row r="782" customHeight="1" spans="1:24">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row>
    <row r="783" customHeight="1" spans="1:24">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row>
    <row r="784" customHeight="1" spans="1:24">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row>
    <row r="785" customHeight="1" spans="1:24">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row>
    <row r="786" customHeight="1" spans="1:24">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row>
    <row r="787" customHeight="1" spans="1:24">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row>
    <row r="788" customHeight="1" spans="1:24">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row>
    <row r="789" customHeight="1" spans="1:24">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row>
    <row r="790" customHeight="1" spans="1:24">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row>
    <row r="791" customHeight="1" spans="1:24">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row>
    <row r="792" customHeight="1" spans="1:24">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row>
    <row r="793" customHeight="1" spans="1:24">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row>
    <row r="794" customHeight="1" spans="1:24">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row>
    <row r="795" customHeight="1" spans="1:24">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row>
    <row r="796" customHeight="1" spans="1:24">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row>
    <row r="797" customHeight="1" spans="1:24">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row>
    <row r="798" customHeight="1" spans="1:24">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row>
    <row r="799" customHeight="1" spans="1:24">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row>
    <row r="800" customHeight="1" spans="1:24">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row>
    <row r="801" customHeight="1" spans="1:24">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row>
    <row r="802" customHeight="1" spans="1:24">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row>
    <row r="803" customHeight="1" spans="1:24">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row>
    <row r="804" customHeight="1" spans="1:24">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row>
    <row r="805" customHeight="1" spans="1:24">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row>
    <row r="806" customHeight="1" spans="1:24">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row>
    <row r="807" customHeight="1" spans="1:24">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row>
    <row r="808" customHeight="1" spans="1:24">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row>
    <row r="809" customHeight="1" spans="1:24">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row>
    <row r="810" customHeight="1" spans="1:24">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row>
    <row r="811" customHeight="1" spans="1:24">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row>
    <row r="812" customHeight="1" spans="1:24">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row>
    <row r="813" customHeight="1" spans="1:24">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row>
    <row r="814" customHeight="1" spans="1:24">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row>
    <row r="815" customHeight="1" spans="1:24">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row>
    <row r="816" customHeight="1" spans="1:24">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row>
    <row r="817" customHeight="1" spans="1:24">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row>
    <row r="818" customHeight="1" spans="1:24">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row>
    <row r="819" customHeight="1" spans="1:24">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row>
    <row r="820" customHeight="1" spans="1:24">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row>
    <row r="821" customHeight="1" spans="1:24">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row>
    <row r="822" customHeight="1" spans="1:24">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row>
    <row r="823" customHeight="1" spans="1:24">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row>
    <row r="824" customHeight="1" spans="1:24">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row>
    <row r="825" customHeight="1" spans="1:24">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row>
    <row r="826" customHeight="1" spans="1:24">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row>
    <row r="827" customHeight="1" spans="1:24">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row>
    <row r="828" customHeight="1" spans="1:24">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row>
    <row r="829" customHeight="1" spans="1:24">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row>
    <row r="830" customHeight="1" spans="1:24">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row>
    <row r="831" customHeight="1" spans="1:24">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row>
    <row r="832" customHeight="1" spans="1:24">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row>
    <row r="833" customHeight="1" spans="1:24">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row>
    <row r="834" customHeight="1" spans="1:24">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row>
    <row r="835" customHeight="1" spans="1:24">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row>
    <row r="836" customHeight="1" spans="1:24">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row>
    <row r="837" customHeight="1" spans="1:24">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row>
    <row r="838" customHeight="1" spans="1:24">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row>
    <row r="839" customHeight="1" spans="1:24">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row>
    <row r="840" customHeight="1" spans="1:24">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row>
    <row r="841" customHeight="1" spans="1:24">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row>
    <row r="842" customHeight="1" spans="1:24">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row>
    <row r="843" customHeight="1" spans="1:24">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row>
    <row r="844" customHeight="1" spans="1:24">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row>
    <row r="845" customHeight="1" spans="1:24">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row>
    <row r="846" customHeight="1" spans="1:24">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row>
    <row r="847" customHeight="1" spans="1:24">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row>
    <row r="848" customHeight="1" spans="1:24">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row>
    <row r="849" customHeight="1" spans="1:24">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row>
    <row r="850" customHeight="1" spans="1:24">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row>
    <row r="851" customHeight="1" spans="1:24">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row>
    <row r="852" customHeight="1" spans="1:24">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row>
    <row r="853" customHeight="1" spans="1:24">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row>
    <row r="854" customHeight="1" spans="1:24">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row>
    <row r="855" customHeight="1" spans="1:24">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row>
    <row r="856" customHeight="1" spans="1:24">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row>
    <row r="857" customHeight="1" spans="1:24">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row>
    <row r="858" customHeight="1" spans="1:24">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row>
    <row r="859" customHeight="1" spans="1:24">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row>
    <row r="860" customHeight="1" spans="1:24">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row>
    <row r="861" customHeight="1" spans="1:24">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row>
    <row r="862" customHeight="1" spans="1:24">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row>
    <row r="863" customHeight="1" spans="1:24">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row>
    <row r="864" customHeight="1" spans="1:24">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row>
    <row r="865" customHeight="1" spans="1:24">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row>
    <row r="866" customHeight="1" spans="1:24">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row>
    <row r="867" customHeight="1" spans="1:24">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row>
    <row r="868" customHeight="1" spans="1:24">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row>
    <row r="869" customHeight="1" spans="1:24">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row>
    <row r="870" customHeight="1" spans="1:24">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row>
    <row r="871" customHeight="1" spans="1:24">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row>
    <row r="872" customHeight="1" spans="1:24">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row>
    <row r="873" customHeight="1" spans="1:24">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row>
    <row r="874" customHeight="1" spans="1:24">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row>
    <row r="875" customHeight="1" spans="1:24">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row>
    <row r="876" customHeight="1" spans="1:24">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row>
    <row r="877" customHeight="1" spans="1:24">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row>
    <row r="878" customHeight="1" spans="1:24">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row>
    <row r="879" customHeight="1" spans="1:24">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row>
    <row r="880" customHeight="1" spans="1:24">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row>
    <row r="881" customHeight="1" spans="1:24">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row>
    <row r="882" customHeight="1" spans="1:24">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row>
    <row r="883" customHeight="1" spans="1:24">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row>
    <row r="884" customHeight="1" spans="1:24">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row>
    <row r="885" customHeight="1" spans="1:24">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row>
    <row r="886" customHeight="1" spans="1:24">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row>
    <row r="887" customHeight="1" spans="1:24">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row>
    <row r="888" customHeight="1" spans="1:24">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row>
    <row r="889" customHeight="1" spans="1:24">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row>
    <row r="890" customHeight="1" spans="1:24">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row>
    <row r="891" customHeight="1" spans="1:24">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row>
    <row r="892" customHeight="1" spans="1:24">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row>
    <row r="893" customHeight="1" spans="1:24">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row>
    <row r="894" customHeight="1" spans="1:24">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row>
    <row r="895" customHeight="1" spans="1:24">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row>
    <row r="896" customHeight="1" spans="1:24">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row>
    <row r="897" customHeight="1" spans="1:24">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row>
    <row r="898" customHeight="1" spans="1:24">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row>
    <row r="899" customHeight="1" spans="1:24">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row>
    <row r="900" customHeight="1" spans="1:24">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row>
    <row r="901" customHeight="1" spans="1:24">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row>
    <row r="902" customHeight="1" spans="1:24">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row>
    <row r="903" customHeight="1" spans="1:24">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row>
    <row r="904" customHeight="1" spans="1:24">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row>
    <row r="905" customHeight="1" spans="1:24">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row>
    <row r="906" customHeight="1" spans="1:24">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row>
    <row r="907" customHeight="1" spans="1:24">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row>
    <row r="908" customHeight="1" spans="1:24">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row>
    <row r="909" customHeight="1" spans="1:24">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row>
    <row r="910" customHeight="1" spans="1:24">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row>
    <row r="911" customHeight="1" spans="1:24">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row>
    <row r="912" customHeight="1" spans="1:24">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row>
    <row r="913" customHeight="1" spans="1:24">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row>
    <row r="914" customHeight="1" spans="1:24">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row>
    <row r="915" customHeight="1" spans="1:24">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row>
    <row r="916" customHeight="1" spans="1:24">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row>
    <row r="917" customHeight="1" spans="1:24">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row>
    <row r="918" customHeight="1" spans="1:24">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row>
    <row r="919" customHeight="1" spans="1:24">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row>
    <row r="920" customHeight="1" spans="1:24">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row>
    <row r="921" customHeight="1" spans="1:24">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row>
    <row r="922" customHeight="1" spans="1:24">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row>
    <row r="923" customHeight="1" spans="1:24">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row>
    <row r="924" customHeight="1" spans="1:24">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row>
    <row r="925" customHeight="1" spans="1:24">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row>
    <row r="926" customHeight="1" spans="1:24">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row>
    <row r="927" customHeight="1" spans="1:24">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row>
    <row r="928" customHeight="1" spans="1:24">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row>
    <row r="929" customHeight="1" spans="1:24">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row>
    <row r="930" customHeight="1" spans="1:24">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row>
    <row r="931" customHeight="1" spans="1:24">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row>
    <row r="932" customHeight="1" spans="1:24">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row>
    <row r="933" customHeight="1" spans="1:24">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row>
    <row r="934" customHeight="1" spans="1:24">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row>
    <row r="935" customHeight="1" spans="1:24">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row>
    <row r="936" customHeight="1" spans="1:24">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row>
    <row r="937" customHeight="1" spans="1:24">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row>
    <row r="938" customHeight="1" spans="1:24">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row>
    <row r="939" customHeight="1" spans="1:24">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row>
    <row r="940" customHeight="1" spans="1:24">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row>
    <row r="941" customHeight="1" spans="1:24">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row>
    <row r="942" customHeight="1" spans="1:24">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row>
    <row r="943" customHeight="1" spans="1:24">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row>
    <row r="944" customHeight="1" spans="1:24">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row>
    <row r="945" customHeight="1" spans="1:24">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row>
    <row r="946" customHeight="1" spans="1:24">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row>
    <row r="947" customHeight="1" spans="1:24">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row>
    <row r="948" customHeight="1" spans="1:24">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row>
    <row r="949" customHeight="1" spans="1:24">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row>
    <row r="950" customHeight="1" spans="1:24">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row>
    <row r="951" customHeight="1" spans="1:24">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row>
    <row r="952" customHeight="1" spans="1:24">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row>
    <row r="953" customHeight="1" spans="1:24">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row>
    <row r="954" customHeight="1" spans="1:24">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row>
    <row r="955" customHeight="1" spans="1:24">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row>
    <row r="956" customHeight="1" spans="1:24">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row>
    <row r="957" customHeight="1" spans="1:24">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row>
    <row r="958" customHeight="1" spans="1:24">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row>
    <row r="959" customHeight="1" spans="1:24">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row>
    <row r="960" customHeight="1" spans="1:24">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row>
    <row r="961" customHeight="1" spans="1:24">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row>
    <row r="962" customHeight="1" spans="1:24">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row>
    <row r="963" customHeight="1" spans="1:24">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row>
    <row r="964" customHeight="1" spans="1:24">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row>
    <row r="965" customHeight="1" spans="1:24">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row>
    <row r="966" customHeight="1" spans="1:24">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row>
    <row r="967" customHeight="1" spans="1:24">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row>
    <row r="968" customHeight="1" spans="1:24">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row>
    <row r="969" customHeight="1" spans="1:24">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row>
    <row r="970" customHeight="1" spans="1:24">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row>
    <row r="971" customHeight="1" spans="1:24">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row>
    <row r="972" customHeight="1" spans="1:24">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row>
    <row r="973" customHeight="1" spans="1:24">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row>
    <row r="974" customHeight="1" spans="1:24">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row>
    <row r="975" customHeight="1" spans="1:24">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row>
    <row r="976" customHeight="1" spans="1:24">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row>
    <row r="977" customHeight="1" spans="1:24">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row>
    <row r="978" customHeight="1" spans="1:24">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row>
    <row r="979" customHeight="1" spans="1:24">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row>
    <row r="980" customHeight="1" spans="1:24">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row>
    <row r="981" customHeight="1" spans="1:24">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row>
    <row r="982" customHeight="1" spans="1:24">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row>
    <row r="983" customHeight="1" spans="1:24">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row>
    <row r="984" customHeight="1" spans="1:24">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row>
    <row r="985" customHeight="1" spans="1:24">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row>
    <row r="986" customHeight="1" spans="1:24">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row>
    <row r="987" customHeight="1" spans="1:24">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row>
    <row r="988" customHeight="1" spans="1:24">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row>
    <row r="989" customHeight="1" spans="1:24">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row>
    <row r="990" customHeight="1" spans="1:24">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row>
    <row r="991" customHeight="1" spans="1:24">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row>
    <row r="992" customHeight="1" spans="1:24">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row>
    <row r="993" customHeight="1" spans="1:24">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row>
    <row r="994" customHeight="1" spans="1:24">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row>
    <row r="995" customHeight="1" spans="1:24">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row>
    <row r="996" customHeight="1" spans="1:24">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row>
    <row r="997" customHeight="1" spans="1:24">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row>
    <row r="998" customHeight="1" spans="1:24">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row>
    <row r="999" customHeight="1" spans="1:24">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row>
    <row r="1000" customHeight="1" spans="1:24">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row>
  </sheetData>
  <autoFilter ref="A1:X52">
    <sortState ref="A1:X52">
      <sortCondition ref="A1:A52"/>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545"/>
  <sheetViews>
    <sheetView workbookViewId="0">
      <pane ySplit="1" topLeftCell="A2" activePane="bottomLeft" state="frozen"/>
      <selection/>
      <selection pane="bottomLeft" activeCell="B3" sqref="B3"/>
    </sheetView>
  </sheetViews>
  <sheetFormatPr defaultColWidth="12.6296296296296" defaultRowHeight="15.75" customHeight="1"/>
  <cols>
    <col min="3" max="3" width="62.6296296296296" customWidth="1"/>
  </cols>
  <sheetData>
    <row r="1" ht="13.2" spans="1:25">
      <c r="A1" s="40" t="s">
        <v>370</v>
      </c>
      <c r="B1" s="40" t="s">
        <v>0</v>
      </c>
      <c r="C1" s="40" t="s">
        <v>2</v>
      </c>
      <c r="D1" s="41"/>
      <c r="E1" s="41"/>
      <c r="F1" s="41"/>
      <c r="G1" s="41"/>
      <c r="H1" s="41"/>
      <c r="I1" s="41"/>
      <c r="J1" s="41"/>
      <c r="K1" s="41"/>
      <c r="L1" s="41"/>
      <c r="M1" s="41"/>
      <c r="N1" s="41"/>
      <c r="O1" s="41"/>
      <c r="P1" s="41"/>
      <c r="Q1" s="41"/>
      <c r="R1" s="41"/>
      <c r="S1" s="41"/>
      <c r="T1" s="41"/>
      <c r="U1" s="41"/>
      <c r="V1" s="41"/>
      <c r="W1" s="41"/>
      <c r="X1" s="41"/>
      <c r="Y1" s="41"/>
    </row>
    <row r="2" ht="13.2" spans="1:25">
      <c r="A2" s="42">
        <v>1</v>
      </c>
      <c r="B2" s="43" t="s">
        <v>8</v>
      </c>
      <c r="C2" s="43"/>
      <c r="D2" s="43"/>
      <c r="E2" s="43"/>
      <c r="F2" s="43"/>
      <c r="G2" s="43"/>
      <c r="H2" s="43"/>
      <c r="I2" s="43"/>
      <c r="J2" s="43"/>
      <c r="K2" s="43"/>
      <c r="L2" s="43"/>
      <c r="M2" s="43"/>
      <c r="N2" s="43"/>
      <c r="O2" s="43"/>
      <c r="P2" s="43"/>
      <c r="Q2" s="43"/>
      <c r="R2" s="43"/>
      <c r="S2" s="43"/>
      <c r="T2" s="43"/>
      <c r="U2" s="43"/>
      <c r="V2" s="43"/>
      <c r="W2" s="43"/>
      <c r="X2" s="43"/>
      <c r="Y2" s="43"/>
    </row>
    <row r="3" ht="13.2" spans="1:25">
      <c r="A3" s="42">
        <v>2</v>
      </c>
      <c r="B3" s="43" t="s">
        <v>371</v>
      </c>
      <c r="C3" s="43"/>
      <c r="D3" s="43"/>
      <c r="E3" s="43"/>
      <c r="F3" s="43"/>
      <c r="G3" s="43"/>
      <c r="H3" s="43"/>
      <c r="I3" s="43"/>
      <c r="J3" s="43"/>
      <c r="K3" s="43"/>
      <c r="L3" s="43"/>
      <c r="M3" s="43"/>
      <c r="N3" s="43"/>
      <c r="O3" s="43"/>
      <c r="P3" s="43"/>
      <c r="Q3" s="43"/>
      <c r="R3" s="43"/>
      <c r="S3" s="43"/>
      <c r="T3" s="43"/>
      <c r="U3" s="43"/>
      <c r="V3" s="43"/>
      <c r="W3" s="43"/>
      <c r="X3" s="43"/>
      <c r="Y3" s="43"/>
    </row>
    <row r="4" ht="13.2" spans="1:25">
      <c r="A4" s="42">
        <v>3</v>
      </c>
      <c r="B4" s="43" t="s">
        <v>372</v>
      </c>
      <c r="C4" s="43"/>
      <c r="D4" s="43"/>
      <c r="E4" s="43"/>
      <c r="F4" s="43"/>
      <c r="G4" s="43"/>
      <c r="H4" s="43"/>
      <c r="I4" s="43"/>
      <c r="J4" s="43"/>
      <c r="K4" s="43"/>
      <c r="L4" s="43"/>
      <c r="M4" s="43"/>
      <c r="N4" s="43"/>
      <c r="O4" s="43"/>
      <c r="P4" s="43"/>
      <c r="Q4" s="43"/>
      <c r="R4" s="43"/>
      <c r="S4" s="43"/>
      <c r="T4" s="43"/>
      <c r="U4" s="43"/>
      <c r="V4" s="43"/>
      <c r="W4" s="43"/>
      <c r="X4" s="43"/>
      <c r="Y4" s="43"/>
    </row>
    <row r="5" ht="13.2" spans="1:25">
      <c r="A5" s="42">
        <v>4</v>
      </c>
      <c r="B5" s="43" t="s">
        <v>373</v>
      </c>
      <c r="C5" s="43"/>
      <c r="D5" s="43"/>
      <c r="E5" s="43"/>
      <c r="F5" s="43"/>
      <c r="G5" s="43"/>
      <c r="H5" s="43"/>
      <c r="I5" s="43"/>
      <c r="J5" s="43"/>
      <c r="K5" s="43"/>
      <c r="L5" s="43"/>
      <c r="M5" s="43"/>
      <c r="N5" s="43"/>
      <c r="O5" s="43"/>
      <c r="P5" s="43"/>
      <c r="Q5" s="43"/>
      <c r="R5" s="43"/>
      <c r="S5" s="43"/>
      <c r="T5" s="43"/>
      <c r="U5" s="43"/>
      <c r="V5" s="43"/>
      <c r="W5" s="43"/>
      <c r="X5" s="43"/>
      <c r="Y5" s="43"/>
    </row>
    <row r="6" ht="13.2" spans="1:25">
      <c r="A6" s="42">
        <v>5</v>
      </c>
      <c r="B6" s="43" t="s">
        <v>374</v>
      </c>
      <c r="C6" s="43"/>
      <c r="D6" s="43"/>
      <c r="E6" s="43"/>
      <c r="F6" s="43"/>
      <c r="G6" s="43"/>
      <c r="H6" s="43"/>
      <c r="I6" s="43"/>
      <c r="J6" s="43"/>
      <c r="K6" s="43"/>
      <c r="L6" s="43"/>
      <c r="M6" s="43"/>
      <c r="N6" s="43"/>
      <c r="O6" s="43"/>
      <c r="P6" s="43"/>
      <c r="Q6" s="43"/>
      <c r="R6" s="43"/>
      <c r="S6" s="43"/>
      <c r="T6" s="43"/>
      <c r="U6" s="43"/>
      <c r="V6" s="43"/>
      <c r="W6" s="43"/>
      <c r="X6" s="43"/>
      <c r="Y6" s="43"/>
    </row>
    <row r="7" ht="13.2" spans="1:25">
      <c r="A7" s="42">
        <v>6</v>
      </c>
      <c r="B7" s="43" t="s">
        <v>375</v>
      </c>
      <c r="C7" s="43"/>
      <c r="D7" s="43"/>
      <c r="E7" s="43"/>
      <c r="F7" s="43"/>
      <c r="G7" s="43"/>
      <c r="H7" s="43"/>
      <c r="I7" s="43"/>
      <c r="J7" s="43"/>
      <c r="K7" s="43"/>
      <c r="L7" s="43"/>
      <c r="M7" s="43"/>
      <c r="N7" s="43"/>
      <c r="O7" s="43"/>
      <c r="P7" s="43"/>
      <c r="Q7" s="43"/>
      <c r="R7" s="43"/>
      <c r="S7" s="43"/>
      <c r="T7" s="43"/>
      <c r="U7" s="43"/>
      <c r="V7" s="43"/>
      <c r="W7" s="43"/>
      <c r="X7" s="43"/>
      <c r="Y7" s="43"/>
    </row>
    <row r="8" ht="13.2" spans="1:25">
      <c r="A8" s="42">
        <v>7</v>
      </c>
      <c r="B8" s="43" t="s">
        <v>376</v>
      </c>
      <c r="C8" s="43"/>
      <c r="D8" s="43"/>
      <c r="E8" s="43"/>
      <c r="F8" s="43"/>
      <c r="G8" s="43"/>
      <c r="H8" s="43"/>
      <c r="I8" s="43"/>
      <c r="J8" s="43"/>
      <c r="K8" s="43"/>
      <c r="L8" s="43"/>
      <c r="M8" s="43"/>
      <c r="N8" s="43"/>
      <c r="O8" s="43"/>
      <c r="P8" s="43"/>
      <c r="Q8" s="43"/>
      <c r="R8" s="43"/>
      <c r="S8" s="43"/>
      <c r="T8" s="43"/>
      <c r="U8" s="43"/>
      <c r="V8" s="43"/>
      <c r="W8" s="43"/>
      <c r="X8" s="43"/>
      <c r="Y8" s="43"/>
    </row>
    <row r="9" ht="13.2" spans="1:25">
      <c r="A9" s="42">
        <v>8</v>
      </c>
      <c r="B9" s="43" t="s">
        <v>377</v>
      </c>
      <c r="C9" s="43"/>
      <c r="D9" s="43"/>
      <c r="E9" s="43"/>
      <c r="F9" s="43"/>
      <c r="G9" s="43"/>
      <c r="H9" s="43"/>
      <c r="I9" s="43"/>
      <c r="J9" s="43"/>
      <c r="K9" s="43"/>
      <c r="L9" s="43"/>
      <c r="M9" s="43"/>
      <c r="N9" s="43"/>
      <c r="O9" s="43"/>
      <c r="P9" s="43"/>
      <c r="Q9" s="43"/>
      <c r="R9" s="43"/>
      <c r="S9" s="43"/>
      <c r="T9" s="43"/>
      <c r="U9" s="43"/>
      <c r="V9" s="43"/>
      <c r="W9" s="43"/>
      <c r="X9" s="43"/>
      <c r="Y9" s="43"/>
    </row>
    <row r="10" ht="13.2" spans="1:25">
      <c r="A10" s="42"/>
      <c r="B10" s="43" t="s">
        <v>378</v>
      </c>
      <c r="C10" s="43"/>
      <c r="D10" s="43"/>
      <c r="E10" s="43"/>
      <c r="F10" s="43"/>
      <c r="G10" s="43"/>
      <c r="H10" s="43"/>
      <c r="I10" s="43"/>
      <c r="J10" s="43"/>
      <c r="K10" s="43"/>
      <c r="L10" s="43"/>
      <c r="M10" s="43"/>
      <c r="N10" s="43"/>
      <c r="O10" s="43"/>
      <c r="P10" s="43"/>
      <c r="Q10" s="43"/>
      <c r="R10" s="43"/>
      <c r="S10" s="43"/>
      <c r="T10" s="43"/>
      <c r="U10" s="43"/>
      <c r="V10" s="43"/>
      <c r="W10" s="43"/>
      <c r="X10" s="43"/>
      <c r="Y10" s="43"/>
    </row>
    <row r="11" ht="13.2" spans="1:25">
      <c r="A11" s="42">
        <v>10</v>
      </c>
      <c r="B11" s="43" t="s">
        <v>379</v>
      </c>
      <c r="C11" s="43"/>
      <c r="D11" s="43"/>
      <c r="E11" s="43"/>
      <c r="F11" s="43"/>
      <c r="G11" s="43"/>
      <c r="H11" s="43"/>
      <c r="I11" s="43"/>
      <c r="J11" s="43"/>
      <c r="K11" s="43"/>
      <c r="L11" s="43"/>
      <c r="M11" s="43"/>
      <c r="N11" s="43"/>
      <c r="O11" s="43"/>
      <c r="P11" s="43"/>
      <c r="Q11" s="43"/>
      <c r="R11" s="43"/>
      <c r="S11" s="43"/>
      <c r="T11" s="43"/>
      <c r="U11" s="43"/>
      <c r="V11" s="43"/>
      <c r="W11" s="43"/>
      <c r="X11" s="43"/>
      <c r="Y11" s="43"/>
    </row>
    <row r="12" ht="13.2" spans="1:25">
      <c r="A12" s="42">
        <v>11</v>
      </c>
      <c r="B12" s="43" t="s">
        <v>16</v>
      </c>
      <c r="C12" s="43"/>
      <c r="D12" s="43"/>
      <c r="E12" s="43"/>
      <c r="F12" s="43"/>
      <c r="G12" s="43"/>
      <c r="H12" s="43"/>
      <c r="I12" s="43"/>
      <c r="J12" s="43"/>
      <c r="K12" s="43"/>
      <c r="L12" s="43"/>
      <c r="M12" s="43"/>
      <c r="N12" s="43"/>
      <c r="O12" s="43"/>
      <c r="P12" s="43"/>
      <c r="Q12" s="43"/>
      <c r="R12" s="43"/>
      <c r="S12" s="43"/>
      <c r="T12" s="43"/>
      <c r="U12" s="43"/>
      <c r="V12" s="43"/>
      <c r="W12" s="43"/>
      <c r="X12" s="43"/>
      <c r="Y12" s="43"/>
    </row>
    <row r="13" ht="13.2" spans="1:25">
      <c r="A13" s="42">
        <v>12</v>
      </c>
      <c r="B13" s="43" t="s">
        <v>24</v>
      </c>
      <c r="C13" s="43"/>
      <c r="D13" s="43"/>
      <c r="E13" s="43"/>
      <c r="F13" s="43"/>
      <c r="G13" s="43"/>
      <c r="H13" s="43"/>
      <c r="I13" s="43"/>
      <c r="J13" s="43"/>
      <c r="K13" s="43"/>
      <c r="L13" s="43"/>
      <c r="M13" s="43"/>
      <c r="N13" s="43"/>
      <c r="O13" s="43"/>
      <c r="P13" s="43"/>
      <c r="Q13" s="43"/>
      <c r="R13" s="43"/>
      <c r="S13" s="43"/>
      <c r="T13" s="43"/>
      <c r="U13" s="43"/>
      <c r="V13" s="43"/>
      <c r="W13" s="43"/>
      <c r="X13" s="43"/>
      <c r="Y13" s="43"/>
    </row>
    <row r="14" ht="13.2" spans="1:25">
      <c r="A14" s="42">
        <v>13</v>
      </c>
      <c r="B14" s="43" t="s">
        <v>32</v>
      </c>
      <c r="C14" s="43"/>
      <c r="D14" s="43"/>
      <c r="E14" s="43"/>
      <c r="F14" s="43"/>
      <c r="G14" s="43"/>
      <c r="H14" s="43"/>
      <c r="I14" s="43"/>
      <c r="J14" s="43"/>
      <c r="K14" s="43"/>
      <c r="L14" s="43"/>
      <c r="M14" s="43"/>
      <c r="N14" s="43"/>
      <c r="O14" s="43"/>
      <c r="P14" s="43"/>
      <c r="Q14" s="43"/>
      <c r="R14" s="43"/>
      <c r="S14" s="43"/>
      <c r="T14" s="43"/>
      <c r="U14" s="43"/>
      <c r="V14" s="43"/>
      <c r="W14" s="43"/>
      <c r="X14" s="43"/>
      <c r="Y14" s="43"/>
    </row>
    <row r="15" ht="13.2" spans="1:25">
      <c r="A15" s="42">
        <v>14</v>
      </c>
      <c r="B15" s="43" t="s">
        <v>380</v>
      </c>
      <c r="C15" s="43"/>
      <c r="D15" s="43"/>
      <c r="E15" s="43"/>
      <c r="F15" s="43"/>
      <c r="G15" s="43"/>
      <c r="H15" s="43"/>
      <c r="I15" s="43"/>
      <c r="J15" s="43"/>
      <c r="K15" s="43"/>
      <c r="L15" s="43"/>
      <c r="M15" s="43"/>
      <c r="N15" s="43"/>
      <c r="O15" s="43"/>
      <c r="P15" s="43"/>
      <c r="Q15" s="43"/>
      <c r="R15" s="43"/>
      <c r="S15" s="43"/>
      <c r="T15" s="43"/>
      <c r="U15" s="43"/>
      <c r="V15" s="43"/>
      <c r="W15" s="43"/>
      <c r="X15" s="43"/>
      <c r="Y15" s="43"/>
    </row>
    <row r="16" ht="13.2" spans="1:25">
      <c r="A16" s="42">
        <v>15</v>
      </c>
      <c r="B16" s="43" t="s">
        <v>381</v>
      </c>
      <c r="C16" s="43"/>
      <c r="D16" s="43"/>
      <c r="E16" s="43"/>
      <c r="F16" s="43"/>
      <c r="G16" s="43"/>
      <c r="H16" s="43"/>
      <c r="I16" s="43"/>
      <c r="J16" s="43"/>
      <c r="K16" s="43"/>
      <c r="L16" s="43"/>
      <c r="M16" s="43"/>
      <c r="N16" s="43"/>
      <c r="O16" s="43"/>
      <c r="P16" s="43"/>
      <c r="Q16" s="43"/>
      <c r="R16" s="43"/>
      <c r="S16" s="43"/>
      <c r="T16" s="43"/>
      <c r="U16" s="43"/>
      <c r="V16" s="43"/>
      <c r="W16" s="43"/>
      <c r="X16" s="43"/>
      <c r="Y16" s="43"/>
    </row>
    <row r="17" ht="13.2" spans="1:25">
      <c r="A17" s="42">
        <v>16</v>
      </c>
      <c r="B17" s="43" t="s">
        <v>382</v>
      </c>
      <c r="C17" s="43"/>
      <c r="D17" s="43"/>
      <c r="E17" s="43"/>
      <c r="F17" s="43"/>
      <c r="G17" s="43"/>
      <c r="H17" s="43"/>
      <c r="I17" s="43"/>
      <c r="J17" s="43"/>
      <c r="K17" s="43"/>
      <c r="L17" s="43"/>
      <c r="M17" s="43"/>
      <c r="N17" s="43"/>
      <c r="O17" s="43"/>
      <c r="P17" s="43"/>
      <c r="Q17" s="43"/>
      <c r="R17" s="43"/>
      <c r="S17" s="43"/>
      <c r="T17" s="43"/>
      <c r="U17" s="43"/>
      <c r="V17" s="43"/>
      <c r="W17" s="43"/>
      <c r="X17" s="43"/>
      <c r="Y17" s="43"/>
    </row>
    <row r="18" ht="13.2" spans="1:25">
      <c r="A18" s="42">
        <v>17</v>
      </c>
      <c r="B18" s="43" t="s">
        <v>383</v>
      </c>
      <c r="C18" s="43"/>
      <c r="D18" s="43"/>
      <c r="E18" s="43"/>
      <c r="F18" s="43"/>
      <c r="G18" s="43"/>
      <c r="H18" s="43"/>
      <c r="I18" s="43"/>
      <c r="J18" s="43"/>
      <c r="K18" s="43"/>
      <c r="L18" s="43"/>
      <c r="M18" s="43"/>
      <c r="N18" s="43"/>
      <c r="O18" s="43"/>
      <c r="P18" s="43"/>
      <c r="Q18" s="43"/>
      <c r="R18" s="43"/>
      <c r="S18" s="43"/>
      <c r="T18" s="43"/>
      <c r="U18" s="43"/>
      <c r="V18" s="43"/>
      <c r="W18" s="43"/>
      <c r="X18" s="43"/>
      <c r="Y18" s="43"/>
    </row>
    <row r="19" ht="13.2" spans="1:25">
      <c r="A19" s="42">
        <v>18</v>
      </c>
      <c r="B19" s="43" t="s">
        <v>384</v>
      </c>
      <c r="C19" s="43"/>
      <c r="D19" s="43"/>
      <c r="E19" s="43"/>
      <c r="F19" s="43"/>
      <c r="G19" s="43"/>
      <c r="H19" s="43"/>
      <c r="I19" s="43"/>
      <c r="J19" s="43"/>
      <c r="K19" s="43"/>
      <c r="L19" s="43"/>
      <c r="M19" s="43"/>
      <c r="N19" s="43"/>
      <c r="O19" s="43"/>
      <c r="P19" s="43"/>
      <c r="Q19" s="43"/>
      <c r="R19" s="43"/>
      <c r="S19" s="43"/>
      <c r="T19" s="43"/>
      <c r="U19" s="43"/>
      <c r="V19" s="43"/>
      <c r="W19" s="43"/>
      <c r="X19" s="43"/>
      <c r="Y19" s="43"/>
    </row>
    <row r="20" ht="13.2" spans="1:25">
      <c r="A20" s="42">
        <v>19</v>
      </c>
      <c r="B20" s="43" t="s">
        <v>39</v>
      </c>
      <c r="C20" s="43"/>
      <c r="D20" s="43"/>
      <c r="E20" s="43"/>
      <c r="F20" s="43"/>
      <c r="G20" s="43"/>
      <c r="H20" s="43"/>
      <c r="I20" s="43"/>
      <c r="J20" s="43"/>
      <c r="K20" s="43"/>
      <c r="L20" s="43"/>
      <c r="M20" s="43"/>
      <c r="N20" s="43"/>
      <c r="O20" s="43"/>
      <c r="P20" s="43"/>
      <c r="Q20" s="43"/>
      <c r="R20" s="43"/>
      <c r="S20" s="43"/>
      <c r="T20" s="43"/>
      <c r="U20" s="43"/>
      <c r="V20" s="43"/>
      <c r="W20" s="43"/>
      <c r="X20" s="43"/>
      <c r="Y20" s="43"/>
    </row>
    <row r="21" ht="13.2" spans="1:25">
      <c r="A21" s="42">
        <v>20</v>
      </c>
      <c r="B21" s="43" t="s">
        <v>46</v>
      </c>
      <c r="C21" s="43"/>
      <c r="D21" s="43"/>
      <c r="E21" s="43"/>
      <c r="F21" s="43"/>
      <c r="G21" s="43"/>
      <c r="H21" s="43"/>
      <c r="I21" s="43"/>
      <c r="J21" s="43"/>
      <c r="K21" s="43"/>
      <c r="L21" s="43"/>
      <c r="M21" s="43"/>
      <c r="N21" s="43"/>
      <c r="O21" s="43"/>
      <c r="P21" s="43"/>
      <c r="Q21" s="43"/>
      <c r="R21" s="43"/>
      <c r="S21" s="43"/>
      <c r="T21" s="43"/>
      <c r="U21" s="43"/>
      <c r="V21" s="43"/>
      <c r="W21" s="43"/>
      <c r="X21" s="43"/>
      <c r="Y21" s="43"/>
    </row>
    <row r="22" ht="13.2" spans="1:25">
      <c r="A22" s="42">
        <v>21</v>
      </c>
      <c r="B22" s="43" t="s">
        <v>385</v>
      </c>
      <c r="C22" s="43"/>
      <c r="D22" s="43"/>
      <c r="E22" s="43"/>
      <c r="F22" s="43"/>
      <c r="G22" s="43"/>
      <c r="H22" s="43"/>
      <c r="I22" s="43"/>
      <c r="J22" s="43"/>
      <c r="K22" s="43"/>
      <c r="L22" s="43"/>
      <c r="M22" s="43"/>
      <c r="N22" s="43"/>
      <c r="O22" s="43"/>
      <c r="P22" s="43"/>
      <c r="Q22" s="43"/>
      <c r="R22" s="43"/>
      <c r="S22" s="43"/>
      <c r="T22" s="43"/>
      <c r="U22" s="43"/>
      <c r="V22" s="43"/>
      <c r="W22" s="43"/>
      <c r="X22" s="43"/>
      <c r="Y22" s="43"/>
    </row>
    <row r="23" ht="13.2" spans="1:25">
      <c r="A23" s="42">
        <v>22</v>
      </c>
      <c r="B23" s="43" t="s">
        <v>386</v>
      </c>
      <c r="C23" s="43"/>
      <c r="D23" s="43"/>
      <c r="E23" s="43"/>
      <c r="F23" s="43"/>
      <c r="G23" s="43"/>
      <c r="H23" s="43"/>
      <c r="I23" s="43"/>
      <c r="J23" s="43"/>
      <c r="K23" s="43"/>
      <c r="L23" s="43"/>
      <c r="M23" s="43"/>
      <c r="N23" s="43"/>
      <c r="O23" s="43"/>
      <c r="P23" s="43"/>
      <c r="Q23" s="43"/>
      <c r="R23" s="43"/>
      <c r="S23" s="43"/>
      <c r="T23" s="43"/>
      <c r="U23" s="43"/>
      <c r="V23" s="43"/>
      <c r="W23" s="43"/>
      <c r="X23" s="43"/>
      <c r="Y23" s="43"/>
    </row>
    <row r="24" ht="13.2" spans="1:25">
      <c r="A24" s="42">
        <v>23</v>
      </c>
      <c r="B24" s="43" t="s">
        <v>387</v>
      </c>
      <c r="C24" s="43"/>
      <c r="D24" s="43"/>
      <c r="E24" s="43"/>
      <c r="F24" s="43"/>
      <c r="G24" s="43"/>
      <c r="H24" s="43"/>
      <c r="I24" s="43"/>
      <c r="J24" s="43"/>
      <c r="K24" s="43"/>
      <c r="L24" s="43"/>
      <c r="M24" s="43"/>
      <c r="N24" s="43"/>
      <c r="O24" s="43"/>
      <c r="P24" s="43"/>
      <c r="Q24" s="43"/>
      <c r="R24" s="43"/>
      <c r="S24" s="43"/>
      <c r="T24" s="43"/>
      <c r="U24" s="43"/>
      <c r="V24" s="43"/>
      <c r="W24" s="43"/>
      <c r="X24" s="43"/>
      <c r="Y24" s="43"/>
    </row>
    <row r="25" ht="13.2" spans="1:25">
      <c r="A25" s="42">
        <v>24</v>
      </c>
      <c r="B25" s="43" t="s">
        <v>298</v>
      </c>
      <c r="C25" s="43"/>
      <c r="D25" s="43"/>
      <c r="E25" s="43"/>
      <c r="F25" s="43"/>
      <c r="G25" s="43"/>
      <c r="H25" s="43"/>
      <c r="I25" s="43"/>
      <c r="J25" s="43"/>
      <c r="K25" s="43"/>
      <c r="L25" s="43"/>
      <c r="M25" s="43"/>
      <c r="N25" s="43"/>
      <c r="O25" s="43"/>
      <c r="P25" s="43"/>
      <c r="Q25" s="43"/>
      <c r="R25" s="43"/>
      <c r="S25" s="43"/>
      <c r="T25" s="43"/>
      <c r="U25" s="43"/>
      <c r="V25" s="43"/>
      <c r="W25" s="43"/>
      <c r="X25" s="43"/>
      <c r="Y25" s="43"/>
    </row>
    <row r="26" ht="13.2" spans="1:25">
      <c r="A26" s="42">
        <v>25</v>
      </c>
      <c r="B26" s="43" t="s">
        <v>306</v>
      </c>
      <c r="C26" s="43"/>
      <c r="D26" s="43"/>
      <c r="E26" s="43"/>
      <c r="F26" s="43"/>
      <c r="G26" s="43"/>
      <c r="H26" s="43"/>
      <c r="I26" s="43"/>
      <c r="J26" s="43"/>
      <c r="K26" s="43"/>
      <c r="L26" s="43"/>
      <c r="M26" s="43"/>
      <c r="N26" s="43"/>
      <c r="O26" s="43"/>
      <c r="P26" s="43"/>
      <c r="Q26" s="43"/>
      <c r="R26" s="43"/>
      <c r="S26" s="43"/>
      <c r="T26" s="43"/>
      <c r="U26" s="43"/>
      <c r="V26" s="43"/>
      <c r="W26" s="43"/>
      <c r="X26" s="43"/>
      <c r="Y26" s="43"/>
    </row>
    <row r="27" ht="13.2" spans="1:25">
      <c r="A27" s="42">
        <v>26</v>
      </c>
      <c r="B27" s="43" t="s">
        <v>388</v>
      </c>
      <c r="C27" s="43"/>
      <c r="D27" s="43"/>
      <c r="E27" s="43"/>
      <c r="F27" s="43"/>
      <c r="G27" s="43"/>
      <c r="H27" s="43"/>
      <c r="I27" s="43"/>
      <c r="J27" s="43"/>
      <c r="K27" s="43"/>
      <c r="L27" s="43"/>
      <c r="M27" s="43"/>
      <c r="N27" s="43"/>
      <c r="O27" s="43"/>
      <c r="P27" s="43"/>
      <c r="Q27" s="43"/>
      <c r="R27" s="43"/>
      <c r="S27" s="43"/>
      <c r="T27" s="43"/>
      <c r="U27" s="43"/>
      <c r="V27" s="43"/>
      <c r="W27" s="43"/>
      <c r="X27" s="43"/>
      <c r="Y27" s="43"/>
    </row>
    <row r="28" ht="13.2" spans="1:25">
      <c r="A28" s="42">
        <v>27</v>
      </c>
      <c r="B28" s="43" t="s">
        <v>389</v>
      </c>
      <c r="C28" s="43"/>
      <c r="D28" s="43"/>
      <c r="E28" s="43"/>
      <c r="F28" s="43"/>
      <c r="G28" s="43"/>
      <c r="H28" s="43"/>
      <c r="I28" s="43"/>
      <c r="J28" s="43"/>
      <c r="K28" s="43"/>
      <c r="L28" s="43"/>
      <c r="M28" s="43"/>
      <c r="N28" s="43"/>
      <c r="O28" s="43"/>
      <c r="P28" s="43"/>
      <c r="Q28" s="43"/>
      <c r="R28" s="43"/>
      <c r="S28" s="43"/>
      <c r="T28" s="43"/>
      <c r="U28" s="43"/>
      <c r="V28" s="43"/>
      <c r="W28" s="43"/>
      <c r="X28" s="43"/>
      <c r="Y28" s="43"/>
    </row>
    <row r="29" ht="13.2" spans="1:25">
      <c r="A29" s="42">
        <v>28</v>
      </c>
      <c r="B29" s="43" t="s">
        <v>313</v>
      </c>
      <c r="C29" s="43"/>
      <c r="D29" s="43"/>
      <c r="E29" s="43"/>
      <c r="F29" s="43"/>
      <c r="G29" s="43"/>
      <c r="H29" s="43"/>
      <c r="I29" s="43"/>
      <c r="J29" s="43"/>
      <c r="K29" s="43"/>
      <c r="L29" s="43"/>
      <c r="M29" s="43"/>
      <c r="N29" s="43"/>
      <c r="O29" s="43"/>
      <c r="P29" s="43"/>
      <c r="Q29" s="43"/>
      <c r="R29" s="43"/>
      <c r="S29" s="43"/>
      <c r="T29" s="43"/>
      <c r="U29" s="43"/>
      <c r="V29" s="43"/>
      <c r="W29" s="43"/>
      <c r="X29" s="43"/>
      <c r="Y29" s="43"/>
    </row>
    <row r="30" ht="13.2" spans="1:25">
      <c r="A30" s="42">
        <v>29</v>
      </c>
      <c r="B30" s="43" t="s">
        <v>390</v>
      </c>
      <c r="C30" s="43"/>
      <c r="D30" s="43"/>
      <c r="E30" s="43"/>
      <c r="F30" s="43"/>
      <c r="G30" s="43"/>
      <c r="H30" s="43"/>
      <c r="I30" s="43"/>
      <c r="J30" s="43"/>
      <c r="K30" s="43"/>
      <c r="L30" s="43"/>
      <c r="M30" s="43"/>
      <c r="N30" s="43"/>
      <c r="O30" s="43"/>
      <c r="P30" s="43"/>
      <c r="Q30" s="43"/>
      <c r="R30" s="43"/>
      <c r="S30" s="43"/>
      <c r="T30" s="43"/>
      <c r="U30" s="43"/>
      <c r="V30" s="43"/>
      <c r="W30" s="43"/>
      <c r="X30" s="43"/>
      <c r="Y30" s="43"/>
    </row>
    <row r="31" ht="13.2" spans="1:25">
      <c r="A31" s="42">
        <v>30</v>
      </c>
      <c r="B31" s="43" t="s">
        <v>320</v>
      </c>
      <c r="C31" s="43"/>
      <c r="D31" s="43"/>
      <c r="E31" s="43"/>
      <c r="F31" s="43"/>
      <c r="G31" s="43"/>
      <c r="H31" s="43"/>
      <c r="I31" s="43"/>
      <c r="J31" s="43"/>
      <c r="K31" s="43"/>
      <c r="L31" s="43"/>
      <c r="M31" s="43"/>
      <c r="N31" s="43"/>
      <c r="O31" s="43"/>
      <c r="P31" s="43"/>
      <c r="Q31" s="43"/>
      <c r="R31" s="43"/>
      <c r="S31" s="43"/>
      <c r="T31" s="43"/>
      <c r="U31" s="43"/>
      <c r="V31" s="43"/>
      <c r="W31" s="43"/>
      <c r="X31" s="43"/>
      <c r="Y31" s="43"/>
    </row>
    <row r="32" ht="13.2" spans="1:25">
      <c r="A32" s="42">
        <v>31</v>
      </c>
      <c r="B32" s="43" t="s">
        <v>327</v>
      </c>
      <c r="C32" s="43"/>
      <c r="D32" s="43"/>
      <c r="E32" s="43"/>
      <c r="F32" s="43"/>
      <c r="G32" s="43"/>
      <c r="H32" s="43"/>
      <c r="I32" s="43"/>
      <c r="J32" s="43"/>
      <c r="K32" s="43"/>
      <c r="L32" s="43"/>
      <c r="M32" s="43"/>
      <c r="N32" s="43"/>
      <c r="O32" s="43"/>
      <c r="P32" s="43"/>
      <c r="Q32" s="43"/>
      <c r="R32" s="43"/>
      <c r="S32" s="43"/>
      <c r="T32" s="43"/>
      <c r="U32" s="43"/>
      <c r="V32" s="43"/>
      <c r="W32" s="43"/>
      <c r="X32" s="43"/>
      <c r="Y32" s="43"/>
    </row>
    <row r="33" ht="13.2" spans="1:25">
      <c r="A33" s="42">
        <v>32</v>
      </c>
      <c r="B33" s="43" t="s">
        <v>334</v>
      </c>
      <c r="C33" s="43"/>
      <c r="D33" s="43"/>
      <c r="E33" s="43"/>
      <c r="F33" s="43"/>
      <c r="G33" s="43"/>
      <c r="H33" s="43"/>
      <c r="I33" s="43"/>
      <c r="J33" s="43"/>
      <c r="K33" s="43"/>
      <c r="L33" s="43"/>
      <c r="M33" s="43"/>
      <c r="N33" s="43"/>
      <c r="O33" s="43"/>
      <c r="P33" s="43"/>
      <c r="Q33" s="43"/>
      <c r="R33" s="43"/>
      <c r="S33" s="43"/>
      <c r="T33" s="43"/>
      <c r="U33" s="43"/>
      <c r="V33" s="43"/>
      <c r="W33" s="43"/>
      <c r="X33" s="43"/>
      <c r="Y33" s="43"/>
    </row>
    <row r="34" ht="13.2" spans="1:25">
      <c r="A34" s="42">
        <v>33</v>
      </c>
      <c r="B34" s="43" t="s">
        <v>391</v>
      </c>
      <c r="C34" s="43"/>
      <c r="D34" s="43"/>
      <c r="E34" s="43"/>
      <c r="F34" s="43"/>
      <c r="G34" s="43"/>
      <c r="H34" s="43"/>
      <c r="I34" s="43"/>
      <c r="J34" s="43"/>
      <c r="K34" s="43"/>
      <c r="L34" s="43"/>
      <c r="M34" s="43"/>
      <c r="N34" s="43"/>
      <c r="O34" s="43"/>
      <c r="P34" s="43"/>
      <c r="Q34" s="43"/>
      <c r="R34" s="43"/>
      <c r="S34" s="43"/>
      <c r="T34" s="43"/>
      <c r="U34" s="43"/>
      <c r="V34" s="43"/>
      <c r="W34" s="43"/>
      <c r="X34" s="43"/>
      <c r="Y34" s="43"/>
    </row>
    <row r="35" ht="13.2" spans="1:25">
      <c r="A35" s="42">
        <v>34</v>
      </c>
      <c r="B35" s="43" t="s">
        <v>392</v>
      </c>
      <c r="C35" s="43"/>
      <c r="D35" s="43"/>
      <c r="E35" s="43"/>
      <c r="F35" s="43"/>
      <c r="G35" s="43"/>
      <c r="H35" s="43"/>
      <c r="I35" s="43"/>
      <c r="J35" s="43"/>
      <c r="K35" s="43"/>
      <c r="L35" s="43"/>
      <c r="M35" s="43"/>
      <c r="N35" s="43"/>
      <c r="O35" s="43"/>
      <c r="P35" s="43"/>
      <c r="Q35" s="43"/>
      <c r="R35" s="43"/>
      <c r="S35" s="43"/>
      <c r="T35" s="43"/>
      <c r="U35" s="43"/>
      <c r="V35" s="43"/>
      <c r="W35" s="43"/>
      <c r="X35" s="43"/>
      <c r="Y35" s="43"/>
    </row>
    <row r="36" ht="13.2" spans="1:25">
      <c r="A36" s="42">
        <v>35</v>
      </c>
      <c r="B36" s="43" t="s">
        <v>393</v>
      </c>
      <c r="C36" s="43"/>
      <c r="D36" s="43"/>
      <c r="E36" s="43"/>
      <c r="F36" s="43"/>
      <c r="G36" s="43"/>
      <c r="H36" s="43"/>
      <c r="I36" s="43"/>
      <c r="J36" s="43"/>
      <c r="K36" s="43"/>
      <c r="L36" s="43"/>
      <c r="M36" s="43"/>
      <c r="N36" s="43"/>
      <c r="O36" s="43"/>
      <c r="P36" s="43"/>
      <c r="Q36" s="43"/>
      <c r="R36" s="43"/>
      <c r="S36" s="43"/>
      <c r="T36" s="43"/>
      <c r="U36" s="43"/>
      <c r="V36" s="43"/>
      <c r="W36" s="43"/>
      <c r="X36" s="43"/>
      <c r="Y36" s="43"/>
    </row>
    <row r="37" ht="13.2" spans="1:25">
      <c r="A37" s="42">
        <v>36</v>
      </c>
      <c r="B37" s="43" t="s">
        <v>394</v>
      </c>
      <c r="C37" s="43"/>
      <c r="D37" s="43"/>
      <c r="E37" s="43"/>
      <c r="F37" s="43"/>
      <c r="G37" s="43"/>
      <c r="H37" s="43"/>
      <c r="I37" s="43"/>
      <c r="J37" s="43"/>
      <c r="K37" s="43"/>
      <c r="L37" s="43"/>
      <c r="M37" s="43"/>
      <c r="N37" s="43"/>
      <c r="O37" s="43"/>
      <c r="P37" s="43"/>
      <c r="Q37" s="43"/>
      <c r="R37" s="43"/>
      <c r="S37" s="43"/>
      <c r="T37" s="43"/>
      <c r="U37" s="43"/>
      <c r="V37" s="43"/>
      <c r="W37" s="43"/>
      <c r="X37" s="43"/>
      <c r="Y37" s="43"/>
    </row>
    <row r="38" ht="13.2" spans="1:25">
      <c r="A38" s="42">
        <v>37</v>
      </c>
      <c r="B38" s="43" t="s">
        <v>341</v>
      </c>
      <c r="C38" s="43"/>
      <c r="D38" s="43"/>
      <c r="E38" s="43"/>
      <c r="F38" s="43"/>
      <c r="G38" s="43"/>
      <c r="H38" s="43"/>
      <c r="I38" s="43"/>
      <c r="J38" s="43"/>
      <c r="K38" s="43"/>
      <c r="L38" s="43"/>
      <c r="M38" s="43"/>
      <c r="N38" s="43"/>
      <c r="O38" s="43"/>
      <c r="P38" s="43"/>
      <c r="Q38" s="43"/>
      <c r="R38" s="43"/>
      <c r="S38" s="43"/>
      <c r="T38" s="43"/>
      <c r="U38" s="43"/>
      <c r="V38" s="43"/>
      <c r="W38" s="43"/>
      <c r="X38" s="43"/>
      <c r="Y38" s="43"/>
    </row>
    <row r="39" ht="13.2" spans="1:25">
      <c r="A39" s="42">
        <v>38</v>
      </c>
      <c r="B39" s="43" t="s">
        <v>348</v>
      </c>
      <c r="C39" s="43"/>
      <c r="D39" s="43"/>
      <c r="E39" s="43"/>
      <c r="F39" s="43"/>
      <c r="G39" s="43"/>
      <c r="H39" s="43"/>
      <c r="I39" s="43"/>
      <c r="J39" s="43"/>
      <c r="K39" s="43"/>
      <c r="L39" s="43"/>
      <c r="M39" s="43"/>
      <c r="N39" s="43"/>
      <c r="O39" s="43"/>
      <c r="P39" s="43"/>
      <c r="Q39" s="43"/>
      <c r="R39" s="43"/>
      <c r="S39" s="43"/>
      <c r="T39" s="43"/>
      <c r="U39" s="43"/>
      <c r="V39" s="43"/>
      <c r="W39" s="43"/>
      <c r="X39" s="43"/>
      <c r="Y39" s="43"/>
    </row>
    <row r="40" ht="13.2" spans="1:25">
      <c r="A40" s="42">
        <v>39</v>
      </c>
      <c r="B40" s="43" t="s">
        <v>395</v>
      </c>
      <c r="C40" s="43"/>
      <c r="D40" s="43"/>
      <c r="E40" s="43"/>
      <c r="F40" s="43"/>
      <c r="G40" s="43"/>
      <c r="H40" s="43"/>
      <c r="I40" s="43"/>
      <c r="J40" s="43"/>
      <c r="K40" s="43"/>
      <c r="L40" s="43"/>
      <c r="M40" s="43"/>
      <c r="N40" s="43"/>
      <c r="O40" s="43"/>
      <c r="P40" s="43"/>
      <c r="Q40" s="43"/>
      <c r="R40" s="43"/>
      <c r="S40" s="43"/>
      <c r="T40" s="43"/>
      <c r="U40" s="43"/>
      <c r="V40" s="43"/>
      <c r="W40" s="43"/>
      <c r="X40" s="43"/>
      <c r="Y40" s="43"/>
    </row>
    <row r="41" ht="13.2" spans="1:25">
      <c r="A41" s="42">
        <v>40</v>
      </c>
      <c r="B41" s="43" t="s">
        <v>396</v>
      </c>
      <c r="C41" s="43"/>
      <c r="D41" s="43"/>
      <c r="E41" s="43"/>
      <c r="F41" s="43"/>
      <c r="G41" s="43"/>
      <c r="H41" s="43"/>
      <c r="I41" s="43"/>
      <c r="J41" s="43"/>
      <c r="K41" s="43"/>
      <c r="L41" s="43"/>
      <c r="M41" s="43"/>
      <c r="N41" s="43"/>
      <c r="O41" s="43"/>
      <c r="P41" s="43"/>
      <c r="Q41" s="43"/>
      <c r="R41" s="43"/>
      <c r="S41" s="43"/>
      <c r="T41" s="43"/>
      <c r="U41" s="43"/>
      <c r="V41" s="43"/>
      <c r="W41" s="43"/>
      <c r="X41" s="43"/>
      <c r="Y41" s="43"/>
    </row>
    <row r="42" ht="13.2" spans="1:25">
      <c r="A42" s="42">
        <v>41</v>
      </c>
      <c r="B42" s="43" t="s">
        <v>397</v>
      </c>
      <c r="C42" s="43"/>
      <c r="D42" s="43"/>
      <c r="E42" s="43"/>
      <c r="F42" s="43"/>
      <c r="G42" s="43"/>
      <c r="H42" s="43"/>
      <c r="I42" s="43"/>
      <c r="J42" s="43"/>
      <c r="K42" s="43"/>
      <c r="L42" s="43"/>
      <c r="M42" s="43"/>
      <c r="N42" s="43"/>
      <c r="O42" s="43"/>
      <c r="P42" s="43"/>
      <c r="Q42" s="43"/>
      <c r="R42" s="43"/>
      <c r="S42" s="43"/>
      <c r="T42" s="43"/>
      <c r="U42" s="43"/>
      <c r="V42" s="43"/>
      <c r="W42" s="43"/>
      <c r="X42" s="43"/>
      <c r="Y42" s="43"/>
    </row>
    <row r="43" ht="13.2" spans="1:25">
      <c r="A43" s="42">
        <v>42</v>
      </c>
      <c r="B43" s="43" t="s">
        <v>355</v>
      </c>
      <c r="C43" s="43"/>
      <c r="D43" s="43"/>
      <c r="E43" s="43"/>
      <c r="F43" s="43"/>
      <c r="G43" s="43"/>
      <c r="H43" s="43"/>
      <c r="I43" s="43"/>
      <c r="J43" s="43"/>
      <c r="K43" s="43"/>
      <c r="L43" s="43"/>
      <c r="M43" s="43"/>
      <c r="N43" s="43"/>
      <c r="O43" s="43"/>
      <c r="P43" s="43"/>
      <c r="Q43" s="43"/>
      <c r="R43" s="43"/>
      <c r="S43" s="43"/>
      <c r="T43" s="43"/>
      <c r="U43" s="43"/>
      <c r="V43" s="43"/>
      <c r="W43" s="43"/>
      <c r="X43" s="43"/>
      <c r="Y43" s="43"/>
    </row>
    <row r="44" ht="13.2" spans="1:25">
      <c r="A44" s="42">
        <v>43</v>
      </c>
      <c r="B44" s="43" t="s">
        <v>363</v>
      </c>
      <c r="C44" s="43"/>
      <c r="D44" s="43"/>
      <c r="E44" s="43"/>
      <c r="F44" s="43"/>
      <c r="G44" s="43"/>
      <c r="H44" s="43"/>
      <c r="I44" s="43"/>
      <c r="J44" s="43"/>
      <c r="K44" s="43"/>
      <c r="L44" s="43"/>
      <c r="M44" s="43"/>
      <c r="N44" s="43"/>
      <c r="O44" s="43"/>
      <c r="P44" s="43"/>
      <c r="Q44" s="43"/>
      <c r="R44" s="43"/>
      <c r="S44" s="43"/>
      <c r="T44" s="43"/>
      <c r="U44" s="43"/>
      <c r="V44" s="43"/>
      <c r="W44" s="43"/>
      <c r="X44" s="43"/>
      <c r="Y44" s="43"/>
    </row>
    <row r="45" ht="13.2" spans="1:25">
      <c r="A45" s="42">
        <v>44</v>
      </c>
      <c r="B45" s="43" t="s">
        <v>398</v>
      </c>
      <c r="C45" s="43"/>
      <c r="D45" s="43"/>
      <c r="E45" s="43"/>
      <c r="F45" s="43"/>
      <c r="G45" s="43"/>
      <c r="H45" s="43"/>
      <c r="I45" s="43"/>
      <c r="J45" s="43"/>
      <c r="K45" s="43"/>
      <c r="L45" s="43"/>
      <c r="M45" s="43"/>
      <c r="N45" s="43"/>
      <c r="O45" s="43"/>
      <c r="P45" s="43"/>
      <c r="Q45" s="43"/>
      <c r="R45" s="43"/>
      <c r="S45" s="43"/>
      <c r="T45" s="43"/>
      <c r="U45" s="43"/>
      <c r="V45" s="43"/>
      <c r="W45" s="43"/>
      <c r="X45" s="43"/>
      <c r="Y45" s="43"/>
    </row>
    <row r="46" ht="13.2" spans="1:25">
      <c r="A46" s="42">
        <v>45</v>
      </c>
      <c r="B46" s="43" t="s">
        <v>399</v>
      </c>
      <c r="C46" s="43"/>
      <c r="D46" s="43"/>
      <c r="E46" s="43"/>
      <c r="F46" s="43"/>
      <c r="G46" s="43"/>
      <c r="H46" s="43"/>
      <c r="I46" s="43"/>
      <c r="J46" s="43"/>
      <c r="K46" s="43"/>
      <c r="L46" s="43"/>
      <c r="M46" s="43"/>
      <c r="N46" s="43"/>
      <c r="O46" s="43"/>
      <c r="P46" s="43"/>
      <c r="Q46" s="43"/>
      <c r="R46" s="43"/>
      <c r="S46" s="43"/>
      <c r="T46" s="43"/>
      <c r="U46" s="43"/>
      <c r="V46" s="43"/>
      <c r="W46" s="43"/>
      <c r="X46" s="43"/>
      <c r="Y46" s="43"/>
    </row>
    <row r="47" ht="13.2" spans="1:25">
      <c r="A47" s="42">
        <v>46</v>
      </c>
      <c r="B47" s="43" t="s">
        <v>400</v>
      </c>
      <c r="C47" s="43"/>
      <c r="D47" s="43"/>
      <c r="E47" s="43"/>
      <c r="F47" s="43"/>
      <c r="G47" s="43"/>
      <c r="H47" s="43"/>
      <c r="I47" s="43"/>
      <c r="J47" s="43"/>
      <c r="K47" s="43"/>
      <c r="L47" s="43"/>
      <c r="M47" s="43"/>
      <c r="N47" s="43"/>
      <c r="O47" s="43"/>
      <c r="P47" s="43"/>
      <c r="Q47" s="43"/>
      <c r="R47" s="43"/>
      <c r="S47" s="43"/>
      <c r="T47" s="43"/>
      <c r="U47" s="43"/>
      <c r="V47" s="43"/>
      <c r="W47" s="43"/>
      <c r="X47" s="43"/>
      <c r="Y47" s="43"/>
    </row>
    <row r="48" ht="13.2" spans="1:25">
      <c r="A48" s="42">
        <v>47</v>
      </c>
      <c r="B48" s="43" t="s">
        <v>401</v>
      </c>
      <c r="C48" s="43"/>
      <c r="D48" s="43"/>
      <c r="E48" s="43"/>
      <c r="F48" s="43"/>
      <c r="G48" s="43"/>
      <c r="H48" s="43"/>
      <c r="I48" s="43"/>
      <c r="J48" s="43"/>
      <c r="K48" s="43"/>
      <c r="L48" s="43"/>
      <c r="M48" s="43"/>
      <c r="N48" s="43"/>
      <c r="O48" s="43"/>
      <c r="P48" s="43"/>
      <c r="Q48" s="43"/>
      <c r="R48" s="43"/>
      <c r="S48" s="43"/>
      <c r="T48" s="43"/>
      <c r="U48" s="43"/>
      <c r="V48" s="43"/>
      <c r="W48" s="43"/>
      <c r="X48" s="43"/>
      <c r="Y48" s="43"/>
    </row>
    <row r="49" ht="13.2" spans="1:25">
      <c r="A49" s="42">
        <v>48</v>
      </c>
      <c r="B49" s="43" t="s">
        <v>402</v>
      </c>
      <c r="C49" s="43"/>
      <c r="D49" s="43"/>
      <c r="E49" s="43"/>
      <c r="F49" s="43"/>
      <c r="G49" s="43"/>
      <c r="H49" s="43"/>
      <c r="I49" s="43"/>
      <c r="J49" s="43"/>
      <c r="K49" s="43"/>
      <c r="L49" s="43"/>
      <c r="M49" s="43"/>
      <c r="N49" s="43"/>
      <c r="O49" s="43"/>
      <c r="P49" s="43"/>
      <c r="Q49" s="43"/>
      <c r="R49" s="43"/>
      <c r="S49" s="43"/>
      <c r="T49" s="43"/>
      <c r="U49" s="43"/>
      <c r="V49" s="43"/>
      <c r="W49" s="43"/>
      <c r="X49" s="43"/>
      <c r="Y49" s="43"/>
    </row>
    <row r="50" ht="13.2" spans="1:25">
      <c r="A50" s="42">
        <v>49</v>
      </c>
      <c r="B50" s="43" t="s">
        <v>403</v>
      </c>
      <c r="C50" s="43"/>
      <c r="D50" s="43"/>
      <c r="E50" s="43"/>
      <c r="F50" s="43"/>
      <c r="G50" s="43"/>
      <c r="H50" s="43"/>
      <c r="I50" s="43"/>
      <c r="J50" s="43"/>
      <c r="K50" s="43"/>
      <c r="L50" s="43"/>
      <c r="M50" s="43"/>
      <c r="N50" s="43"/>
      <c r="O50" s="43"/>
      <c r="P50" s="43"/>
      <c r="Q50" s="43"/>
      <c r="R50" s="43"/>
      <c r="S50" s="43"/>
      <c r="T50" s="43"/>
      <c r="U50" s="43"/>
      <c r="V50" s="43"/>
      <c r="W50" s="43"/>
      <c r="X50" s="43"/>
      <c r="Y50" s="43"/>
    </row>
    <row r="51" ht="13.2" spans="1:25">
      <c r="A51" s="42">
        <v>50</v>
      </c>
      <c r="B51" s="43" t="s">
        <v>404</v>
      </c>
      <c r="C51" s="43"/>
      <c r="D51" s="43"/>
      <c r="E51" s="43"/>
      <c r="F51" s="43"/>
      <c r="G51" s="43"/>
      <c r="H51" s="43"/>
      <c r="I51" s="43"/>
      <c r="J51" s="43"/>
      <c r="K51" s="43"/>
      <c r="L51" s="43"/>
      <c r="M51" s="43"/>
      <c r="N51" s="43"/>
      <c r="O51" s="43"/>
      <c r="P51" s="43"/>
      <c r="Q51" s="43"/>
      <c r="R51" s="43"/>
      <c r="S51" s="43"/>
      <c r="T51" s="43"/>
      <c r="U51" s="43"/>
      <c r="V51" s="43"/>
      <c r="W51" s="43"/>
      <c r="X51" s="43"/>
      <c r="Y51" s="43"/>
    </row>
    <row r="52" ht="13.2" spans="1:25">
      <c r="A52" s="42">
        <v>51</v>
      </c>
      <c r="B52" s="43" t="s">
        <v>405</v>
      </c>
      <c r="C52" s="43"/>
      <c r="D52" s="43"/>
      <c r="E52" s="43"/>
      <c r="F52" s="43"/>
      <c r="G52" s="43"/>
      <c r="H52" s="43"/>
      <c r="I52" s="43"/>
      <c r="J52" s="43"/>
      <c r="K52" s="43"/>
      <c r="L52" s="43"/>
      <c r="M52" s="43"/>
      <c r="N52" s="43"/>
      <c r="O52" s="43"/>
      <c r="P52" s="43"/>
      <c r="Q52" s="43"/>
      <c r="R52" s="43"/>
      <c r="S52" s="43"/>
      <c r="T52" s="43"/>
      <c r="U52" s="43"/>
      <c r="V52" s="43"/>
      <c r="W52" s="43"/>
      <c r="X52" s="43"/>
      <c r="Y52" s="43"/>
    </row>
    <row r="53" ht="13.2" spans="1:25">
      <c r="A53" s="42">
        <v>52</v>
      </c>
      <c r="B53" s="43" t="s">
        <v>406</v>
      </c>
      <c r="C53" s="43"/>
      <c r="D53" s="43"/>
      <c r="E53" s="43"/>
      <c r="F53" s="43"/>
      <c r="G53" s="43"/>
      <c r="H53" s="43"/>
      <c r="I53" s="43"/>
      <c r="J53" s="43"/>
      <c r="K53" s="43"/>
      <c r="L53" s="43"/>
      <c r="M53" s="43"/>
      <c r="N53" s="43"/>
      <c r="O53" s="43"/>
      <c r="P53" s="43"/>
      <c r="Q53" s="43"/>
      <c r="R53" s="43"/>
      <c r="S53" s="43"/>
      <c r="T53" s="43"/>
      <c r="U53" s="43"/>
      <c r="V53" s="43"/>
      <c r="W53" s="43"/>
      <c r="X53" s="43"/>
      <c r="Y53" s="43"/>
    </row>
    <row r="54" ht="13.2" spans="1:25">
      <c r="A54" s="42">
        <v>53</v>
      </c>
      <c r="B54" s="43" t="s">
        <v>407</v>
      </c>
      <c r="C54" s="43"/>
      <c r="D54" s="43"/>
      <c r="E54" s="43"/>
      <c r="F54" s="43"/>
      <c r="G54" s="43"/>
      <c r="H54" s="43"/>
      <c r="I54" s="43"/>
      <c r="J54" s="43"/>
      <c r="K54" s="43"/>
      <c r="L54" s="43"/>
      <c r="M54" s="43"/>
      <c r="N54" s="43"/>
      <c r="O54" s="43"/>
      <c r="P54" s="43"/>
      <c r="Q54" s="43"/>
      <c r="R54" s="43"/>
      <c r="S54" s="43"/>
      <c r="T54" s="43"/>
      <c r="U54" s="43"/>
      <c r="V54" s="43"/>
      <c r="W54" s="43"/>
      <c r="X54" s="43"/>
      <c r="Y54" s="43"/>
    </row>
    <row r="55" ht="13.2" spans="1:25">
      <c r="A55" s="42">
        <v>54</v>
      </c>
      <c r="B55" s="43" t="s">
        <v>53</v>
      </c>
      <c r="C55" s="43"/>
      <c r="D55" s="43"/>
      <c r="E55" s="43"/>
      <c r="F55" s="43"/>
      <c r="G55" s="43"/>
      <c r="H55" s="43"/>
      <c r="I55" s="43"/>
      <c r="J55" s="43"/>
      <c r="K55" s="43"/>
      <c r="L55" s="43"/>
      <c r="M55" s="43"/>
      <c r="N55" s="43"/>
      <c r="O55" s="43"/>
      <c r="P55" s="43"/>
      <c r="Q55" s="43"/>
      <c r="R55" s="43"/>
      <c r="S55" s="43"/>
      <c r="T55" s="43"/>
      <c r="U55" s="43"/>
      <c r="V55" s="43"/>
      <c r="W55" s="43"/>
      <c r="X55" s="43"/>
      <c r="Y55" s="43"/>
    </row>
    <row r="56" ht="13.2" spans="1:25">
      <c r="A56" s="42">
        <v>55</v>
      </c>
      <c r="B56" s="43" t="s">
        <v>408</v>
      </c>
      <c r="C56" s="43"/>
      <c r="D56" s="43"/>
      <c r="E56" s="43"/>
      <c r="F56" s="43"/>
      <c r="G56" s="43"/>
      <c r="H56" s="43"/>
      <c r="I56" s="43"/>
      <c r="J56" s="43"/>
      <c r="K56" s="43"/>
      <c r="L56" s="43"/>
      <c r="M56" s="43"/>
      <c r="N56" s="43"/>
      <c r="O56" s="43"/>
      <c r="P56" s="43"/>
      <c r="Q56" s="43"/>
      <c r="R56" s="43"/>
      <c r="S56" s="43"/>
      <c r="T56" s="43"/>
      <c r="U56" s="43"/>
      <c r="V56" s="43"/>
      <c r="W56" s="43"/>
      <c r="X56" s="43"/>
      <c r="Y56" s="43"/>
    </row>
    <row r="57" ht="13.2" spans="1:25">
      <c r="A57" s="42">
        <v>56</v>
      </c>
      <c r="B57" s="42" t="s">
        <v>409</v>
      </c>
      <c r="C57" s="43"/>
      <c r="D57" s="43"/>
      <c r="E57" s="43"/>
      <c r="F57" s="43"/>
      <c r="G57" s="43"/>
      <c r="H57" s="43"/>
      <c r="I57" s="43"/>
      <c r="J57" s="43"/>
      <c r="K57" s="43"/>
      <c r="L57" s="43"/>
      <c r="M57" s="43"/>
      <c r="N57" s="43"/>
      <c r="O57" s="43"/>
      <c r="P57" s="43"/>
      <c r="Q57" s="43"/>
      <c r="R57" s="43"/>
      <c r="S57" s="43"/>
      <c r="T57" s="43"/>
      <c r="U57" s="43"/>
      <c r="V57" s="43"/>
      <c r="W57" s="43"/>
      <c r="X57" s="43"/>
      <c r="Y57" s="43"/>
    </row>
    <row r="58" ht="13.2" spans="1:25">
      <c r="A58" s="42">
        <v>57</v>
      </c>
      <c r="B58" s="43" t="s">
        <v>410</v>
      </c>
      <c r="C58" s="43"/>
      <c r="D58" s="43"/>
      <c r="E58" s="43"/>
      <c r="F58" s="43"/>
      <c r="G58" s="43"/>
      <c r="H58" s="43"/>
      <c r="I58" s="43"/>
      <c r="J58" s="43"/>
      <c r="K58" s="43"/>
      <c r="L58" s="43"/>
      <c r="M58" s="43"/>
      <c r="N58" s="43"/>
      <c r="O58" s="43"/>
      <c r="P58" s="43"/>
      <c r="Q58" s="43"/>
      <c r="R58" s="43"/>
      <c r="S58" s="43"/>
      <c r="T58" s="43"/>
      <c r="U58" s="43"/>
      <c r="V58" s="43"/>
      <c r="W58" s="43"/>
      <c r="X58" s="43"/>
      <c r="Y58" s="43"/>
    </row>
    <row r="59" ht="13.2" spans="1:25">
      <c r="A59" s="42">
        <v>58</v>
      </c>
      <c r="B59" s="43" t="s">
        <v>411</v>
      </c>
      <c r="C59" s="43"/>
      <c r="D59" s="43"/>
      <c r="E59" s="43"/>
      <c r="F59" s="43"/>
      <c r="G59" s="43"/>
      <c r="H59" s="43"/>
      <c r="I59" s="43"/>
      <c r="J59" s="43"/>
      <c r="K59" s="43"/>
      <c r="L59" s="43"/>
      <c r="M59" s="43"/>
      <c r="N59" s="43"/>
      <c r="O59" s="43"/>
      <c r="P59" s="43"/>
      <c r="Q59" s="43"/>
      <c r="R59" s="43"/>
      <c r="S59" s="43"/>
      <c r="T59" s="43"/>
      <c r="U59" s="43"/>
      <c r="V59" s="43"/>
      <c r="W59" s="43"/>
      <c r="X59" s="43"/>
      <c r="Y59" s="43"/>
    </row>
    <row r="60" ht="13.2" spans="1:25">
      <c r="A60" s="42">
        <v>59</v>
      </c>
      <c r="B60" s="43" t="s">
        <v>412</v>
      </c>
      <c r="C60" s="43"/>
      <c r="D60" s="43"/>
      <c r="E60" s="43"/>
      <c r="F60" s="43"/>
      <c r="G60" s="43"/>
      <c r="H60" s="43"/>
      <c r="I60" s="43"/>
      <c r="J60" s="43"/>
      <c r="K60" s="43"/>
      <c r="L60" s="43"/>
      <c r="M60" s="43"/>
      <c r="N60" s="43"/>
      <c r="O60" s="43"/>
      <c r="P60" s="43"/>
      <c r="Q60" s="43"/>
      <c r="R60" s="43"/>
      <c r="S60" s="43"/>
      <c r="T60" s="43"/>
      <c r="U60" s="43"/>
      <c r="V60" s="43"/>
      <c r="W60" s="43"/>
      <c r="X60" s="43"/>
      <c r="Y60" s="43"/>
    </row>
    <row r="61" ht="13.2" spans="1:25">
      <c r="A61" s="42">
        <v>60</v>
      </c>
      <c r="B61" s="43" t="s">
        <v>413</v>
      </c>
      <c r="C61" s="43"/>
      <c r="D61" s="43"/>
      <c r="E61" s="43"/>
      <c r="F61" s="43"/>
      <c r="G61" s="43"/>
      <c r="H61" s="43"/>
      <c r="I61" s="43"/>
      <c r="J61" s="43"/>
      <c r="K61" s="43"/>
      <c r="L61" s="43"/>
      <c r="M61" s="43"/>
      <c r="N61" s="43"/>
      <c r="O61" s="43"/>
      <c r="P61" s="43"/>
      <c r="Q61" s="43"/>
      <c r="R61" s="43"/>
      <c r="S61" s="43"/>
      <c r="T61" s="43"/>
      <c r="U61" s="43"/>
      <c r="V61" s="43"/>
      <c r="W61" s="43"/>
      <c r="X61" s="43"/>
      <c r="Y61" s="43"/>
    </row>
    <row r="62" ht="13.2" spans="1:25">
      <c r="A62" s="42">
        <v>61</v>
      </c>
      <c r="B62" s="43" t="s">
        <v>414</v>
      </c>
      <c r="C62" s="43"/>
      <c r="D62" s="43"/>
      <c r="E62" s="43"/>
      <c r="F62" s="43"/>
      <c r="G62" s="43"/>
      <c r="H62" s="43"/>
      <c r="I62" s="43"/>
      <c r="J62" s="43"/>
      <c r="K62" s="43"/>
      <c r="L62" s="43"/>
      <c r="M62" s="43"/>
      <c r="N62" s="43"/>
      <c r="O62" s="43"/>
      <c r="P62" s="43"/>
      <c r="Q62" s="43"/>
      <c r="R62" s="43"/>
      <c r="S62" s="43"/>
      <c r="T62" s="43"/>
      <c r="U62" s="43"/>
      <c r="V62" s="43"/>
      <c r="W62" s="43"/>
      <c r="X62" s="43"/>
      <c r="Y62" s="43"/>
    </row>
    <row r="63" ht="13.2" spans="1:25">
      <c r="A63" s="42">
        <v>62</v>
      </c>
      <c r="B63" s="43" t="s">
        <v>415</v>
      </c>
      <c r="C63" s="43"/>
      <c r="D63" s="43"/>
      <c r="E63" s="43"/>
      <c r="F63" s="43"/>
      <c r="G63" s="43"/>
      <c r="H63" s="43"/>
      <c r="I63" s="43"/>
      <c r="J63" s="43"/>
      <c r="K63" s="43"/>
      <c r="L63" s="43"/>
      <c r="M63" s="43"/>
      <c r="N63" s="43"/>
      <c r="O63" s="43"/>
      <c r="P63" s="43"/>
      <c r="Q63" s="43"/>
      <c r="R63" s="43"/>
      <c r="S63" s="43"/>
      <c r="T63" s="43"/>
      <c r="U63" s="43"/>
      <c r="V63" s="43"/>
      <c r="W63" s="43"/>
      <c r="X63" s="43"/>
      <c r="Y63" s="43"/>
    </row>
    <row r="64" ht="13.2" spans="1:25">
      <c r="A64" s="42">
        <v>63</v>
      </c>
      <c r="B64" s="43" t="s">
        <v>416</v>
      </c>
      <c r="C64" s="43"/>
      <c r="D64" s="43"/>
      <c r="E64" s="43"/>
      <c r="F64" s="43"/>
      <c r="G64" s="43"/>
      <c r="H64" s="43"/>
      <c r="I64" s="43"/>
      <c r="J64" s="43"/>
      <c r="K64" s="43"/>
      <c r="L64" s="43"/>
      <c r="M64" s="43"/>
      <c r="N64" s="43"/>
      <c r="O64" s="43"/>
      <c r="P64" s="43"/>
      <c r="Q64" s="43"/>
      <c r="R64" s="43"/>
      <c r="S64" s="43"/>
      <c r="T64" s="43"/>
      <c r="U64" s="43"/>
      <c r="V64" s="43"/>
      <c r="W64" s="43"/>
      <c r="X64" s="43"/>
      <c r="Y64" s="43"/>
    </row>
    <row r="65" ht="13.2" spans="1:25">
      <c r="A65" s="42">
        <v>64</v>
      </c>
      <c r="B65" s="43" t="s">
        <v>417</v>
      </c>
      <c r="C65" s="43"/>
      <c r="D65" s="43"/>
      <c r="E65" s="43"/>
      <c r="F65" s="43"/>
      <c r="G65" s="43"/>
      <c r="H65" s="43"/>
      <c r="I65" s="43"/>
      <c r="J65" s="43"/>
      <c r="K65" s="43"/>
      <c r="L65" s="43"/>
      <c r="M65" s="43"/>
      <c r="N65" s="43"/>
      <c r="O65" s="43"/>
      <c r="P65" s="43"/>
      <c r="Q65" s="43"/>
      <c r="R65" s="43"/>
      <c r="S65" s="43"/>
      <c r="T65" s="43"/>
      <c r="U65" s="43"/>
      <c r="V65" s="43"/>
      <c r="W65" s="43"/>
      <c r="X65" s="43"/>
      <c r="Y65" s="43"/>
    </row>
    <row r="66" ht="13.2" spans="1:25">
      <c r="A66" s="42">
        <v>65</v>
      </c>
      <c r="B66" s="43" t="s">
        <v>418</v>
      </c>
      <c r="C66" s="43"/>
      <c r="D66" s="43"/>
      <c r="E66" s="43"/>
      <c r="F66" s="43"/>
      <c r="G66" s="43"/>
      <c r="H66" s="43"/>
      <c r="I66" s="43"/>
      <c r="J66" s="43"/>
      <c r="K66" s="43"/>
      <c r="L66" s="43"/>
      <c r="M66" s="43"/>
      <c r="N66" s="43"/>
      <c r="O66" s="43"/>
      <c r="P66" s="43"/>
      <c r="Q66" s="43"/>
      <c r="R66" s="43"/>
      <c r="S66" s="43"/>
      <c r="T66" s="43"/>
      <c r="U66" s="43"/>
      <c r="V66" s="43"/>
      <c r="W66" s="43"/>
      <c r="X66" s="43"/>
      <c r="Y66" s="43"/>
    </row>
    <row r="67" ht="13.2" spans="1:25">
      <c r="A67" s="42">
        <v>66</v>
      </c>
      <c r="B67" s="43" t="s">
        <v>419</v>
      </c>
      <c r="C67" s="43"/>
      <c r="D67" s="43"/>
      <c r="E67" s="43"/>
      <c r="F67" s="43"/>
      <c r="G67" s="43"/>
      <c r="H67" s="43"/>
      <c r="I67" s="43"/>
      <c r="J67" s="43"/>
      <c r="K67" s="43"/>
      <c r="L67" s="43"/>
      <c r="M67" s="43"/>
      <c r="N67" s="43"/>
      <c r="O67" s="43"/>
      <c r="P67" s="43"/>
      <c r="Q67" s="43"/>
      <c r="R67" s="43"/>
      <c r="S67" s="43"/>
      <c r="T67" s="43"/>
      <c r="U67" s="43"/>
      <c r="V67" s="43"/>
      <c r="W67" s="43"/>
      <c r="X67" s="43"/>
      <c r="Y67" s="43"/>
    </row>
    <row r="68" ht="13.2" spans="1:25">
      <c r="A68" s="42">
        <v>67</v>
      </c>
      <c r="B68" s="43" t="s">
        <v>420</v>
      </c>
      <c r="C68" s="43"/>
      <c r="D68" s="43"/>
      <c r="E68" s="43"/>
      <c r="F68" s="43"/>
      <c r="G68" s="43"/>
      <c r="H68" s="43"/>
      <c r="I68" s="43"/>
      <c r="J68" s="43"/>
      <c r="K68" s="43"/>
      <c r="L68" s="43"/>
      <c r="M68" s="43"/>
      <c r="N68" s="43"/>
      <c r="O68" s="43"/>
      <c r="P68" s="43"/>
      <c r="Q68" s="43"/>
      <c r="R68" s="43"/>
      <c r="S68" s="43"/>
      <c r="T68" s="43"/>
      <c r="U68" s="43"/>
      <c r="V68" s="43"/>
      <c r="W68" s="43"/>
      <c r="X68" s="43"/>
      <c r="Y68" s="43"/>
    </row>
    <row r="69" ht="13.2" spans="1:25">
      <c r="A69" s="42">
        <v>68</v>
      </c>
      <c r="B69" s="43" t="s">
        <v>421</v>
      </c>
      <c r="C69" s="43"/>
      <c r="D69" s="43"/>
      <c r="E69" s="43"/>
      <c r="F69" s="43"/>
      <c r="G69" s="43"/>
      <c r="H69" s="43"/>
      <c r="I69" s="43"/>
      <c r="J69" s="43"/>
      <c r="K69" s="43"/>
      <c r="L69" s="43"/>
      <c r="M69" s="43"/>
      <c r="N69" s="43"/>
      <c r="O69" s="43"/>
      <c r="P69" s="43"/>
      <c r="Q69" s="43"/>
      <c r="R69" s="43"/>
      <c r="S69" s="43"/>
      <c r="T69" s="43"/>
      <c r="U69" s="43"/>
      <c r="V69" s="43"/>
      <c r="W69" s="43"/>
      <c r="X69" s="43"/>
      <c r="Y69" s="43"/>
    </row>
    <row r="70" ht="13.2" spans="1:25">
      <c r="A70" s="42">
        <v>69</v>
      </c>
      <c r="B70" s="43" t="s">
        <v>422</v>
      </c>
      <c r="C70" s="43"/>
      <c r="D70" s="43"/>
      <c r="E70" s="43"/>
      <c r="F70" s="43"/>
      <c r="G70" s="43"/>
      <c r="H70" s="43"/>
      <c r="I70" s="43"/>
      <c r="J70" s="43"/>
      <c r="K70" s="43"/>
      <c r="L70" s="43"/>
      <c r="M70" s="43"/>
      <c r="N70" s="43"/>
      <c r="O70" s="43"/>
      <c r="P70" s="43"/>
      <c r="Q70" s="43"/>
      <c r="R70" s="43"/>
      <c r="S70" s="43"/>
      <c r="T70" s="43"/>
      <c r="U70" s="43"/>
      <c r="V70" s="43"/>
      <c r="W70" s="43"/>
      <c r="X70" s="43"/>
      <c r="Y70" s="43"/>
    </row>
    <row r="71" ht="13.2" spans="1:25">
      <c r="A71" s="42">
        <v>70</v>
      </c>
      <c r="B71" s="43" t="s">
        <v>423</v>
      </c>
      <c r="C71" s="43"/>
      <c r="D71" s="43"/>
      <c r="E71" s="43"/>
      <c r="F71" s="43"/>
      <c r="G71" s="43"/>
      <c r="H71" s="43"/>
      <c r="I71" s="43"/>
      <c r="J71" s="43"/>
      <c r="K71" s="43"/>
      <c r="L71" s="43"/>
      <c r="M71" s="43"/>
      <c r="N71" s="43"/>
      <c r="O71" s="43"/>
      <c r="P71" s="43"/>
      <c r="Q71" s="43"/>
      <c r="R71" s="43"/>
      <c r="S71" s="43"/>
      <c r="T71" s="43"/>
      <c r="U71" s="43"/>
      <c r="V71" s="43"/>
      <c r="W71" s="43"/>
      <c r="X71" s="43"/>
      <c r="Y71" s="43"/>
    </row>
    <row r="72" ht="13.2" spans="1:25">
      <c r="A72" s="42">
        <v>71</v>
      </c>
      <c r="B72" s="43" t="s">
        <v>424</v>
      </c>
      <c r="C72" s="43"/>
      <c r="D72" s="43"/>
      <c r="E72" s="43"/>
      <c r="F72" s="43"/>
      <c r="G72" s="43"/>
      <c r="H72" s="43"/>
      <c r="I72" s="43"/>
      <c r="J72" s="43"/>
      <c r="K72" s="43"/>
      <c r="L72" s="43"/>
      <c r="M72" s="43"/>
      <c r="N72" s="43"/>
      <c r="O72" s="43"/>
      <c r="P72" s="43"/>
      <c r="Q72" s="43"/>
      <c r="R72" s="43"/>
      <c r="S72" s="43"/>
      <c r="T72" s="43"/>
      <c r="U72" s="43"/>
      <c r="V72" s="43"/>
      <c r="W72" s="43"/>
      <c r="X72" s="43"/>
      <c r="Y72" s="43"/>
    </row>
    <row r="73" ht="13.2" spans="1:25">
      <c r="A73" s="42">
        <v>72</v>
      </c>
      <c r="B73" s="43" t="s">
        <v>61</v>
      </c>
      <c r="C73" s="43"/>
      <c r="D73" s="43"/>
      <c r="E73" s="43"/>
      <c r="F73" s="43"/>
      <c r="G73" s="43"/>
      <c r="H73" s="43"/>
      <c r="I73" s="43"/>
      <c r="J73" s="43"/>
      <c r="K73" s="43"/>
      <c r="L73" s="43"/>
      <c r="M73" s="43"/>
      <c r="N73" s="43"/>
      <c r="O73" s="43"/>
      <c r="P73" s="43"/>
      <c r="Q73" s="43"/>
      <c r="R73" s="43"/>
      <c r="S73" s="43"/>
      <c r="T73" s="43"/>
      <c r="U73" s="43"/>
      <c r="V73" s="43"/>
      <c r="W73" s="43"/>
      <c r="X73" s="43"/>
      <c r="Y73" s="43"/>
    </row>
    <row r="74" ht="13.2" spans="1:25">
      <c r="A74" s="42">
        <v>73</v>
      </c>
      <c r="B74" s="43" t="s">
        <v>425</v>
      </c>
      <c r="C74" s="43"/>
      <c r="D74" s="43"/>
      <c r="E74" s="43"/>
      <c r="F74" s="43"/>
      <c r="G74" s="43"/>
      <c r="H74" s="43"/>
      <c r="I74" s="43"/>
      <c r="J74" s="43"/>
      <c r="K74" s="43"/>
      <c r="L74" s="43"/>
      <c r="M74" s="43"/>
      <c r="N74" s="43"/>
      <c r="O74" s="43"/>
      <c r="P74" s="43"/>
      <c r="Q74" s="43"/>
      <c r="R74" s="43"/>
      <c r="S74" s="43"/>
      <c r="T74" s="43"/>
      <c r="U74" s="43"/>
      <c r="V74" s="43"/>
      <c r="W74" s="43"/>
      <c r="X74" s="43"/>
      <c r="Y74" s="43"/>
    </row>
    <row r="75" ht="13.2" spans="1:25">
      <c r="A75" s="42">
        <v>74</v>
      </c>
      <c r="B75" s="43" t="s">
        <v>426</v>
      </c>
      <c r="C75" s="43"/>
      <c r="D75" s="43"/>
      <c r="E75" s="43"/>
      <c r="F75" s="43"/>
      <c r="G75" s="43"/>
      <c r="H75" s="43"/>
      <c r="I75" s="43"/>
      <c r="J75" s="43"/>
      <c r="K75" s="43"/>
      <c r="L75" s="43"/>
      <c r="M75" s="43"/>
      <c r="N75" s="43"/>
      <c r="O75" s="43"/>
      <c r="P75" s="43"/>
      <c r="Q75" s="43"/>
      <c r="R75" s="43"/>
      <c r="S75" s="43"/>
      <c r="T75" s="43"/>
      <c r="U75" s="43"/>
      <c r="V75" s="43"/>
      <c r="W75" s="43"/>
      <c r="X75" s="43"/>
      <c r="Y75" s="43"/>
    </row>
    <row r="76" ht="13.2" spans="1:25">
      <c r="A76" s="42">
        <v>75</v>
      </c>
      <c r="B76" s="43" t="s">
        <v>427</v>
      </c>
      <c r="C76" s="43"/>
      <c r="D76" s="43"/>
      <c r="E76" s="43"/>
      <c r="F76" s="43"/>
      <c r="G76" s="43"/>
      <c r="H76" s="43"/>
      <c r="I76" s="43"/>
      <c r="J76" s="43"/>
      <c r="K76" s="43"/>
      <c r="L76" s="43"/>
      <c r="M76" s="43"/>
      <c r="N76" s="43"/>
      <c r="O76" s="43"/>
      <c r="P76" s="43"/>
      <c r="Q76" s="43"/>
      <c r="R76" s="43"/>
      <c r="S76" s="43"/>
      <c r="T76" s="43"/>
      <c r="U76" s="43"/>
      <c r="V76" s="43"/>
      <c r="W76" s="43"/>
      <c r="X76" s="43"/>
      <c r="Y76" s="43"/>
    </row>
    <row r="77" ht="13.2" spans="1:25">
      <c r="A77" s="42">
        <v>76</v>
      </c>
      <c r="B77" s="43" t="s">
        <v>428</v>
      </c>
      <c r="C77" s="43"/>
      <c r="D77" s="43"/>
      <c r="E77" s="43"/>
      <c r="F77" s="43"/>
      <c r="G77" s="43"/>
      <c r="H77" s="43"/>
      <c r="I77" s="43"/>
      <c r="J77" s="43"/>
      <c r="K77" s="43"/>
      <c r="L77" s="43"/>
      <c r="M77" s="43"/>
      <c r="N77" s="43"/>
      <c r="O77" s="43"/>
      <c r="P77" s="43"/>
      <c r="Q77" s="43"/>
      <c r="R77" s="43"/>
      <c r="S77" s="43"/>
      <c r="T77" s="43"/>
      <c r="U77" s="43"/>
      <c r="V77" s="43"/>
      <c r="W77" s="43"/>
      <c r="X77" s="43"/>
      <c r="Y77" s="43"/>
    </row>
    <row r="78" ht="13.2" spans="1:25">
      <c r="A78" s="42">
        <v>77</v>
      </c>
      <c r="B78" s="43" t="s">
        <v>429</v>
      </c>
      <c r="C78" s="43"/>
      <c r="D78" s="43"/>
      <c r="E78" s="43"/>
      <c r="F78" s="43"/>
      <c r="G78" s="43"/>
      <c r="H78" s="43"/>
      <c r="I78" s="43"/>
      <c r="J78" s="43"/>
      <c r="K78" s="43"/>
      <c r="L78" s="43"/>
      <c r="M78" s="43"/>
      <c r="N78" s="43"/>
      <c r="O78" s="43"/>
      <c r="P78" s="43"/>
      <c r="Q78" s="43"/>
      <c r="R78" s="43"/>
      <c r="S78" s="43"/>
      <c r="T78" s="43"/>
      <c r="U78" s="43"/>
      <c r="V78" s="43"/>
      <c r="W78" s="43"/>
      <c r="X78" s="43"/>
      <c r="Y78" s="43"/>
    </row>
    <row r="79" ht="13.2" spans="1:25">
      <c r="A79" s="42">
        <v>78</v>
      </c>
      <c r="B79" s="43" t="s">
        <v>430</v>
      </c>
      <c r="C79" s="43"/>
      <c r="D79" s="43"/>
      <c r="E79" s="43"/>
      <c r="F79" s="43"/>
      <c r="G79" s="43"/>
      <c r="H79" s="43"/>
      <c r="I79" s="43"/>
      <c r="J79" s="43"/>
      <c r="K79" s="43"/>
      <c r="L79" s="43"/>
      <c r="M79" s="43"/>
      <c r="N79" s="43"/>
      <c r="O79" s="43"/>
      <c r="P79" s="43"/>
      <c r="Q79" s="43"/>
      <c r="R79" s="43"/>
      <c r="S79" s="43"/>
      <c r="T79" s="43"/>
      <c r="U79" s="43"/>
      <c r="V79" s="43"/>
      <c r="W79" s="43"/>
      <c r="X79" s="43"/>
      <c r="Y79" s="43"/>
    </row>
    <row r="80" ht="13.2" spans="1:25">
      <c r="A80" s="42">
        <v>79</v>
      </c>
      <c r="B80" s="43" t="s">
        <v>431</v>
      </c>
      <c r="C80" s="43"/>
      <c r="D80" s="43"/>
      <c r="E80" s="43"/>
      <c r="F80" s="43"/>
      <c r="G80" s="43"/>
      <c r="H80" s="43"/>
      <c r="I80" s="43"/>
      <c r="J80" s="43"/>
      <c r="K80" s="43"/>
      <c r="L80" s="43"/>
      <c r="M80" s="43"/>
      <c r="N80" s="43"/>
      <c r="O80" s="43"/>
      <c r="P80" s="43"/>
      <c r="Q80" s="43"/>
      <c r="R80" s="43"/>
      <c r="S80" s="43"/>
      <c r="T80" s="43"/>
      <c r="U80" s="43"/>
      <c r="V80" s="43"/>
      <c r="W80" s="43"/>
      <c r="X80" s="43"/>
      <c r="Y80" s="43"/>
    </row>
    <row r="81" ht="13.2" spans="1:25">
      <c r="A81" s="42">
        <v>80</v>
      </c>
      <c r="B81" s="43" t="s">
        <v>68</v>
      </c>
      <c r="C81" s="43"/>
      <c r="D81" s="43"/>
      <c r="E81" s="43"/>
      <c r="F81" s="43"/>
      <c r="G81" s="43"/>
      <c r="H81" s="43"/>
      <c r="I81" s="43"/>
      <c r="J81" s="43"/>
      <c r="K81" s="43"/>
      <c r="L81" s="43"/>
      <c r="M81" s="43"/>
      <c r="N81" s="43"/>
      <c r="O81" s="43"/>
      <c r="P81" s="43"/>
      <c r="Q81" s="43"/>
      <c r="R81" s="43"/>
      <c r="S81" s="43"/>
      <c r="T81" s="43"/>
      <c r="U81" s="43"/>
      <c r="V81" s="43"/>
      <c r="W81" s="43"/>
      <c r="X81" s="43"/>
      <c r="Y81" s="43"/>
    </row>
    <row r="82" ht="13.2" spans="1:25">
      <c r="A82" s="42">
        <v>81</v>
      </c>
      <c r="B82" s="43" t="s">
        <v>432</v>
      </c>
      <c r="C82" s="43"/>
      <c r="D82" s="43"/>
      <c r="E82" s="43"/>
      <c r="F82" s="43"/>
      <c r="G82" s="43"/>
      <c r="H82" s="43"/>
      <c r="I82" s="43"/>
      <c r="J82" s="43"/>
      <c r="K82" s="43"/>
      <c r="L82" s="43"/>
      <c r="M82" s="43"/>
      <c r="N82" s="43"/>
      <c r="O82" s="43"/>
      <c r="P82" s="43"/>
      <c r="Q82" s="43"/>
      <c r="R82" s="43"/>
      <c r="S82" s="43"/>
      <c r="T82" s="43"/>
      <c r="U82" s="43"/>
      <c r="V82" s="43"/>
      <c r="W82" s="43"/>
      <c r="X82" s="43"/>
      <c r="Y82" s="43"/>
    </row>
    <row r="83" ht="13.2" spans="1:25">
      <c r="A83" s="42">
        <v>82</v>
      </c>
      <c r="B83" s="43" t="s">
        <v>433</v>
      </c>
      <c r="C83" s="43"/>
      <c r="D83" s="43"/>
      <c r="E83" s="43"/>
      <c r="F83" s="43"/>
      <c r="G83" s="43"/>
      <c r="H83" s="43"/>
      <c r="I83" s="43"/>
      <c r="J83" s="43"/>
      <c r="K83" s="43"/>
      <c r="L83" s="43"/>
      <c r="M83" s="43"/>
      <c r="N83" s="43"/>
      <c r="O83" s="43"/>
      <c r="P83" s="43"/>
      <c r="Q83" s="43"/>
      <c r="R83" s="43"/>
      <c r="S83" s="43"/>
      <c r="T83" s="43"/>
      <c r="U83" s="43"/>
      <c r="V83" s="43"/>
      <c r="W83" s="43"/>
      <c r="X83" s="43"/>
      <c r="Y83" s="43"/>
    </row>
    <row r="84" ht="13.2" spans="1:25">
      <c r="A84" s="42">
        <v>83</v>
      </c>
      <c r="B84" s="43" t="s">
        <v>434</v>
      </c>
      <c r="C84" s="43"/>
      <c r="D84" s="43"/>
      <c r="E84" s="43"/>
      <c r="F84" s="43"/>
      <c r="G84" s="43"/>
      <c r="H84" s="43"/>
      <c r="I84" s="43"/>
      <c r="J84" s="43"/>
      <c r="K84" s="43"/>
      <c r="L84" s="43"/>
      <c r="M84" s="43"/>
      <c r="N84" s="43"/>
      <c r="O84" s="43"/>
      <c r="P84" s="43"/>
      <c r="Q84" s="43"/>
      <c r="R84" s="43"/>
      <c r="S84" s="43"/>
      <c r="T84" s="43"/>
      <c r="U84" s="43"/>
      <c r="V84" s="43"/>
      <c r="W84" s="43"/>
      <c r="X84" s="43"/>
      <c r="Y84" s="43"/>
    </row>
    <row r="85" ht="13.2" spans="1:25">
      <c r="A85" s="42">
        <v>84</v>
      </c>
      <c r="B85" s="43" t="s">
        <v>435</v>
      </c>
      <c r="C85" s="43"/>
      <c r="D85" s="43"/>
      <c r="E85" s="43"/>
      <c r="F85" s="43"/>
      <c r="G85" s="43"/>
      <c r="H85" s="43"/>
      <c r="I85" s="43"/>
      <c r="J85" s="43"/>
      <c r="K85" s="43"/>
      <c r="L85" s="43"/>
      <c r="M85" s="43"/>
      <c r="N85" s="43"/>
      <c r="O85" s="43"/>
      <c r="P85" s="43"/>
      <c r="Q85" s="43"/>
      <c r="R85" s="43"/>
      <c r="S85" s="43"/>
      <c r="T85" s="43"/>
      <c r="U85" s="43"/>
      <c r="V85" s="43"/>
      <c r="W85" s="43"/>
      <c r="X85" s="43"/>
      <c r="Y85" s="43"/>
    </row>
    <row r="86" ht="13.2" spans="1:25">
      <c r="A86" s="42">
        <v>85</v>
      </c>
      <c r="B86" s="43" t="s">
        <v>436</v>
      </c>
      <c r="C86" s="43"/>
      <c r="D86" s="43"/>
      <c r="E86" s="43"/>
      <c r="F86" s="43"/>
      <c r="G86" s="43"/>
      <c r="H86" s="43"/>
      <c r="I86" s="43"/>
      <c r="J86" s="43"/>
      <c r="K86" s="43"/>
      <c r="L86" s="43"/>
      <c r="M86" s="43"/>
      <c r="N86" s="43"/>
      <c r="O86" s="43"/>
      <c r="P86" s="43"/>
      <c r="Q86" s="43"/>
      <c r="R86" s="43"/>
      <c r="S86" s="43"/>
      <c r="T86" s="43"/>
      <c r="U86" s="43"/>
      <c r="V86" s="43"/>
      <c r="W86" s="43"/>
      <c r="X86" s="43"/>
      <c r="Y86" s="43"/>
    </row>
    <row r="87" ht="13.2" spans="1:25">
      <c r="A87" s="42">
        <v>86</v>
      </c>
      <c r="B87" s="43" t="s">
        <v>437</v>
      </c>
      <c r="C87" s="43"/>
      <c r="D87" s="43"/>
      <c r="E87" s="43"/>
      <c r="F87" s="43"/>
      <c r="G87" s="43"/>
      <c r="H87" s="43"/>
      <c r="I87" s="43"/>
      <c r="J87" s="43"/>
      <c r="K87" s="43"/>
      <c r="L87" s="43"/>
      <c r="M87" s="43"/>
      <c r="N87" s="43"/>
      <c r="O87" s="43"/>
      <c r="P87" s="43"/>
      <c r="Q87" s="43"/>
      <c r="R87" s="43"/>
      <c r="S87" s="43"/>
      <c r="T87" s="43"/>
      <c r="U87" s="43"/>
      <c r="V87" s="43"/>
      <c r="W87" s="43"/>
      <c r="X87" s="43"/>
      <c r="Y87" s="43"/>
    </row>
    <row r="88" ht="13.2" spans="1:25">
      <c r="A88" s="42">
        <v>87</v>
      </c>
      <c r="B88" s="43" t="s">
        <v>438</v>
      </c>
      <c r="C88" s="43"/>
      <c r="D88" s="43"/>
      <c r="E88" s="43"/>
      <c r="F88" s="43"/>
      <c r="G88" s="43"/>
      <c r="H88" s="43"/>
      <c r="I88" s="43"/>
      <c r="J88" s="43"/>
      <c r="K88" s="43"/>
      <c r="L88" s="43"/>
      <c r="M88" s="43"/>
      <c r="N88" s="43"/>
      <c r="O88" s="43"/>
      <c r="P88" s="43"/>
      <c r="Q88" s="43"/>
      <c r="R88" s="43"/>
      <c r="S88" s="43"/>
      <c r="T88" s="43"/>
      <c r="U88" s="43"/>
      <c r="V88" s="43"/>
      <c r="W88" s="43"/>
      <c r="X88" s="43"/>
      <c r="Y88" s="43"/>
    </row>
    <row r="89" ht="13.2" spans="1:25">
      <c r="A89" s="42">
        <v>88</v>
      </c>
      <c r="B89" s="43" t="s">
        <v>439</v>
      </c>
      <c r="C89" s="43"/>
      <c r="D89" s="43"/>
      <c r="E89" s="43"/>
      <c r="F89" s="43"/>
      <c r="G89" s="43"/>
      <c r="H89" s="43"/>
      <c r="I89" s="43"/>
      <c r="J89" s="43"/>
      <c r="K89" s="43"/>
      <c r="L89" s="43"/>
      <c r="M89" s="43"/>
      <c r="N89" s="43"/>
      <c r="O89" s="43"/>
      <c r="P89" s="43"/>
      <c r="Q89" s="43"/>
      <c r="R89" s="43"/>
      <c r="S89" s="43"/>
      <c r="T89" s="43"/>
      <c r="U89" s="43"/>
      <c r="V89" s="43"/>
      <c r="W89" s="43"/>
      <c r="X89" s="43"/>
      <c r="Y89" s="43"/>
    </row>
    <row r="90" ht="13.2" spans="1:25">
      <c r="A90" s="42">
        <v>89</v>
      </c>
      <c r="B90" s="43" t="s">
        <v>440</v>
      </c>
      <c r="C90" s="43"/>
      <c r="D90" s="43"/>
      <c r="E90" s="43"/>
      <c r="F90" s="43"/>
      <c r="G90" s="43"/>
      <c r="H90" s="43"/>
      <c r="I90" s="43"/>
      <c r="J90" s="43"/>
      <c r="K90" s="43"/>
      <c r="L90" s="43"/>
      <c r="M90" s="43"/>
      <c r="N90" s="43"/>
      <c r="O90" s="43"/>
      <c r="P90" s="43"/>
      <c r="Q90" s="43"/>
      <c r="R90" s="43"/>
      <c r="S90" s="43"/>
      <c r="T90" s="43"/>
      <c r="U90" s="43"/>
      <c r="V90" s="43"/>
      <c r="W90" s="43"/>
      <c r="X90" s="43"/>
      <c r="Y90" s="43"/>
    </row>
    <row r="91" ht="13.2" spans="1:25">
      <c r="A91" s="42">
        <v>90</v>
      </c>
      <c r="B91" s="43" t="s">
        <v>441</v>
      </c>
      <c r="C91" s="43"/>
      <c r="D91" s="43"/>
      <c r="E91" s="43"/>
      <c r="F91" s="43"/>
      <c r="G91" s="43"/>
      <c r="H91" s="43"/>
      <c r="I91" s="43"/>
      <c r="J91" s="43"/>
      <c r="K91" s="43"/>
      <c r="L91" s="43"/>
      <c r="M91" s="43"/>
      <c r="N91" s="43"/>
      <c r="O91" s="43"/>
      <c r="P91" s="43"/>
      <c r="Q91" s="43"/>
      <c r="R91" s="43"/>
      <c r="S91" s="43"/>
      <c r="T91" s="43"/>
      <c r="U91" s="43"/>
      <c r="V91" s="43"/>
      <c r="W91" s="43"/>
      <c r="X91" s="43"/>
      <c r="Y91" s="43"/>
    </row>
    <row r="92" ht="13.2" spans="1:25">
      <c r="A92" s="42">
        <v>91</v>
      </c>
      <c r="B92" s="43" t="s">
        <v>442</v>
      </c>
      <c r="C92" s="43"/>
      <c r="D92" s="43"/>
      <c r="E92" s="43"/>
      <c r="F92" s="43"/>
      <c r="G92" s="43"/>
      <c r="H92" s="43"/>
      <c r="I92" s="43"/>
      <c r="J92" s="43"/>
      <c r="K92" s="43"/>
      <c r="L92" s="43"/>
      <c r="M92" s="43"/>
      <c r="N92" s="43"/>
      <c r="O92" s="43"/>
      <c r="P92" s="43"/>
      <c r="Q92" s="43"/>
      <c r="R92" s="43"/>
      <c r="S92" s="43"/>
      <c r="T92" s="43"/>
      <c r="U92" s="43"/>
      <c r="V92" s="43"/>
      <c r="W92" s="43"/>
      <c r="X92" s="43"/>
      <c r="Y92" s="43"/>
    </row>
    <row r="93" ht="13.2" spans="1:25">
      <c r="A93" s="42">
        <v>92</v>
      </c>
      <c r="B93" s="43" t="s">
        <v>443</v>
      </c>
      <c r="C93" s="43"/>
      <c r="D93" s="43"/>
      <c r="E93" s="43"/>
      <c r="F93" s="43"/>
      <c r="G93" s="43"/>
      <c r="H93" s="43"/>
      <c r="I93" s="43"/>
      <c r="J93" s="43"/>
      <c r="K93" s="43"/>
      <c r="L93" s="43"/>
      <c r="M93" s="43"/>
      <c r="N93" s="43"/>
      <c r="O93" s="43"/>
      <c r="P93" s="43"/>
      <c r="Q93" s="43"/>
      <c r="R93" s="43"/>
      <c r="S93" s="43"/>
      <c r="T93" s="43"/>
      <c r="U93" s="43"/>
      <c r="V93" s="43"/>
      <c r="W93" s="43"/>
      <c r="X93" s="43"/>
      <c r="Y93" s="43"/>
    </row>
    <row r="94" ht="13.2" spans="1:25">
      <c r="A94" s="42">
        <v>93</v>
      </c>
      <c r="B94" s="43" t="s">
        <v>444</v>
      </c>
      <c r="C94" s="43"/>
      <c r="D94" s="43"/>
      <c r="E94" s="43"/>
      <c r="F94" s="43"/>
      <c r="G94" s="43"/>
      <c r="H94" s="43"/>
      <c r="I94" s="43"/>
      <c r="J94" s="43"/>
      <c r="K94" s="43"/>
      <c r="L94" s="43"/>
      <c r="M94" s="43"/>
      <c r="N94" s="43"/>
      <c r="O94" s="43"/>
      <c r="P94" s="43"/>
      <c r="Q94" s="43"/>
      <c r="R94" s="43"/>
      <c r="S94" s="43"/>
      <c r="T94" s="43"/>
      <c r="U94" s="43"/>
      <c r="V94" s="43"/>
      <c r="W94" s="43"/>
      <c r="X94" s="43"/>
      <c r="Y94" s="43"/>
    </row>
    <row r="95" ht="13.2" spans="1:25">
      <c r="A95" s="42">
        <v>94</v>
      </c>
      <c r="B95" s="43" t="s">
        <v>445</v>
      </c>
      <c r="C95" s="43"/>
      <c r="D95" s="43"/>
      <c r="E95" s="43"/>
      <c r="F95" s="43"/>
      <c r="G95" s="43"/>
      <c r="H95" s="43"/>
      <c r="I95" s="43"/>
      <c r="J95" s="43"/>
      <c r="K95" s="43"/>
      <c r="L95" s="43"/>
      <c r="M95" s="43"/>
      <c r="N95" s="43"/>
      <c r="O95" s="43"/>
      <c r="P95" s="43"/>
      <c r="Q95" s="43"/>
      <c r="R95" s="43"/>
      <c r="S95" s="43"/>
      <c r="T95" s="43"/>
      <c r="U95" s="43"/>
      <c r="V95" s="43"/>
      <c r="W95" s="43"/>
      <c r="X95" s="43"/>
      <c r="Y95" s="43"/>
    </row>
    <row r="96" ht="13.2" spans="1:25">
      <c r="A96" s="42">
        <v>95</v>
      </c>
      <c r="B96" s="43" t="s">
        <v>446</v>
      </c>
      <c r="C96" s="43"/>
      <c r="D96" s="43"/>
      <c r="E96" s="43"/>
      <c r="F96" s="43"/>
      <c r="G96" s="43"/>
      <c r="H96" s="43"/>
      <c r="I96" s="43"/>
      <c r="J96" s="43"/>
      <c r="K96" s="43"/>
      <c r="L96" s="43"/>
      <c r="M96" s="43"/>
      <c r="N96" s="43"/>
      <c r="O96" s="43"/>
      <c r="P96" s="43"/>
      <c r="Q96" s="43"/>
      <c r="R96" s="43"/>
      <c r="S96" s="43"/>
      <c r="T96" s="43"/>
      <c r="U96" s="43"/>
      <c r="V96" s="43"/>
      <c r="W96" s="43"/>
      <c r="X96" s="43"/>
      <c r="Y96" s="43"/>
    </row>
    <row r="97" ht="13.2" spans="1:25">
      <c r="A97" s="42">
        <v>96</v>
      </c>
      <c r="B97" s="43" t="s">
        <v>447</v>
      </c>
      <c r="C97" s="43"/>
      <c r="D97" s="43"/>
      <c r="E97" s="43"/>
      <c r="F97" s="43"/>
      <c r="G97" s="43"/>
      <c r="H97" s="43"/>
      <c r="I97" s="43"/>
      <c r="J97" s="43"/>
      <c r="K97" s="43"/>
      <c r="L97" s="43"/>
      <c r="M97" s="43"/>
      <c r="N97" s="43"/>
      <c r="O97" s="43"/>
      <c r="P97" s="43"/>
      <c r="Q97" s="43"/>
      <c r="R97" s="43"/>
      <c r="S97" s="43"/>
      <c r="T97" s="43"/>
      <c r="U97" s="43"/>
      <c r="V97" s="43"/>
      <c r="W97" s="43"/>
      <c r="X97" s="43"/>
      <c r="Y97" s="43"/>
    </row>
    <row r="98" ht="13.2" spans="1:25">
      <c r="A98" s="42">
        <v>97</v>
      </c>
      <c r="B98" s="43" t="s">
        <v>448</v>
      </c>
      <c r="C98" s="43"/>
      <c r="D98" s="43"/>
      <c r="E98" s="43"/>
      <c r="F98" s="43"/>
      <c r="G98" s="43"/>
      <c r="H98" s="43"/>
      <c r="I98" s="43"/>
      <c r="J98" s="43"/>
      <c r="K98" s="43"/>
      <c r="L98" s="43"/>
      <c r="M98" s="43"/>
      <c r="N98" s="43"/>
      <c r="O98" s="43"/>
      <c r="P98" s="43"/>
      <c r="Q98" s="43"/>
      <c r="R98" s="43"/>
      <c r="S98" s="43"/>
      <c r="T98" s="43"/>
      <c r="U98" s="43"/>
      <c r="V98" s="43"/>
      <c r="W98" s="43"/>
      <c r="X98" s="43"/>
      <c r="Y98" s="43"/>
    </row>
    <row r="99" ht="13.2" spans="1:25">
      <c r="A99" s="42">
        <v>98</v>
      </c>
      <c r="B99" s="43" t="s">
        <v>449</v>
      </c>
      <c r="C99" s="43"/>
      <c r="D99" s="43"/>
      <c r="E99" s="43"/>
      <c r="F99" s="43"/>
      <c r="G99" s="43"/>
      <c r="H99" s="43"/>
      <c r="I99" s="43"/>
      <c r="J99" s="43"/>
      <c r="K99" s="43"/>
      <c r="L99" s="43"/>
      <c r="M99" s="43"/>
      <c r="N99" s="43"/>
      <c r="O99" s="43"/>
      <c r="P99" s="43"/>
      <c r="Q99" s="43"/>
      <c r="R99" s="43"/>
      <c r="S99" s="43"/>
      <c r="T99" s="43"/>
      <c r="U99" s="43"/>
      <c r="V99" s="43"/>
      <c r="W99" s="43"/>
      <c r="X99" s="43"/>
      <c r="Y99" s="43"/>
    </row>
    <row r="100" ht="13.2" spans="1:25">
      <c r="A100" s="42">
        <v>99</v>
      </c>
      <c r="B100" s="43" t="s">
        <v>450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row>
    <row r="101" ht="13.2" spans="1:25">
      <c r="A101" s="42">
        <v>100</v>
      </c>
      <c r="B101" s="43" t="s">
        <v>451</v>
      </c>
      <c r="C101" s="43"/>
      <c r="D101" s="43"/>
      <c r="E101" s="43"/>
      <c r="F101" s="43"/>
      <c r="G101" s="43"/>
      <c r="H101" s="43"/>
      <c r="I101" s="43"/>
      <c r="J101" s="43"/>
      <c r="K101" s="43"/>
      <c r="L101" s="43"/>
      <c r="M101" s="43"/>
      <c r="N101" s="43"/>
      <c r="O101" s="43"/>
      <c r="P101" s="43"/>
      <c r="Q101" s="43"/>
      <c r="R101" s="43"/>
      <c r="S101" s="43"/>
      <c r="T101" s="43"/>
      <c r="U101" s="43"/>
      <c r="V101" s="43"/>
      <c r="W101" s="43"/>
      <c r="X101" s="43"/>
      <c r="Y101" s="43"/>
    </row>
    <row r="102" ht="13.2" spans="1:25">
      <c r="A102" s="42">
        <v>101</v>
      </c>
      <c r="B102" s="43" t="s">
        <v>452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row>
    <row r="103" ht="13.2" spans="1:25">
      <c r="A103" s="42">
        <v>102</v>
      </c>
      <c r="B103" s="43" t="s">
        <v>453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row>
    <row r="104" ht="13.2" spans="1:25">
      <c r="A104" s="42">
        <v>103</v>
      </c>
      <c r="B104" s="43" t="s">
        <v>454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row>
    <row r="105" ht="13.2" spans="1:25">
      <c r="A105" s="42">
        <v>104</v>
      </c>
      <c r="B105" s="43" t="s">
        <v>455</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row>
    <row r="106" ht="13.2" spans="1:25">
      <c r="A106" s="42">
        <v>105</v>
      </c>
      <c r="B106" s="43" t="s">
        <v>75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row>
    <row r="107" ht="13.2" spans="1:25">
      <c r="A107" s="42">
        <v>106</v>
      </c>
      <c r="B107" s="43" t="s">
        <v>456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row>
    <row r="108" ht="13.2" spans="1:25">
      <c r="A108" s="42">
        <v>107</v>
      </c>
      <c r="B108" s="43" t="s">
        <v>457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row>
    <row r="109" ht="13.2" spans="1:25">
      <c r="A109" s="42">
        <v>108</v>
      </c>
      <c r="B109" s="43" t="s">
        <v>458</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row>
    <row r="110" ht="13.2" spans="1:25">
      <c r="A110" s="42">
        <v>109</v>
      </c>
      <c r="B110" s="43" t="s">
        <v>459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row>
    <row r="111" ht="13.2" spans="1:25">
      <c r="A111" s="42">
        <v>110</v>
      </c>
      <c r="B111" s="43" t="s">
        <v>460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row>
    <row r="112" ht="13.2" spans="1:25">
      <c r="A112" s="42">
        <v>111</v>
      </c>
      <c r="B112" s="43" t="s">
        <v>461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row>
    <row r="113" ht="13.2" spans="1:25">
      <c r="A113" s="42">
        <v>112</v>
      </c>
      <c r="B113" s="43" t="s">
        <v>462</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row>
    <row r="114" ht="13.2" spans="1:25">
      <c r="A114" s="42">
        <v>113</v>
      </c>
      <c r="B114" s="43" t="s">
        <v>463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row>
    <row r="115" ht="13.2" spans="1:25">
      <c r="A115" s="42">
        <v>114</v>
      </c>
      <c r="B115" s="43" t="s">
        <v>464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row>
    <row r="116" ht="13.2" spans="1:25">
      <c r="A116" s="42">
        <v>115</v>
      </c>
      <c r="B116" s="43" t="s">
        <v>465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row>
    <row r="117" ht="13.2" spans="1:25">
      <c r="A117" s="42">
        <v>116</v>
      </c>
      <c r="B117" s="43" t="s">
        <v>466</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row>
    <row r="118" ht="13.2" spans="1:25">
      <c r="A118" s="42">
        <v>117</v>
      </c>
      <c r="B118" s="43" t="s">
        <v>82</v>
      </c>
      <c r="C118" s="43"/>
      <c r="D118" s="43"/>
      <c r="E118" s="43"/>
      <c r="F118" s="43"/>
      <c r="G118" s="43"/>
      <c r="H118" s="43"/>
      <c r="I118" s="43"/>
      <c r="J118" s="43"/>
      <c r="K118" s="43"/>
      <c r="L118" s="43"/>
      <c r="M118" s="43"/>
      <c r="N118" s="43"/>
      <c r="O118" s="43"/>
      <c r="P118" s="43"/>
      <c r="Q118" s="43"/>
      <c r="R118" s="43"/>
      <c r="S118" s="43"/>
      <c r="T118" s="43"/>
      <c r="U118" s="43"/>
      <c r="V118" s="43"/>
      <c r="W118" s="43"/>
      <c r="X118" s="43"/>
      <c r="Y118" s="43"/>
    </row>
    <row r="119" ht="13.2" spans="1:25">
      <c r="A119" s="42">
        <v>118</v>
      </c>
      <c r="B119" s="43" t="s">
        <v>467</v>
      </c>
      <c r="C119" s="43"/>
      <c r="D119" s="43"/>
      <c r="E119" s="43"/>
      <c r="F119" s="43"/>
      <c r="G119" s="43"/>
      <c r="H119" s="43"/>
      <c r="I119" s="43"/>
      <c r="J119" s="43"/>
      <c r="K119" s="43"/>
      <c r="L119" s="43"/>
      <c r="M119" s="43"/>
      <c r="N119" s="43"/>
      <c r="O119" s="43"/>
      <c r="P119" s="43"/>
      <c r="Q119" s="43"/>
      <c r="R119" s="43"/>
      <c r="S119" s="43"/>
      <c r="T119" s="43"/>
      <c r="U119" s="43"/>
      <c r="V119" s="43"/>
      <c r="W119" s="43"/>
      <c r="X119" s="43"/>
      <c r="Y119" s="43"/>
    </row>
    <row r="120" ht="13.2" spans="1:25">
      <c r="A120" s="42">
        <v>119</v>
      </c>
      <c r="B120" s="43" t="s">
        <v>468</v>
      </c>
      <c r="C120" s="43"/>
      <c r="D120" s="43"/>
      <c r="E120" s="43"/>
      <c r="F120" s="43"/>
      <c r="G120" s="43"/>
      <c r="H120" s="43"/>
      <c r="I120" s="43"/>
      <c r="J120" s="43"/>
      <c r="K120" s="43"/>
      <c r="L120" s="43"/>
      <c r="M120" s="43"/>
      <c r="N120" s="43"/>
      <c r="O120" s="43"/>
      <c r="P120" s="43"/>
      <c r="Q120" s="43"/>
      <c r="R120" s="43"/>
      <c r="S120" s="43"/>
      <c r="T120" s="43"/>
      <c r="U120" s="43"/>
      <c r="V120" s="43"/>
      <c r="W120" s="43"/>
      <c r="X120" s="43"/>
      <c r="Y120" s="43"/>
    </row>
    <row r="121" ht="13.2" spans="1:25">
      <c r="A121" s="42">
        <v>120</v>
      </c>
      <c r="B121" s="43" t="s">
        <v>469</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row>
    <row r="122" ht="13.2" spans="1:25">
      <c r="A122" s="42">
        <v>121</v>
      </c>
      <c r="B122" s="43" t="s">
        <v>470</v>
      </c>
      <c r="C122" s="43"/>
      <c r="D122" s="43"/>
      <c r="E122" s="43"/>
      <c r="F122" s="43"/>
      <c r="G122" s="43"/>
      <c r="H122" s="43"/>
      <c r="I122" s="43"/>
      <c r="J122" s="43"/>
      <c r="K122" s="43"/>
      <c r="L122" s="43"/>
      <c r="M122" s="43"/>
      <c r="N122" s="43"/>
      <c r="O122" s="43"/>
      <c r="P122" s="43"/>
      <c r="Q122" s="43"/>
      <c r="R122" s="43"/>
      <c r="S122" s="43"/>
      <c r="T122" s="43"/>
      <c r="U122" s="43"/>
      <c r="V122" s="43"/>
      <c r="W122" s="43"/>
      <c r="X122" s="43"/>
      <c r="Y122" s="43"/>
    </row>
    <row r="123" ht="13.2" spans="1:25">
      <c r="A123" s="42">
        <v>122</v>
      </c>
      <c r="B123" s="43" t="s">
        <v>471</v>
      </c>
      <c r="C123" s="43"/>
      <c r="D123" s="43"/>
      <c r="E123" s="43"/>
      <c r="F123" s="43"/>
      <c r="G123" s="43"/>
      <c r="H123" s="43"/>
      <c r="I123" s="43"/>
      <c r="J123" s="43"/>
      <c r="K123" s="43"/>
      <c r="L123" s="43"/>
      <c r="M123" s="43"/>
      <c r="N123" s="43"/>
      <c r="O123" s="43"/>
      <c r="P123" s="43"/>
      <c r="Q123" s="43"/>
      <c r="R123" s="43"/>
      <c r="S123" s="43"/>
      <c r="T123" s="43"/>
      <c r="U123" s="43"/>
      <c r="V123" s="43"/>
      <c r="W123" s="43"/>
      <c r="X123" s="43"/>
      <c r="Y123" s="43"/>
    </row>
    <row r="124" ht="13.2" spans="1:25">
      <c r="A124" s="42">
        <v>123</v>
      </c>
      <c r="B124" s="43" t="s">
        <v>472</v>
      </c>
      <c r="C124" s="43"/>
      <c r="D124" s="43"/>
      <c r="E124" s="43"/>
      <c r="F124" s="43"/>
      <c r="G124" s="43"/>
      <c r="H124" s="43"/>
      <c r="I124" s="43"/>
      <c r="J124" s="43"/>
      <c r="K124" s="43"/>
      <c r="L124" s="43"/>
      <c r="M124" s="43"/>
      <c r="N124" s="43"/>
      <c r="O124" s="43"/>
      <c r="P124" s="43"/>
      <c r="Q124" s="43"/>
      <c r="R124" s="43"/>
      <c r="S124" s="43"/>
      <c r="T124" s="43"/>
      <c r="U124" s="43"/>
      <c r="V124" s="43"/>
      <c r="W124" s="43"/>
      <c r="X124" s="43"/>
      <c r="Y124" s="43"/>
    </row>
    <row r="125" ht="13.2" spans="1:25">
      <c r="A125" s="42">
        <v>124</v>
      </c>
      <c r="B125" s="43" t="s">
        <v>473</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row>
    <row r="126" ht="13.2" spans="1:25">
      <c r="A126" s="42">
        <v>125</v>
      </c>
      <c r="B126" s="43" t="s">
        <v>474</v>
      </c>
      <c r="C126" s="43"/>
      <c r="D126" s="43"/>
      <c r="E126" s="43"/>
      <c r="F126" s="43"/>
      <c r="G126" s="43"/>
      <c r="H126" s="43"/>
      <c r="I126" s="43"/>
      <c r="J126" s="43"/>
      <c r="K126" s="43"/>
      <c r="L126" s="43"/>
      <c r="M126" s="43"/>
      <c r="N126" s="43"/>
      <c r="O126" s="43"/>
      <c r="P126" s="43"/>
      <c r="Q126" s="43"/>
      <c r="R126" s="43"/>
      <c r="S126" s="43"/>
      <c r="T126" s="43"/>
      <c r="U126" s="43"/>
      <c r="V126" s="43"/>
      <c r="W126" s="43"/>
      <c r="X126" s="43"/>
      <c r="Y126" s="43"/>
    </row>
    <row r="127" ht="13.2" spans="1:25">
      <c r="A127" s="42">
        <v>126</v>
      </c>
      <c r="B127" s="43" t="s">
        <v>475</v>
      </c>
      <c r="C127" s="43"/>
      <c r="D127" s="43"/>
      <c r="E127" s="43"/>
      <c r="F127" s="43"/>
      <c r="G127" s="43"/>
      <c r="H127" s="43"/>
      <c r="I127" s="43"/>
      <c r="J127" s="43"/>
      <c r="K127" s="43"/>
      <c r="L127" s="43"/>
      <c r="M127" s="43"/>
      <c r="N127" s="43"/>
      <c r="O127" s="43"/>
      <c r="P127" s="43"/>
      <c r="Q127" s="43"/>
      <c r="R127" s="43"/>
      <c r="S127" s="43"/>
      <c r="T127" s="43"/>
      <c r="U127" s="43"/>
      <c r="V127" s="43"/>
      <c r="W127" s="43"/>
      <c r="X127" s="43"/>
      <c r="Y127" s="43"/>
    </row>
    <row r="128" ht="13.2" spans="1:25">
      <c r="A128" s="42">
        <v>127</v>
      </c>
      <c r="B128" s="43" t="s">
        <v>476</v>
      </c>
      <c r="C128" s="43"/>
      <c r="D128" s="43"/>
      <c r="E128" s="43"/>
      <c r="F128" s="43"/>
      <c r="G128" s="43"/>
      <c r="H128" s="43"/>
      <c r="I128" s="43"/>
      <c r="J128" s="43"/>
      <c r="K128" s="43"/>
      <c r="L128" s="43"/>
      <c r="M128" s="43"/>
      <c r="N128" s="43"/>
      <c r="O128" s="43"/>
      <c r="P128" s="43"/>
      <c r="Q128" s="43"/>
      <c r="R128" s="43"/>
      <c r="S128" s="43"/>
      <c r="T128" s="43"/>
      <c r="U128" s="43"/>
      <c r="V128" s="43"/>
      <c r="W128" s="43"/>
      <c r="X128" s="43"/>
      <c r="Y128" s="43"/>
    </row>
    <row r="129" ht="13.2" spans="1:25">
      <c r="A129" s="42">
        <v>128</v>
      </c>
      <c r="B129" s="43" t="s">
        <v>477</v>
      </c>
      <c r="C129" s="43"/>
      <c r="D129" s="43"/>
      <c r="E129" s="43"/>
      <c r="F129" s="43"/>
      <c r="G129" s="43"/>
      <c r="H129" s="43"/>
      <c r="I129" s="43"/>
      <c r="J129" s="43"/>
      <c r="K129" s="43"/>
      <c r="L129" s="43"/>
      <c r="M129" s="43"/>
      <c r="N129" s="43"/>
      <c r="O129" s="43"/>
      <c r="P129" s="43"/>
      <c r="Q129" s="43"/>
      <c r="R129" s="43"/>
      <c r="S129" s="43"/>
      <c r="T129" s="43"/>
      <c r="U129" s="43"/>
      <c r="V129" s="43"/>
      <c r="W129" s="43"/>
      <c r="X129" s="43"/>
      <c r="Y129" s="43"/>
    </row>
    <row r="130" ht="13.2" spans="1:25">
      <c r="A130" s="42">
        <v>129</v>
      </c>
      <c r="B130" s="43" t="s">
        <v>478</v>
      </c>
      <c r="C130" s="43"/>
      <c r="D130" s="43"/>
      <c r="E130" s="43"/>
      <c r="F130" s="43"/>
      <c r="G130" s="43"/>
      <c r="H130" s="43"/>
      <c r="I130" s="43"/>
      <c r="J130" s="43"/>
      <c r="K130" s="43"/>
      <c r="L130" s="43"/>
      <c r="M130" s="43"/>
      <c r="N130" s="43"/>
      <c r="O130" s="43"/>
      <c r="P130" s="43"/>
      <c r="Q130" s="43"/>
      <c r="R130" s="43"/>
      <c r="S130" s="43"/>
      <c r="T130" s="43"/>
      <c r="U130" s="43"/>
      <c r="V130" s="43"/>
      <c r="W130" s="43"/>
      <c r="X130" s="43"/>
      <c r="Y130" s="43"/>
    </row>
    <row r="131" ht="13.2" spans="1:25">
      <c r="A131" s="42">
        <v>130</v>
      </c>
      <c r="B131" s="43" t="s">
        <v>479</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row>
    <row r="132" ht="13.2" spans="1:25">
      <c r="A132" s="42">
        <v>131</v>
      </c>
      <c r="B132" s="43" t="s">
        <v>480</v>
      </c>
      <c r="C132" s="43"/>
      <c r="D132" s="43"/>
      <c r="E132" s="43"/>
      <c r="F132" s="43"/>
      <c r="G132" s="43"/>
      <c r="H132" s="43"/>
      <c r="I132" s="43"/>
      <c r="J132" s="43"/>
      <c r="K132" s="43"/>
      <c r="L132" s="43"/>
      <c r="M132" s="43"/>
      <c r="N132" s="43"/>
      <c r="O132" s="43"/>
      <c r="P132" s="43"/>
      <c r="Q132" s="43"/>
      <c r="R132" s="43"/>
      <c r="S132" s="43"/>
      <c r="T132" s="43"/>
      <c r="U132" s="43"/>
      <c r="V132" s="43"/>
      <c r="W132" s="43"/>
      <c r="X132" s="43"/>
      <c r="Y132" s="43"/>
    </row>
    <row r="133" ht="13.2" spans="1:25">
      <c r="A133" s="42">
        <v>132</v>
      </c>
      <c r="B133" s="43" t="s">
        <v>481</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row>
    <row r="134" ht="13.2" spans="1:25">
      <c r="A134" s="42">
        <v>133</v>
      </c>
      <c r="B134" s="43" t="s">
        <v>482</v>
      </c>
      <c r="C134" s="43"/>
      <c r="D134" s="43"/>
      <c r="E134" s="43"/>
      <c r="F134" s="43"/>
      <c r="G134" s="43"/>
      <c r="H134" s="43"/>
      <c r="I134" s="43"/>
      <c r="J134" s="43"/>
      <c r="K134" s="43"/>
      <c r="L134" s="43"/>
      <c r="M134" s="43"/>
      <c r="N134" s="43"/>
      <c r="O134" s="43"/>
      <c r="P134" s="43"/>
      <c r="Q134" s="43"/>
      <c r="R134" s="43"/>
      <c r="S134" s="43"/>
      <c r="T134" s="43"/>
      <c r="U134" s="43"/>
      <c r="V134" s="43"/>
      <c r="W134" s="43"/>
      <c r="X134" s="43"/>
      <c r="Y134" s="43"/>
    </row>
    <row r="135" ht="13.2" spans="1:25">
      <c r="A135" s="42">
        <v>134</v>
      </c>
      <c r="B135" s="43" t="s">
        <v>483</v>
      </c>
      <c r="C135" s="43"/>
      <c r="D135" s="43"/>
      <c r="E135" s="43"/>
      <c r="F135" s="43"/>
      <c r="G135" s="43"/>
      <c r="H135" s="43"/>
      <c r="I135" s="43"/>
      <c r="J135" s="43"/>
      <c r="K135" s="43"/>
      <c r="L135" s="43"/>
      <c r="M135" s="43"/>
      <c r="N135" s="43"/>
      <c r="O135" s="43"/>
      <c r="P135" s="43"/>
      <c r="Q135" s="43"/>
      <c r="R135" s="43"/>
      <c r="S135" s="43"/>
      <c r="T135" s="43"/>
      <c r="U135" s="43"/>
      <c r="V135" s="43"/>
      <c r="W135" s="43"/>
      <c r="X135" s="43"/>
      <c r="Y135" s="43"/>
    </row>
    <row r="136" ht="13.2" spans="1:25">
      <c r="A136" s="42">
        <v>135</v>
      </c>
      <c r="B136" s="43" t="s">
        <v>484</v>
      </c>
      <c r="C136" s="43"/>
      <c r="D136" s="43"/>
      <c r="E136" s="43"/>
      <c r="F136" s="43"/>
      <c r="G136" s="43"/>
      <c r="H136" s="43"/>
      <c r="I136" s="43"/>
      <c r="J136" s="43"/>
      <c r="K136" s="43"/>
      <c r="L136" s="43"/>
      <c r="M136" s="43"/>
      <c r="N136" s="43"/>
      <c r="O136" s="43"/>
      <c r="P136" s="43"/>
      <c r="Q136" s="43"/>
      <c r="R136" s="43"/>
      <c r="S136" s="43"/>
      <c r="T136" s="43"/>
      <c r="U136" s="43"/>
      <c r="V136" s="43"/>
      <c r="W136" s="43"/>
      <c r="X136" s="43"/>
      <c r="Y136" s="43"/>
    </row>
    <row r="137" ht="13.2" spans="1:25">
      <c r="A137" s="42">
        <v>136</v>
      </c>
      <c r="B137" s="43" t="s">
        <v>485</v>
      </c>
      <c r="C137" s="43"/>
      <c r="D137" s="43"/>
      <c r="E137" s="43"/>
      <c r="F137" s="43"/>
      <c r="G137" s="43"/>
      <c r="H137" s="43"/>
      <c r="I137" s="43"/>
      <c r="J137" s="43"/>
      <c r="K137" s="43"/>
      <c r="L137" s="43"/>
      <c r="M137" s="43"/>
      <c r="N137" s="43"/>
      <c r="O137" s="43"/>
      <c r="P137" s="43"/>
      <c r="Q137" s="43"/>
      <c r="R137" s="43"/>
      <c r="S137" s="43"/>
      <c r="T137" s="43"/>
      <c r="U137" s="43"/>
      <c r="V137" s="43"/>
      <c r="W137" s="43"/>
      <c r="X137" s="43"/>
      <c r="Y137" s="43"/>
    </row>
    <row r="138" ht="13.2" spans="1:25">
      <c r="A138" s="42">
        <v>137</v>
      </c>
      <c r="B138" s="43" t="s">
        <v>486</v>
      </c>
      <c r="C138" s="43"/>
      <c r="D138" s="43"/>
      <c r="E138" s="43"/>
      <c r="F138" s="43"/>
      <c r="G138" s="43"/>
      <c r="H138" s="43"/>
      <c r="I138" s="43"/>
      <c r="J138" s="43"/>
      <c r="K138" s="43"/>
      <c r="L138" s="43"/>
      <c r="M138" s="43"/>
      <c r="N138" s="43"/>
      <c r="O138" s="43"/>
      <c r="P138" s="43"/>
      <c r="Q138" s="43"/>
      <c r="R138" s="43"/>
      <c r="S138" s="43"/>
      <c r="T138" s="43"/>
      <c r="U138" s="43"/>
      <c r="V138" s="43"/>
      <c r="W138" s="43"/>
      <c r="X138" s="43"/>
      <c r="Y138" s="43"/>
    </row>
    <row r="139" ht="13.2" spans="1:25">
      <c r="A139" s="42">
        <v>138</v>
      </c>
      <c r="B139" s="43" t="s">
        <v>487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row>
    <row r="140" ht="13.2" spans="1:25">
      <c r="A140" s="42">
        <v>139</v>
      </c>
      <c r="B140" s="43" t="s">
        <v>488</v>
      </c>
      <c r="C140" s="43"/>
      <c r="D140" s="43"/>
      <c r="E140" s="43"/>
      <c r="F140" s="43"/>
      <c r="G140" s="43"/>
      <c r="H140" s="43"/>
      <c r="I140" s="43"/>
      <c r="J140" s="43"/>
      <c r="K140" s="43"/>
      <c r="L140" s="43"/>
      <c r="M140" s="43"/>
      <c r="N140" s="43"/>
      <c r="O140" s="43"/>
      <c r="P140" s="43"/>
      <c r="Q140" s="43"/>
      <c r="R140" s="43"/>
      <c r="S140" s="43"/>
      <c r="T140" s="43"/>
      <c r="U140" s="43"/>
      <c r="V140" s="43"/>
      <c r="W140" s="43"/>
      <c r="X140" s="43"/>
      <c r="Y140" s="43"/>
    </row>
    <row r="141" ht="13.2" spans="1:25">
      <c r="A141" s="42">
        <v>140</v>
      </c>
      <c r="B141" s="43" t="s">
        <v>489</v>
      </c>
      <c r="C141" s="43"/>
      <c r="D141" s="43"/>
      <c r="E141" s="43"/>
      <c r="F141" s="43"/>
      <c r="G141" s="43"/>
      <c r="H141" s="43"/>
      <c r="I141" s="43"/>
      <c r="J141" s="43"/>
      <c r="K141" s="43"/>
      <c r="L141" s="43"/>
      <c r="M141" s="43"/>
      <c r="N141" s="43"/>
      <c r="O141" s="43"/>
      <c r="P141" s="43"/>
      <c r="Q141" s="43"/>
      <c r="R141" s="43"/>
      <c r="S141" s="43"/>
      <c r="T141" s="43"/>
      <c r="U141" s="43"/>
      <c r="V141" s="43"/>
      <c r="W141" s="43"/>
      <c r="X141" s="43"/>
      <c r="Y141" s="43"/>
    </row>
    <row r="142" ht="13.2" spans="1:25">
      <c r="A142" s="42">
        <v>141</v>
      </c>
      <c r="B142" s="43" t="s">
        <v>490</v>
      </c>
      <c r="C142" s="43"/>
      <c r="D142" s="43"/>
      <c r="E142" s="43"/>
      <c r="F142" s="43"/>
      <c r="G142" s="43"/>
      <c r="H142" s="43"/>
      <c r="I142" s="43"/>
      <c r="J142" s="43"/>
      <c r="K142" s="43"/>
      <c r="L142" s="43"/>
      <c r="M142" s="43"/>
      <c r="N142" s="43"/>
      <c r="O142" s="43"/>
      <c r="P142" s="43"/>
      <c r="Q142" s="43"/>
      <c r="R142" s="43"/>
      <c r="S142" s="43"/>
      <c r="T142" s="43"/>
      <c r="U142" s="43"/>
      <c r="V142" s="43"/>
      <c r="W142" s="43"/>
      <c r="X142" s="43"/>
      <c r="Y142" s="43"/>
    </row>
    <row r="143" ht="13.2" spans="1:25">
      <c r="A143" s="42">
        <v>142</v>
      </c>
      <c r="B143" s="43" t="s">
        <v>491</v>
      </c>
      <c r="C143" s="43"/>
      <c r="D143" s="43"/>
      <c r="E143" s="43"/>
      <c r="F143" s="43"/>
      <c r="G143" s="43"/>
      <c r="H143" s="43"/>
      <c r="I143" s="43"/>
      <c r="J143" s="43"/>
      <c r="K143" s="43"/>
      <c r="L143" s="43"/>
      <c r="M143" s="43"/>
      <c r="N143" s="43"/>
      <c r="O143" s="43"/>
      <c r="P143" s="43"/>
      <c r="Q143" s="43"/>
      <c r="R143" s="43"/>
      <c r="S143" s="43"/>
      <c r="T143" s="43"/>
      <c r="U143" s="43"/>
      <c r="V143" s="43"/>
      <c r="W143" s="43"/>
      <c r="X143" s="43"/>
      <c r="Y143" s="43"/>
    </row>
    <row r="144" ht="13.2" spans="1:25">
      <c r="A144" s="42">
        <v>143</v>
      </c>
      <c r="B144" s="43" t="s">
        <v>492</v>
      </c>
      <c r="C144" s="43"/>
      <c r="D144" s="43"/>
      <c r="E144" s="43"/>
      <c r="F144" s="43"/>
      <c r="G144" s="43"/>
      <c r="H144" s="43"/>
      <c r="I144" s="43"/>
      <c r="J144" s="43"/>
      <c r="K144" s="43"/>
      <c r="L144" s="43"/>
      <c r="M144" s="43"/>
      <c r="N144" s="43"/>
      <c r="O144" s="43"/>
      <c r="P144" s="43"/>
      <c r="Q144" s="43"/>
      <c r="R144" s="43"/>
      <c r="S144" s="43"/>
      <c r="T144" s="43"/>
      <c r="U144" s="43"/>
      <c r="V144" s="43"/>
      <c r="W144" s="43"/>
      <c r="X144" s="43"/>
      <c r="Y144" s="43"/>
    </row>
    <row r="145" ht="13.2" spans="1:25">
      <c r="A145" s="42">
        <v>144</v>
      </c>
      <c r="B145" s="43" t="s">
        <v>493</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row>
    <row r="146" ht="13.2" spans="1:25">
      <c r="A146" s="42">
        <v>145</v>
      </c>
      <c r="B146" s="43" t="s">
        <v>494</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row>
    <row r="147" ht="13.2" spans="1:25">
      <c r="A147" s="42">
        <v>146</v>
      </c>
      <c r="B147" s="43" t="s">
        <v>495</v>
      </c>
      <c r="C147" s="43"/>
      <c r="D147" s="43"/>
      <c r="E147" s="43"/>
      <c r="F147" s="43"/>
      <c r="G147" s="43"/>
      <c r="H147" s="43"/>
      <c r="I147" s="43"/>
      <c r="J147" s="43"/>
      <c r="K147" s="43"/>
      <c r="L147" s="43"/>
      <c r="M147" s="43"/>
      <c r="N147" s="43"/>
      <c r="O147" s="43"/>
      <c r="P147" s="43"/>
      <c r="Q147" s="43"/>
      <c r="R147" s="43"/>
      <c r="S147" s="43"/>
      <c r="T147" s="43"/>
      <c r="U147" s="43"/>
      <c r="V147" s="43"/>
      <c r="W147" s="43"/>
      <c r="X147" s="43"/>
      <c r="Y147" s="43"/>
    </row>
    <row r="148" ht="13.2" spans="1:25">
      <c r="A148" s="42">
        <v>147</v>
      </c>
      <c r="B148" s="43" t="s">
        <v>496</v>
      </c>
      <c r="C148" s="43"/>
      <c r="D148" s="43"/>
      <c r="E148" s="43"/>
      <c r="F148" s="43"/>
      <c r="G148" s="43"/>
      <c r="H148" s="43"/>
      <c r="I148" s="43"/>
      <c r="J148" s="43"/>
      <c r="K148" s="43"/>
      <c r="L148" s="43"/>
      <c r="M148" s="43"/>
      <c r="N148" s="43"/>
      <c r="O148" s="43"/>
      <c r="P148" s="43"/>
      <c r="Q148" s="43"/>
      <c r="R148" s="43"/>
      <c r="S148" s="43"/>
      <c r="T148" s="43"/>
      <c r="U148" s="43"/>
      <c r="V148" s="43"/>
      <c r="W148" s="43"/>
      <c r="X148" s="43"/>
      <c r="Y148" s="43"/>
    </row>
    <row r="149" ht="13.2" spans="1:25">
      <c r="A149" s="42">
        <v>148</v>
      </c>
      <c r="B149" s="43" t="s">
        <v>497</v>
      </c>
      <c r="C149" s="43"/>
      <c r="D149" s="43"/>
      <c r="E149" s="43"/>
      <c r="F149" s="43"/>
      <c r="G149" s="43"/>
      <c r="H149" s="43"/>
      <c r="I149" s="43"/>
      <c r="J149" s="43"/>
      <c r="K149" s="43"/>
      <c r="L149" s="43"/>
      <c r="M149" s="43"/>
      <c r="N149" s="43"/>
      <c r="O149" s="43"/>
      <c r="P149" s="43"/>
      <c r="Q149" s="43"/>
      <c r="R149" s="43"/>
      <c r="S149" s="43"/>
      <c r="T149" s="43"/>
      <c r="U149" s="43"/>
      <c r="V149" s="43"/>
      <c r="W149" s="43"/>
      <c r="X149" s="43"/>
      <c r="Y149" s="43"/>
    </row>
    <row r="150" ht="13.2" spans="1:25">
      <c r="A150" s="42">
        <v>149</v>
      </c>
      <c r="B150" s="43" t="s">
        <v>498</v>
      </c>
      <c r="C150" s="43"/>
      <c r="D150" s="43"/>
      <c r="E150" s="43"/>
      <c r="F150" s="43"/>
      <c r="G150" s="43"/>
      <c r="H150" s="43"/>
      <c r="I150" s="43"/>
      <c r="J150" s="43"/>
      <c r="K150" s="43"/>
      <c r="L150" s="43"/>
      <c r="M150" s="43"/>
      <c r="N150" s="43"/>
      <c r="O150" s="43"/>
      <c r="P150" s="43"/>
      <c r="Q150" s="43"/>
      <c r="R150" s="43"/>
      <c r="S150" s="43"/>
      <c r="T150" s="43"/>
      <c r="U150" s="43"/>
      <c r="V150" s="43"/>
      <c r="W150" s="43"/>
      <c r="X150" s="43"/>
      <c r="Y150" s="43"/>
    </row>
    <row r="151" ht="13.2" spans="1:25">
      <c r="A151" s="42">
        <v>150</v>
      </c>
      <c r="B151" s="43" t="s">
        <v>499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row>
    <row r="152" ht="13.2" spans="1:25">
      <c r="A152" s="42">
        <v>151</v>
      </c>
      <c r="B152" s="43" t="s">
        <v>500</v>
      </c>
      <c r="C152" s="43"/>
      <c r="D152" s="43"/>
      <c r="E152" s="43"/>
      <c r="F152" s="43"/>
      <c r="G152" s="43"/>
      <c r="H152" s="43"/>
      <c r="I152" s="43"/>
      <c r="J152" s="43"/>
      <c r="K152" s="43"/>
      <c r="L152" s="43"/>
      <c r="M152" s="43"/>
      <c r="N152" s="43"/>
      <c r="O152" s="43"/>
      <c r="P152" s="43"/>
      <c r="Q152" s="43"/>
      <c r="R152" s="43"/>
      <c r="S152" s="43"/>
      <c r="T152" s="43"/>
      <c r="U152" s="43"/>
      <c r="V152" s="43"/>
      <c r="W152" s="43"/>
      <c r="X152" s="43"/>
      <c r="Y152" s="43"/>
    </row>
    <row r="153" ht="13.2" spans="1:25">
      <c r="A153" s="42">
        <v>152</v>
      </c>
      <c r="B153" s="43" t="s">
        <v>501</v>
      </c>
      <c r="C153" s="43"/>
      <c r="D153" s="43"/>
      <c r="E153" s="43"/>
      <c r="F153" s="43"/>
      <c r="G153" s="43"/>
      <c r="H153" s="43"/>
      <c r="I153" s="43"/>
      <c r="J153" s="43"/>
      <c r="K153" s="43"/>
      <c r="L153" s="43"/>
      <c r="M153" s="43"/>
      <c r="N153" s="43"/>
      <c r="O153" s="43"/>
      <c r="P153" s="43"/>
      <c r="Q153" s="43"/>
      <c r="R153" s="43"/>
      <c r="S153" s="43"/>
      <c r="T153" s="43"/>
      <c r="U153" s="43"/>
      <c r="V153" s="43"/>
      <c r="W153" s="43"/>
      <c r="X153" s="43"/>
      <c r="Y153" s="43"/>
    </row>
    <row r="154" ht="13.2" spans="1:25">
      <c r="A154" s="42">
        <v>153</v>
      </c>
      <c r="B154" s="43" t="s">
        <v>502</v>
      </c>
      <c r="C154" s="43"/>
      <c r="D154" s="43"/>
      <c r="E154" s="43"/>
      <c r="F154" s="43"/>
      <c r="G154" s="43"/>
      <c r="H154" s="43"/>
      <c r="I154" s="43"/>
      <c r="J154" s="43"/>
      <c r="K154" s="43"/>
      <c r="L154" s="43"/>
      <c r="M154" s="43"/>
      <c r="N154" s="43"/>
      <c r="O154" s="43"/>
      <c r="P154" s="43"/>
      <c r="Q154" s="43"/>
      <c r="R154" s="43"/>
      <c r="S154" s="43"/>
      <c r="T154" s="43"/>
      <c r="U154" s="43"/>
      <c r="V154" s="43"/>
      <c r="W154" s="43"/>
      <c r="X154" s="43"/>
      <c r="Y154" s="43"/>
    </row>
    <row r="155" ht="13.2" spans="1:25">
      <c r="A155" s="42">
        <v>154</v>
      </c>
      <c r="B155" s="43" t="s">
        <v>503</v>
      </c>
      <c r="C155" s="43"/>
      <c r="D155" s="43"/>
      <c r="E155" s="43"/>
      <c r="F155" s="43"/>
      <c r="G155" s="43"/>
      <c r="H155" s="43"/>
      <c r="I155" s="43"/>
      <c r="J155" s="43"/>
      <c r="K155" s="43"/>
      <c r="L155" s="43"/>
      <c r="M155" s="43"/>
      <c r="N155" s="43"/>
      <c r="O155" s="43"/>
      <c r="P155" s="43"/>
      <c r="Q155" s="43"/>
      <c r="R155" s="43"/>
      <c r="S155" s="43"/>
      <c r="T155" s="43"/>
      <c r="U155" s="43"/>
      <c r="V155" s="43"/>
      <c r="W155" s="43"/>
      <c r="X155" s="43"/>
      <c r="Y155" s="43"/>
    </row>
    <row r="156" ht="13.2" spans="1:25">
      <c r="A156" s="42">
        <v>155</v>
      </c>
      <c r="B156" s="43" t="s">
        <v>504</v>
      </c>
      <c r="C156" s="43"/>
      <c r="D156" s="43"/>
      <c r="E156" s="43"/>
      <c r="F156" s="43"/>
      <c r="G156" s="43"/>
      <c r="H156" s="43"/>
      <c r="I156" s="43"/>
      <c r="J156" s="43"/>
      <c r="K156" s="43"/>
      <c r="L156" s="43"/>
      <c r="M156" s="43"/>
      <c r="N156" s="43"/>
      <c r="O156" s="43"/>
      <c r="P156" s="43"/>
      <c r="Q156" s="43"/>
      <c r="R156" s="43"/>
      <c r="S156" s="43"/>
      <c r="T156" s="43"/>
      <c r="U156" s="43"/>
      <c r="V156" s="43"/>
      <c r="W156" s="43"/>
      <c r="X156" s="43"/>
      <c r="Y156" s="43"/>
    </row>
    <row r="157" ht="13.2" spans="1:25">
      <c r="A157" s="42">
        <v>156</v>
      </c>
      <c r="B157" s="43" t="s">
        <v>505</v>
      </c>
      <c r="C157" s="43"/>
      <c r="D157" s="43"/>
      <c r="E157" s="43"/>
      <c r="F157" s="43"/>
      <c r="G157" s="43"/>
      <c r="H157" s="43"/>
      <c r="I157" s="43"/>
      <c r="J157" s="43"/>
      <c r="K157" s="43"/>
      <c r="L157" s="43"/>
      <c r="M157" s="43"/>
      <c r="N157" s="43"/>
      <c r="O157" s="43"/>
      <c r="P157" s="43"/>
      <c r="Q157" s="43"/>
      <c r="R157" s="43"/>
      <c r="S157" s="43"/>
      <c r="T157" s="43"/>
      <c r="U157" s="43"/>
      <c r="V157" s="43"/>
      <c r="W157" s="43"/>
      <c r="X157" s="43"/>
      <c r="Y157" s="43"/>
    </row>
    <row r="158" ht="13.2" spans="1:25">
      <c r="A158" s="42">
        <v>157</v>
      </c>
      <c r="B158" s="43" t="s">
        <v>506</v>
      </c>
      <c r="C158" s="43"/>
      <c r="D158" s="43"/>
      <c r="E158" s="43"/>
      <c r="F158" s="43"/>
      <c r="G158" s="43"/>
      <c r="H158" s="43"/>
      <c r="I158" s="43"/>
      <c r="J158" s="43"/>
      <c r="K158" s="43"/>
      <c r="L158" s="43"/>
      <c r="M158" s="43"/>
      <c r="N158" s="43"/>
      <c r="O158" s="43"/>
      <c r="P158" s="43"/>
      <c r="Q158" s="43"/>
      <c r="R158" s="43"/>
      <c r="S158" s="43"/>
      <c r="T158" s="43"/>
      <c r="U158" s="43"/>
      <c r="V158" s="43"/>
      <c r="W158" s="43"/>
      <c r="X158" s="43"/>
      <c r="Y158" s="43"/>
    </row>
    <row r="159" ht="13.2" spans="1:25">
      <c r="A159" s="42">
        <v>158</v>
      </c>
      <c r="B159" s="43" t="s">
        <v>507</v>
      </c>
      <c r="C159" s="43"/>
      <c r="D159" s="43"/>
      <c r="E159" s="43"/>
      <c r="F159" s="43"/>
      <c r="G159" s="43"/>
      <c r="H159" s="43"/>
      <c r="I159" s="43"/>
      <c r="J159" s="43"/>
      <c r="K159" s="43"/>
      <c r="L159" s="43"/>
      <c r="M159" s="43"/>
      <c r="N159" s="43"/>
      <c r="O159" s="43"/>
      <c r="P159" s="43"/>
      <c r="Q159" s="43"/>
      <c r="R159" s="43"/>
      <c r="S159" s="43"/>
      <c r="T159" s="43"/>
      <c r="U159" s="43"/>
      <c r="V159" s="43"/>
      <c r="W159" s="43"/>
      <c r="X159" s="43"/>
      <c r="Y159" s="43"/>
    </row>
    <row r="160" ht="13.2" spans="1:25">
      <c r="A160" s="42">
        <v>159</v>
      </c>
      <c r="B160" s="43" t="s">
        <v>508</v>
      </c>
      <c r="C160" s="43"/>
      <c r="D160" s="43"/>
      <c r="E160" s="43"/>
      <c r="F160" s="43"/>
      <c r="G160" s="43"/>
      <c r="H160" s="43"/>
      <c r="I160" s="43"/>
      <c r="J160" s="43"/>
      <c r="K160" s="43"/>
      <c r="L160" s="43"/>
      <c r="M160" s="43"/>
      <c r="N160" s="43"/>
      <c r="O160" s="43"/>
      <c r="P160" s="43"/>
      <c r="Q160" s="43"/>
      <c r="R160" s="43"/>
      <c r="S160" s="43"/>
      <c r="T160" s="43"/>
      <c r="U160" s="43"/>
      <c r="V160" s="43"/>
      <c r="W160" s="43"/>
      <c r="X160" s="43"/>
      <c r="Y160" s="43"/>
    </row>
    <row r="161" ht="13.2" spans="1:25">
      <c r="A161" s="42">
        <v>160</v>
      </c>
      <c r="B161" s="43" t="s">
        <v>509</v>
      </c>
      <c r="C161" s="43"/>
      <c r="D161" s="43"/>
      <c r="E161" s="43"/>
      <c r="F161" s="43"/>
      <c r="G161" s="43"/>
      <c r="H161" s="43"/>
      <c r="I161" s="43"/>
      <c r="J161" s="43"/>
      <c r="K161" s="43"/>
      <c r="L161" s="43"/>
      <c r="M161" s="43"/>
      <c r="N161" s="43"/>
      <c r="O161" s="43"/>
      <c r="P161" s="43"/>
      <c r="Q161" s="43"/>
      <c r="R161" s="43"/>
      <c r="S161" s="43"/>
      <c r="T161" s="43"/>
      <c r="U161" s="43"/>
      <c r="V161" s="43"/>
      <c r="W161" s="43"/>
      <c r="X161" s="43"/>
      <c r="Y161" s="43"/>
    </row>
    <row r="162" ht="13.2" spans="1:25">
      <c r="A162" s="42">
        <v>161</v>
      </c>
      <c r="B162" s="43" t="s">
        <v>510</v>
      </c>
      <c r="C162" s="43"/>
      <c r="D162" s="43"/>
      <c r="E162" s="43"/>
      <c r="F162" s="43"/>
      <c r="G162" s="43"/>
      <c r="H162" s="43"/>
      <c r="I162" s="43"/>
      <c r="J162" s="43"/>
      <c r="K162" s="43"/>
      <c r="L162" s="43"/>
      <c r="M162" s="43"/>
      <c r="N162" s="43"/>
      <c r="O162" s="43"/>
      <c r="P162" s="43"/>
      <c r="Q162" s="43"/>
      <c r="R162" s="43"/>
      <c r="S162" s="43"/>
      <c r="T162" s="43"/>
      <c r="U162" s="43"/>
      <c r="V162" s="43"/>
      <c r="W162" s="43"/>
      <c r="X162" s="43"/>
      <c r="Y162" s="43"/>
    </row>
    <row r="163" ht="13.2" spans="1:25">
      <c r="A163" s="42">
        <v>162</v>
      </c>
      <c r="B163" s="43" t="s">
        <v>511</v>
      </c>
      <c r="C163" s="43"/>
      <c r="D163" s="43"/>
      <c r="E163" s="43"/>
      <c r="F163" s="43"/>
      <c r="G163" s="43"/>
      <c r="H163" s="43"/>
      <c r="I163" s="43"/>
      <c r="J163" s="43"/>
      <c r="K163" s="43"/>
      <c r="L163" s="43"/>
      <c r="M163" s="43"/>
      <c r="N163" s="43"/>
      <c r="O163" s="43"/>
      <c r="P163" s="43"/>
      <c r="Q163" s="43"/>
      <c r="R163" s="43"/>
      <c r="S163" s="43"/>
      <c r="T163" s="43"/>
      <c r="U163" s="43"/>
      <c r="V163" s="43"/>
      <c r="W163" s="43"/>
      <c r="X163" s="43"/>
      <c r="Y163" s="43"/>
    </row>
    <row r="164" ht="13.2" spans="1:25">
      <c r="A164" s="42">
        <v>163</v>
      </c>
      <c r="B164" s="43" t="s">
        <v>512</v>
      </c>
      <c r="C164" s="43"/>
      <c r="D164" s="43"/>
      <c r="E164" s="43"/>
      <c r="F164" s="43"/>
      <c r="G164" s="43"/>
      <c r="H164" s="43"/>
      <c r="I164" s="43"/>
      <c r="J164" s="43"/>
      <c r="K164" s="43"/>
      <c r="L164" s="43"/>
      <c r="M164" s="43"/>
      <c r="N164" s="43"/>
      <c r="O164" s="43"/>
      <c r="P164" s="43"/>
      <c r="Q164" s="43"/>
      <c r="R164" s="43"/>
      <c r="S164" s="43"/>
      <c r="T164" s="43"/>
      <c r="U164" s="43"/>
      <c r="V164" s="43"/>
      <c r="W164" s="43"/>
      <c r="X164" s="43"/>
      <c r="Y164" s="43"/>
    </row>
    <row r="165" ht="13.2" spans="1:25">
      <c r="A165" s="42">
        <v>164</v>
      </c>
      <c r="B165" s="43" t="s">
        <v>513</v>
      </c>
      <c r="C165" s="43"/>
      <c r="D165" s="43"/>
      <c r="E165" s="43"/>
      <c r="F165" s="43"/>
      <c r="G165" s="43"/>
      <c r="H165" s="43"/>
      <c r="I165" s="43"/>
      <c r="J165" s="43"/>
      <c r="K165" s="43"/>
      <c r="L165" s="43"/>
      <c r="M165" s="43"/>
      <c r="N165" s="43"/>
      <c r="O165" s="43"/>
      <c r="P165" s="43"/>
      <c r="Q165" s="43"/>
      <c r="R165" s="43"/>
      <c r="S165" s="43"/>
      <c r="T165" s="43"/>
      <c r="U165" s="43"/>
      <c r="V165" s="43"/>
      <c r="W165" s="43"/>
      <c r="X165" s="43"/>
      <c r="Y165" s="43"/>
    </row>
    <row r="166" ht="13.2" spans="1:25">
      <c r="A166" s="42">
        <v>165</v>
      </c>
      <c r="B166" s="43" t="s">
        <v>514</v>
      </c>
      <c r="C166" s="43"/>
      <c r="D166" s="43"/>
      <c r="E166" s="43"/>
      <c r="F166" s="43"/>
      <c r="G166" s="43"/>
      <c r="H166" s="43"/>
      <c r="I166" s="43"/>
      <c r="J166" s="43"/>
      <c r="K166" s="43"/>
      <c r="L166" s="43"/>
      <c r="M166" s="43"/>
      <c r="N166" s="43"/>
      <c r="O166" s="43"/>
      <c r="P166" s="43"/>
      <c r="Q166" s="43"/>
      <c r="R166" s="43"/>
      <c r="S166" s="43"/>
      <c r="T166" s="43"/>
      <c r="U166" s="43"/>
      <c r="V166" s="43"/>
      <c r="W166" s="43"/>
      <c r="X166" s="43"/>
      <c r="Y166" s="43"/>
    </row>
    <row r="167" ht="13.2" spans="1:25">
      <c r="A167" s="42">
        <v>166</v>
      </c>
      <c r="B167" s="43" t="s">
        <v>515</v>
      </c>
      <c r="C167" s="43"/>
      <c r="D167" s="43"/>
      <c r="E167" s="43"/>
      <c r="F167" s="43"/>
      <c r="G167" s="43"/>
      <c r="H167" s="43"/>
      <c r="I167" s="43"/>
      <c r="J167" s="43"/>
      <c r="K167" s="43"/>
      <c r="L167" s="43"/>
      <c r="M167" s="43"/>
      <c r="N167" s="43"/>
      <c r="O167" s="43"/>
      <c r="P167" s="43"/>
      <c r="Q167" s="43"/>
      <c r="R167" s="43"/>
      <c r="S167" s="43"/>
      <c r="T167" s="43"/>
      <c r="U167" s="43"/>
      <c r="V167" s="43"/>
      <c r="W167" s="43"/>
      <c r="X167" s="43"/>
      <c r="Y167" s="43"/>
    </row>
    <row r="168" ht="13.2" spans="1:25">
      <c r="A168" s="42">
        <v>167</v>
      </c>
      <c r="B168" s="43" t="s">
        <v>516</v>
      </c>
      <c r="C168" s="43"/>
      <c r="D168" s="43"/>
      <c r="E168" s="43"/>
      <c r="F168" s="43"/>
      <c r="G168" s="43"/>
      <c r="H168" s="43"/>
      <c r="I168" s="43"/>
      <c r="J168" s="43"/>
      <c r="K168" s="43"/>
      <c r="L168" s="43"/>
      <c r="M168" s="43"/>
      <c r="N168" s="43"/>
      <c r="O168" s="43"/>
      <c r="P168" s="43"/>
      <c r="Q168" s="43"/>
      <c r="R168" s="43"/>
      <c r="S168" s="43"/>
      <c r="T168" s="43"/>
      <c r="U168" s="43"/>
      <c r="V168" s="43"/>
      <c r="W168" s="43"/>
      <c r="X168" s="43"/>
      <c r="Y168" s="43"/>
    </row>
    <row r="169" ht="13.2" spans="1:25">
      <c r="A169" s="42">
        <v>168</v>
      </c>
      <c r="B169" s="43" t="s">
        <v>517</v>
      </c>
      <c r="C169" s="43"/>
      <c r="D169" s="43"/>
      <c r="E169" s="43"/>
      <c r="F169" s="43"/>
      <c r="G169" s="43"/>
      <c r="H169" s="43"/>
      <c r="I169" s="43"/>
      <c r="J169" s="43"/>
      <c r="K169" s="43"/>
      <c r="L169" s="43"/>
      <c r="M169" s="43"/>
      <c r="N169" s="43"/>
      <c r="O169" s="43"/>
      <c r="P169" s="43"/>
      <c r="Q169" s="43"/>
      <c r="R169" s="43"/>
      <c r="S169" s="43"/>
      <c r="T169" s="43"/>
      <c r="U169" s="43"/>
      <c r="V169" s="43"/>
      <c r="W169" s="43"/>
      <c r="X169" s="43"/>
      <c r="Y169" s="43"/>
    </row>
    <row r="170" ht="13.2" spans="1:25">
      <c r="A170" s="42">
        <v>169</v>
      </c>
      <c r="B170" s="43" t="s">
        <v>518</v>
      </c>
      <c r="C170" s="43"/>
      <c r="D170" s="43"/>
      <c r="E170" s="43"/>
      <c r="F170" s="43"/>
      <c r="G170" s="43"/>
      <c r="H170" s="43"/>
      <c r="I170" s="43"/>
      <c r="J170" s="43"/>
      <c r="K170" s="43"/>
      <c r="L170" s="43"/>
      <c r="M170" s="43"/>
      <c r="N170" s="43"/>
      <c r="O170" s="43"/>
      <c r="P170" s="43"/>
      <c r="Q170" s="43"/>
      <c r="R170" s="43"/>
      <c r="S170" s="43"/>
      <c r="T170" s="43"/>
      <c r="U170" s="43"/>
      <c r="V170" s="43"/>
      <c r="W170" s="43"/>
      <c r="X170" s="43"/>
      <c r="Y170" s="43"/>
    </row>
    <row r="171" ht="13.2" spans="1:25">
      <c r="A171" s="42">
        <v>170</v>
      </c>
      <c r="B171" s="43" t="s">
        <v>519</v>
      </c>
      <c r="C171" s="43"/>
      <c r="D171" s="43"/>
      <c r="E171" s="43"/>
      <c r="F171" s="43"/>
      <c r="G171" s="43"/>
      <c r="H171" s="43"/>
      <c r="I171" s="43"/>
      <c r="J171" s="43"/>
      <c r="K171" s="43"/>
      <c r="L171" s="43"/>
      <c r="M171" s="43"/>
      <c r="N171" s="43"/>
      <c r="O171" s="43"/>
      <c r="P171" s="43"/>
      <c r="Q171" s="43"/>
      <c r="R171" s="43"/>
      <c r="S171" s="43"/>
      <c r="T171" s="43"/>
      <c r="U171" s="43"/>
      <c r="V171" s="43"/>
      <c r="W171" s="43"/>
      <c r="X171" s="43"/>
      <c r="Y171" s="43"/>
    </row>
    <row r="172" ht="13.2" spans="1:25">
      <c r="A172" s="42">
        <v>171</v>
      </c>
      <c r="B172" s="43" t="s">
        <v>520</v>
      </c>
      <c r="C172" s="43"/>
      <c r="D172" s="43"/>
      <c r="E172" s="43"/>
      <c r="F172" s="43"/>
      <c r="G172" s="43"/>
      <c r="H172" s="43"/>
      <c r="I172" s="43"/>
      <c r="J172" s="43"/>
      <c r="K172" s="43"/>
      <c r="L172" s="43"/>
      <c r="M172" s="43"/>
      <c r="N172" s="43"/>
      <c r="O172" s="43"/>
      <c r="P172" s="43"/>
      <c r="Q172" s="43"/>
      <c r="R172" s="43"/>
      <c r="S172" s="43"/>
      <c r="T172" s="43"/>
      <c r="U172" s="43"/>
      <c r="V172" s="43"/>
      <c r="W172" s="43"/>
      <c r="X172" s="43"/>
      <c r="Y172" s="43"/>
    </row>
    <row r="173" ht="13.2" spans="1:25">
      <c r="A173" s="42">
        <v>172</v>
      </c>
      <c r="B173" s="43" t="s">
        <v>521</v>
      </c>
      <c r="C173" s="43"/>
      <c r="D173" s="43"/>
      <c r="E173" s="43"/>
      <c r="F173" s="43"/>
      <c r="G173" s="43"/>
      <c r="H173" s="43"/>
      <c r="I173" s="43"/>
      <c r="J173" s="43"/>
      <c r="K173" s="43"/>
      <c r="L173" s="43"/>
      <c r="M173" s="43"/>
      <c r="N173" s="43"/>
      <c r="O173" s="43"/>
      <c r="P173" s="43"/>
      <c r="Q173" s="43"/>
      <c r="R173" s="43"/>
      <c r="S173" s="43"/>
      <c r="T173" s="43"/>
      <c r="U173" s="43"/>
      <c r="V173" s="43"/>
      <c r="W173" s="43"/>
      <c r="X173" s="43"/>
      <c r="Y173" s="43"/>
    </row>
    <row r="174" ht="13.2" spans="1:25">
      <c r="A174" s="42">
        <v>173</v>
      </c>
      <c r="B174" s="43" t="s">
        <v>522</v>
      </c>
      <c r="C174" s="42" t="s">
        <v>523</v>
      </c>
      <c r="D174" s="43"/>
      <c r="E174" s="43"/>
      <c r="F174" s="43"/>
      <c r="G174" s="43"/>
      <c r="H174" s="43"/>
      <c r="I174" s="43"/>
      <c r="J174" s="43"/>
      <c r="K174" s="43"/>
      <c r="L174" s="43"/>
      <c r="M174" s="43"/>
      <c r="N174" s="43"/>
      <c r="O174" s="43"/>
      <c r="P174" s="43"/>
      <c r="Q174" s="43"/>
      <c r="R174" s="43"/>
      <c r="S174" s="43"/>
      <c r="T174" s="43"/>
      <c r="U174" s="43"/>
      <c r="V174" s="43"/>
      <c r="W174" s="43"/>
      <c r="X174" s="43"/>
      <c r="Y174" s="43"/>
    </row>
    <row r="175" ht="13.2" spans="1:25">
      <c r="A175" s="42">
        <v>174</v>
      </c>
      <c r="B175" s="43" t="s">
        <v>524</v>
      </c>
      <c r="C175" s="43"/>
      <c r="D175" s="43"/>
      <c r="E175" s="43"/>
      <c r="F175" s="43"/>
      <c r="G175" s="43"/>
      <c r="H175" s="43"/>
      <c r="I175" s="43"/>
      <c r="J175" s="43"/>
      <c r="K175" s="43"/>
      <c r="L175" s="43"/>
      <c r="M175" s="43"/>
      <c r="N175" s="43"/>
      <c r="O175" s="43"/>
      <c r="P175" s="43"/>
      <c r="Q175" s="43"/>
      <c r="R175" s="43"/>
      <c r="S175" s="43"/>
      <c r="T175" s="43"/>
      <c r="U175" s="43"/>
      <c r="V175" s="43"/>
      <c r="W175" s="43"/>
      <c r="X175" s="43"/>
      <c r="Y175" s="43"/>
    </row>
    <row r="176" ht="13.2" spans="1:25">
      <c r="A176" s="42">
        <v>175</v>
      </c>
      <c r="B176" s="43" t="s">
        <v>89</v>
      </c>
      <c r="C176" s="42" t="s">
        <v>525</v>
      </c>
      <c r="D176" s="43"/>
      <c r="E176" s="43"/>
      <c r="F176" s="43"/>
      <c r="G176" s="43"/>
      <c r="H176" s="43"/>
      <c r="I176" s="43"/>
      <c r="J176" s="43"/>
      <c r="K176" s="43"/>
      <c r="L176" s="43"/>
      <c r="M176" s="43"/>
      <c r="N176" s="43"/>
      <c r="O176" s="43"/>
      <c r="P176" s="43"/>
      <c r="Q176" s="43"/>
      <c r="R176" s="43"/>
      <c r="S176" s="43"/>
      <c r="T176" s="43"/>
      <c r="U176" s="43"/>
      <c r="V176" s="43"/>
      <c r="W176" s="43"/>
      <c r="X176" s="43"/>
      <c r="Y176" s="43"/>
    </row>
    <row r="177" ht="13.2" spans="1:25">
      <c r="A177" s="42">
        <v>176</v>
      </c>
      <c r="B177" s="43" t="s">
        <v>526</v>
      </c>
      <c r="C177" s="43"/>
      <c r="D177" s="43"/>
      <c r="E177" s="43"/>
      <c r="F177" s="43"/>
      <c r="G177" s="43"/>
      <c r="H177" s="43"/>
      <c r="I177" s="43"/>
      <c r="J177" s="43"/>
      <c r="K177" s="43"/>
      <c r="L177" s="43"/>
      <c r="M177" s="43"/>
      <c r="N177" s="43"/>
      <c r="O177" s="43"/>
      <c r="P177" s="43"/>
      <c r="Q177" s="43"/>
      <c r="R177" s="43"/>
      <c r="S177" s="43"/>
      <c r="T177" s="43"/>
      <c r="U177" s="43"/>
      <c r="V177" s="43"/>
      <c r="W177" s="43"/>
      <c r="X177" s="43"/>
      <c r="Y177" s="43"/>
    </row>
    <row r="178" ht="13.2" spans="1:25">
      <c r="A178" s="42">
        <v>177</v>
      </c>
      <c r="B178" s="43" t="s">
        <v>527</v>
      </c>
      <c r="C178" s="43"/>
      <c r="D178" s="43"/>
      <c r="E178" s="43"/>
      <c r="F178" s="43"/>
      <c r="G178" s="43"/>
      <c r="H178" s="43"/>
      <c r="I178" s="43"/>
      <c r="J178" s="43"/>
      <c r="K178" s="43"/>
      <c r="L178" s="43"/>
      <c r="M178" s="43"/>
      <c r="N178" s="43"/>
      <c r="O178" s="43"/>
      <c r="P178" s="43"/>
      <c r="Q178" s="43"/>
      <c r="R178" s="43"/>
      <c r="S178" s="43"/>
      <c r="T178" s="43"/>
      <c r="U178" s="43"/>
      <c r="V178" s="43"/>
      <c r="W178" s="43"/>
      <c r="X178" s="43"/>
      <c r="Y178" s="43"/>
    </row>
    <row r="179" ht="13.2" spans="1:25">
      <c r="A179" s="42">
        <v>178</v>
      </c>
      <c r="B179" s="43" t="s">
        <v>528</v>
      </c>
      <c r="C179" s="43"/>
      <c r="D179" s="43"/>
      <c r="E179" s="43"/>
      <c r="F179" s="43"/>
      <c r="G179" s="43"/>
      <c r="H179" s="43"/>
      <c r="I179" s="43"/>
      <c r="J179" s="43"/>
      <c r="K179" s="43"/>
      <c r="L179" s="43"/>
      <c r="M179" s="43"/>
      <c r="N179" s="43"/>
      <c r="O179" s="43"/>
      <c r="P179" s="43"/>
      <c r="Q179" s="43"/>
      <c r="R179" s="43"/>
      <c r="S179" s="43"/>
      <c r="T179" s="43"/>
      <c r="U179" s="43"/>
      <c r="V179" s="43"/>
      <c r="W179" s="43"/>
      <c r="X179" s="43"/>
      <c r="Y179" s="43"/>
    </row>
    <row r="180" ht="13.2" spans="1:25">
      <c r="A180" s="42">
        <v>179</v>
      </c>
      <c r="B180" s="43" t="s">
        <v>529</v>
      </c>
      <c r="C180" s="43"/>
      <c r="D180" s="43"/>
      <c r="E180" s="43"/>
      <c r="F180" s="43"/>
      <c r="G180" s="43"/>
      <c r="H180" s="43"/>
      <c r="I180" s="43"/>
      <c r="J180" s="43"/>
      <c r="K180" s="43"/>
      <c r="L180" s="43"/>
      <c r="M180" s="43"/>
      <c r="N180" s="43"/>
      <c r="O180" s="43"/>
      <c r="P180" s="43"/>
      <c r="Q180" s="43"/>
      <c r="R180" s="43"/>
      <c r="S180" s="43"/>
      <c r="T180" s="43"/>
      <c r="U180" s="43"/>
      <c r="V180" s="43"/>
      <c r="W180" s="43"/>
      <c r="X180" s="43"/>
      <c r="Y180" s="43"/>
    </row>
    <row r="181" ht="13.2" spans="1:25">
      <c r="A181" s="42">
        <v>180</v>
      </c>
      <c r="B181" s="43" t="s">
        <v>530</v>
      </c>
      <c r="C181" s="43"/>
      <c r="D181" s="43"/>
      <c r="E181" s="43"/>
      <c r="F181" s="43"/>
      <c r="G181" s="43"/>
      <c r="H181" s="43"/>
      <c r="I181" s="43"/>
      <c r="J181" s="43"/>
      <c r="K181" s="43"/>
      <c r="L181" s="43"/>
      <c r="M181" s="43"/>
      <c r="N181" s="43"/>
      <c r="O181" s="43"/>
      <c r="P181" s="43"/>
      <c r="Q181" s="43"/>
      <c r="R181" s="43"/>
      <c r="S181" s="43"/>
      <c r="T181" s="43"/>
      <c r="U181" s="43"/>
      <c r="V181" s="43"/>
      <c r="W181" s="43"/>
      <c r="X181" s="43"/>
      <c r="Y181" s="43"/>
    </row>
    <row r="182" ht="13.2" spans="1:25">
      <c r="A182" s="42">
        <v>181</v>
      </c>
      <c r="B182" s="43" t="s">
        <v>531</v>
      </c>
      <c r="C182" s="43"/>
      <c r="D182" s="43"/>
      <c r="E182" s="43"/>
      <c r="F182" s="43"/>
      <c r="G182" s="43"/>
      <c r="H182" s="43"/>
      <c r="I182" s="43"/>
      <c r="J182" s="43"/>
      <c r="K182" s="43"/>
      <c r="L182" s="43"/>
      <c r="M182" s="43"/>
      <c r="N182" s="43"/>
      <c r="O182" s="43"/>
      <c r="P182" s="43"/>
      <c r="Q182" s="43"/>
      <c r="R182" s="43"/>
      <c r="S182" s="43"/>
      <c r="T182" s="43"/>
      <c r="U182" s="43"/>
      <c r="V182" s="43"/>
      <c r="W182" s="43"/>
      <c r="X182" s="43"/>
      <c r="Y182" s="43"/>
    </row>
    <row r="183" ht="13.2" spans="1:25">
      <c r="A183" s="42">
        <v>182</v>
      </c>
      <c r="B183" s="43" t="s">
        <v>532</v>
      </c>
      <c r="C183" s="43"/>
      <c r="D183" s="43"/>
      <c r="E183" s="43"/>
      <c r="F183" s="43"/>
      <c r="G183" s="43"/>
      <c r="H183" s="43"/>
      <c r="I183" s="43"/>
      <c r="J183" s="43"/>
      <c r="K183" s="43"/>
      <c r="L183" s="43"/>
      <c r="M183" s="43"/>
      <c r="N183" s="43"/>
      <c r="O183" s="43"/>
      <c r="P183" s="43"/>
      <c r="Q183" s="43"/>
      <c r="R183" s="43"/>
      <c r="S183" s="43"/>
      <c r="T183" s="43"/>
      <c r="U183" s="43"/>
      <c r="V183" s="43"/>
      <c r="W183" s="43"/>
      <c r="X183" s="43"/>
      <c r="Y183" s="43"/>
    </row>
    <row r="184" ht="13.2" spans="1:25">
      <c r="A184" s="42">
        <v>183</v>
      </c>
      <c r="B184" s="43" t="s">
        <v>533</v>
      </c>
      <c r="C184" s="43"/>
      <c r="D184" s="43"/>
      <c r="E184" s="43"/>
      <c r="F184" s="43"/>
      <c r="G184" s="43"/>
      <c r="H184" s="43"/>
      <c r="I184" s="43"/>
      <c r="J184" s="43"/>
      <c r="K184" s="43"/>
      <c r="L184" s="43"/>
      <c r="M184" s="43"/>
      <c r="N184" s="43"/>
      <c r="O184" s="43"/>
      <c r="P184" s="43"/>
      <c r="Q184" s="43"/>
      <c r="R184" s="43"/>
      <c r="S184" s="43"/>
      <c r="T184" s="43"/>
      <c r="U184" s="43"/>
      <c r="V184" s="43"/>
      <c r="W184" s="43"/>
      <c r="X184" s="43"/>
      <c r="Y184" s="43"/>
    </row>
    <row r="185" ht="13.2" spans="1:25">
      <c r="A185" s="42">
        <v>184</v>
      </c>
      <c r="B185" s="43" t="s">
        <v>534</v>
      </c>
      <c r="C185" s="43"/>
      <c r="D185" s="43"/>
      <c r="E185" s="43"/>
      <c r="F185" s="43"/>
      <c r="G185" s="43"/>
      <c r="H185" s="43"/>
      <c r="I185" s="43"/>
      <c r="J185" s="43"/>
      <c r="K185" s="43"/>
      <c r="L185" s="43"/>
      <c r="M185" s="43"/>
      <c r="N185" s="43"/>
      <c r="O185" s="43"/>
      <c r="P185" s="43"/>
      <c r="Q185" s="43"/>
      <c r="R185" s="43"/>
      <c r="S185" s="43"/>
      <c r="T185" s="43"/>
      <c r="U185" s="43"/>
      <c r="V185" s="43"/>
      <c r="W185" s="43"/>
      <c r="X185" s="43"/>
      <c r="Y185" s="43"/>
    </row>
    <row r="186" ht="13.2" spans="1:25">
      <c r="A186" s="42">
        <v>185</v>
      </c>
      <c r="B186" s="43" t="s">
        <v>535</v>
      </c>
      <c r="C186" s="43"/>
      <c r="D186" s="43"/>
      <c r="E186" s="43"/>
      <c r="F186" s="43"/>
      <c r="G186" s="43"/>
      <c r="H186" s="43"/>
      <c r="I186" s="43"/>
      <c r="J186" s="43"/>
      <c r="K186" s="43"/>
      <c r="L186" s="43"/>
      <c r="M186" s="43"/>
      <c r="N186" s="43"/>
      <c r="O186" s="43"/>
      <c r="P186" s="43"/>
      <c r="Q186" s="43"/>
      <c r="R186" s="43"/>
      <c r="S186" s="43"/>
      <c r="T186" s="43"/>
      <c r="U186" s="43"/>
      <c r="V186" s="43"/>
      <c r="W186" s="43"/>
      <c r="X186" s="43"/>
      <c r="Y186" s="43"/>
    </row>
    <row r="187" ht="13.2" spans="1:25">
      <c r="A187" s="42">
        <v>186</v>
      </c>
      <c r="B187" s="43" t="s">
        <v>536</v>
      </c>
      <c r="C187" s="43"/>
      <c r="D187" s="43"/>
      <c r="E187" s="43"/>
      <c r="F187" s="43"/>
      <c r="G187" s="43"/>
      <c r="H187" s="43"/>
      <c r="I187" s="43"/>
      <c r="J187" s="43"/>
      <c r="K187" s="43"/>
      <c r="L187" s="43"/>
      <c r="M187" s="43"/>
      <c r="N187" s="43"/>
      <c r="O187" s="43"/>
      <c r="P187" s="43"/>
      <c r="Q187" s="43"/>
      <c r="R187" s="43"/>
      <c r="S187" s="43"/>
      <c r="T187" s="43"/>
      <c r="U187" s="43"/>
      <c r="V187" s="43"/>
      <c r="W187" s="43"/>
      <c r="X187" s="43"/>
      <c r="Y187" s="43"/>
    </row>
    <row r="188" ht="13.2" spans="1:25">
      <c r="A188" s="42">
        <v>187</v>
      </c>
      <c r="B188" s="43" t="s">
        <v>537</v>
      </c>
      <c r="C188" s="43"/>
      <c r="D188" s="43"/>
      <c r="E188" s="43"/>
      <c r="F188" s="43"/>
      <c r="G188" s="43"/>
      <c r="H188" s="43"/>
      <c r="I188" s="43"/>
      <c r="J188" s="43"/>
      <c r="K188" s="43"/>
      <c r="L188" s="43"/>
      <c r="M188" s="43"/>
      <c r="N188" s="43"/>
      <c r="O188" s="43"/>
      <c r="P188" s="43"/>
      <c r="Q188" s="43"/>
      <c r="R188" s="43"/>
      <c r="S188" s="43"/>
      <c r="T188" s="43"/>
      <c r="U188" s="43"/>
      <c r="V188" s="43"/>
      <c r="W188" s="43"/>
      <c r="X188" s="43"/>
      <c r="Y188" s="43"/>
    </row>
    <row r="189" ht="13.2" spans="1:25">
      <c r="A189" s="42">
        <v>188</v>
      </c>
      <c r="B189" s="43" t="s">
        <v>538</v>
      </c>
      <c r="C189" s="43"/>
      <c r="D189" s="43"/>
      <c r="E189" s="43"/>
      <c r="F189" s="43"/>
      <c r="G189" s="43"/>
      <c r="H189" s="43"/>
      <c r="I189" s="43"/>
      <c r="J189" s="43"/>
      <c r="K189" s="43"/>
      <c r="L189" s="43"/>
      <c r="M189" s="43"/>
      <c r="N189" s="43"/>
      <c r="O189" s="43"/>
      <c r="P189" s="43"/>
      <c r="Q189" s="43"/>
      <c r="R189" s="43"/>
      <c r="S189" s="43"/>
      <c r="T189" s="43"/>
      <c r="U189" s="43"/>
      <c r="V189" s="43"/>
      <c r="W189" s="43"/>
      <c r="X189" s="43"/>
      <c r="Y189" s="43"/>
    </row>
    <row r="190" ht="13.2" spans="1:25">
      <c r="A190" s="42">
        <v>189</v>
      </c>
      <c r="B190" s="43" t="s">
        <v>539</v>
      </c>
      <c r="C190" s="43"/>
      <c r="D190" s="43"/>
      <c r="E190" s="43"/>
      <c r="F190" s="43"/>
      <c r="G190" s="43"/>
      <c r="H190" s="43"/>
      <c r="I190" s="43"/>
      <c r="J190" s="43"/>
      <c r="K190" s="43"/>
      <c r="L190" s="43"/>
      <c r="M190" s="43"/>
      <c r="N190" s="43"/>
      <c r="O190" s="43"/>
      <c r="P190" s="43"/>
      <c r="Q190" s="43"/>
      <c r="R190" s="43"/>
      <c r="S190" s="43"/>
      <c r="T190" s="43"/>
      <c r="U190" s="43"/>
      <c r="V190" s="43"/>
      <c r="W190" s="43"/>
      <c r="X190" s="43"/>
      <c r="Y190" s="43"/>
    </row>
    <row r="191" ht="13.2" spans="1:25">
      <c r="A191" s="42">
        <v>190</v>
      </c>
      <c r="B191" s="43" t="s">
        <v>540</v>
      </c>
      <c r="C191" s="43"/>
      <c r="D191" s="43"/>
      <c r="E191" s="43"/>
      <c r="F191" s="43"/>
      <c r="G191" s="43"/>
      <c r="H191" s="43"/>
      <c r="I191" s="43"/>
      <c r="J191" s="43"/>
      <c r="K191" s="43"/>
      <c r="L191" s="43"/>
      <c r="M191" s="43"/>
      <c r="N191" s="43"/>
      <c r="O191" s="43"/>
      <c r="P191" s="43"/>
      <c r="Q191" s="43"/>
      <c r="R191" s="43"/>
      <c r="S191" s="43"/>
      <c r="T191" s="43"/>
      <c r="U191" s="43"/>
      <c r="V191" s="43"/>
      <c r="W191" s="43"/>
      <c r="X191" s="43"/>
      <c r="Y191" s="43"/>
    </row>
    <row r="192" ht="13.2" spans="1:25">
      <c r="A192" s="42">
        <v>191</v>
      </c>
      <c r="B192" s="43" t="s">
        <v>541</v>
      </c>
      <c r="C192" s="43"/>
      <c r="D192" s="43"/>
      <c r="E192" s="43"/>
      <c r="F192" s="43"/>
      <c r="G192" s="43"/>
      <c r="H192" s="43"/>
      <c r="I192" s="43"/>
      <c r="J192" s="43"/>
      <c r="K192" s="43"/>
      <c r="L192" s="43"/>
      <c r="M192" s="43"/>
      <c r="N192" s="43"/>
      <c r="O192" s="43"/>
      <c r="P192" s="43"/>
      <c r="Q192" s="43"/>
      <c r="R192" s="43"/>
      <c r="S192" s="43"/>
      <c r="T192" s="43"/>
      <c r="U192" s="43"/>
      <c r="V192" s="43"/>
      <c r="W192" s="43"/>
      <c r="X192" s="43"/>
      <c r="Y192" s="43"/>
    </row>
    <row r="193" ht="13.2" spans="1:25">
      <c r="A193" s="42">
        <v>192</v>
      </c>
      <c r="B193" s="43" t="s">
        <v>542</v>
      </c>
      <c r="C193" s="43"/>
      <c r="D193" s="43"/>
      <c r="E193" s="43"/>
      <c r="F193" s="43"/>
      <c r="G193" s="43"/>
      <c r="H193" s="43"/>
      <c r="I193" s="43"/>
      <c r="J193" s="43"/>
      <c r="K193" s="43"/>
      <c r="L193" s="43"/>
      <c r="M193" s="43"/>
      <c r="N193" s="43"/>
      <c r="O193" s="43"/>
      <c r="P193" s="43"/>
      <c r="Q193" s="43"/>
      <c r="R193" s="43"/>
      <c r="S193" s="43"/>
      <c r="T193" s="43"/>
      <c r="U193" s="43"/>
      <c r="V193" s="43"/>
      <c r="W193" s="43"/>
      <c r="X193" s="43"/>
      <c r="Y193" s="43"/>
    </row>
    <row r="194" ht="13.2" spans="1:25">
      <c r="A194" s="42">
        <v>193</v>
      </c>
      <c r="B194" s="43" t="s">
        <v>543</v>
      </c>
      <c r="C194" s="43"/>
      <c r="D194" s="43"/>
      <c r="E194" s="43"/>
      <c r="F194" s="43"/>
      <c r="G194" s="43"/>
      <c r="H194" s="43"/>
      <c r="I194" s="43"/>
      <c r="J194" s="43"/>
      <c r="K194" s="43"/>
      <c r="L194" s="43"/>
      <c r="M194" s="43"/>
      <c r="N194" s="43"/>
      <c r="O194" s="43"/>
      <c r="P194" s="43"/>
      <c r="Q194" s="43"/>
      <c r="R194" s="43"/>
      <c r="S194" s="43"/>
      <c r="T194" s="43"/>
      <c r="U194" s="43"/>
      <c r="V194" s="43"/>
      <c r="W194" s="43"/>
      <c r="X194" s="43"/>
      <c r="Y194" s="43"/>
    </row>
    <row r="195" ht="13.2" spans="1:25">
      <c r="A195" s="42">
        <v>194</v>
      </c>
      <c r="B195" s="43" t="s">
        <v>544</v>
      </c>
      <c r="C195" s="43"/>
      <c r="D195" s="43"/>
      <c r="E195" s="43"/>
      <c r="F195" s="43"/>
      <c r="G195" s="43"/>
      <c r="H195" s="43"/>
      <c r="I195" s="43"/>
      <c r="J195" s="43"/>
      <c r="K195" s="43"/>
      <c r="L195" s="43"/>
      <c r="M195" s="43"/>
      <c r="N195" s="43"/>
      <c r="O195" s="43"/>
      <c r="P195" s="43"/>
      <c r="Q195" s="43"/>
      <c r="R195" s="43"/>
      <c r="S195" s="43"/>
      <c r="T195" s="43"/>
      <c r="U195" s="43"/>
      <c r="V195" s="43"/>
      <c r="W195" s="43"/>
      <c r="X195" s="43"/>
      <c r="Y195" s="43"/>
    </row>
    <row r="196" ht="13.2" spans="1:25">
      <c r="A196" s="42">
        <v>195</v>
      </c>
      <c r="B196" s="43" t="s">
        <v>545</v>
      </c>
      <c r="C196" s="43"/>
      <c r="D196" s="43"/>
      <c r="E196" s="43"/>
      <c r="F196" s="43"/>
      <c r="G196" s="43"/>
      <c r="H196" s="43"/>
      <c r="I196" s="43"/>
      <c r="J196" s="43"/>
      <c r="K196" s="43"/>
      <c r="L196" s="43"/>
      <c r="M196" s="43"/>
      <c r="N196" s="43"/>
      <c r="O196" s="43"/>
      <c r="P196" s="43"/>
      <c r="Q196" s="43"/>
      <c r="R196" s="43"/>
      <c r="S196" s="43"/>
      <c r="T196" s="43"/>
      <c r="U196" s="43"/>
      <c r="V196" s="43"/>
      <c r="W196" s="43"/>
      <c r="X196" s="43"/>
      <c r="Y196" s="43"/>
    </row>
    <row r="197" ht="13.2" spans="1:25">
      <c r="A197" s="42">
        <v>196</v>
      </c>
      <c r="B197" s="43" t="s">
        <v>546</v>
      </c>
      <c r="C197" s="43"/>
      <c r="D197" s="43"/>
      <c r="E197" s="43"/>
      <c r="F197" s="43"/>
      <c r="G197" s="43"/>
      <c r="H197" s="43"/>
      <c r="I197" s="43"/>
      <c r="J197" s="43"/>
      <c r="K197" s="43"/>
      <c r="L197" s="43"/>
      <c r="M197" s="43"/>
      <c r="N197" s="43"/>
      <c r="O197" s="43"/>
      <c r="P197" s="43"/>
      <c r="Q197" s="43"/>
      <c r="R197" s="43"/>
      <c r="S197" s="43"/>
      <c r="T197" s="43"/>
      <c r="U197" s="43"/>
      <c r="V197" s="43"/>
      <c r="W197" s="43"/>
      <c r="X197" s="43"/>
      <c r="Y197" s="43"/>
    </row>
    <row r="198" ht="13.2" spans="1:25">
      <c r="A198" s="42">
        <v>197</v>
      </c>
      <c r="B198" s="43" t="s">
        <v>547</v>
      </c>
      <c r="C198" s="43"/>
      <c r="D198" s="43"/>
      <c r="E198" s="43"/>
      <c r="F198" s="43"/>
      <c r="G198" s="43"/>
      <c r="H198" s="43"/>
      <c r="I198" s="43"/>
      <c r="J198" s="43"/>
      <c r="K198" s="43"/>
      <c r="L198" s="43"/>
      <c r="M198" s="43"/>
      <c r="N198" s="43"/>
      <c r="O198" s="43"/>
      <c r="P198" s="43"/>
      <c r="Q198" s="43"/>
      <c r="R198" s="43"/>
      <c r="S198" s="43"/>
      <c r="T198" s="43"/>
      <c r="U198" s="43"/>
      <c r="V198" s="43"/>
      <c r="W198" s="43"/>
      <c r="X198" s="43"/>
      <c r="Y198" s="43"/>
    </row>
    <row r="199" ht="13.2" spans="1:25">
      <c r="A199" s="42">
        <v>198</v>
      </c>
      <c r="B199" s="43" t="s">
        <v>548</v>
      </c>
      <c r="C199" s="43"/>
      <c r="D199" s="43"/>
      <c r="E199" s="43"/>
      <c r="F199" s="43"/>
      <c r="G199" s="43"/>
      <c r="H199" s="43"/>
      <c r="I199" s="43"/>
      <c r="J199" s="43"/>
      <c r="K199" s="43"/>
      <c r="L199" s="43"/>
      <c r="M199" s="43"/>
      <c r="N199" s="43"/>
      <c r="O199" s="43"/>
      <c r="P199" s="43"/>
      <c r="Q199" s="43"/>
      <c r="R199" s="43"/>
      <c r="S199" s="43"/>
      <c r="T199" s="43"/>
      <c r="U199" s="43"/>
      <c r="V199" s="43"/>
      <c r="W199" s="43"/>
      <c r="X199" s="43"/>
      <c r="Y199" s="43"/>
    </row>
    <row r="200" ht="13.2" spans="1:25">
      <c r="A200" s="42">
        <v>199</v>
      </c>
      <c r="B200" s="43" t="s">
        <v>549</v>
      </c>
      <c r="C200" s="43"/>
      <c r="D200" s="43"/>
      <c r="E200" s="43"/>
      <c r="F200" s="43"/>
      <c r="G200" s="43"/>
      <c r="H200" s="43"/>
      <c r="I200" s="43"/>
      <c r="J200" s="43"/>
      <c r="K200" s="43"/>
      <c r="L200" s="43"/>
      <c r="M200" s="43"/>
      <c r="N200" s="43"/>
      <c r="O200" s="43"/>
      <c r="P200" s="43"/>
      <c r="Q200" s="43"/>
      <c r="R200" s="43"/>
      <c r="S200" s="43"/>
      <c r="T200" s="43"/>
      <c r="U200" s="43"/>
      <c r="V200" s="43"/>
      <c r="W200" s="43"/>
      <c r="X200" s="43"/>
      <c r="Y200" s="43"/>
    </row>
    <row r="201" ht="13.2" spans="1:25">
      <c r="A201" s="42">
        <v>200</v>
      </c>
      <c r="B201" s="43" t="s">
        <v>550</v>
      </c>
      <c r="C201" s="43"/>
      <c r="D201" s="43"/>
      <c r="E201" s="43"/>
      <c r="F201" s="43"/>
      <c r="G201" s="43"/>
      <c r="H201" s="43"/>
      <c r="I201" s="43"/>
      <c r="J201" s="43"/>
      <c r="K201" s="43"/>
      <c r="L201" s="43"/>
      <c r="M201" s="43"/>
      <c r="N201" s="43"/>
      <c r="O201" s="43"/>
      <c r="P201" s="43"/>
      <c r="Q201" s="43"/>
      <c r="R201" s="43"/>
      <c r="S201" s="43"/>
      <c r="T201" s="43"/>
      <c r="U201" s="43"/>
      <c r="V201" s="43"/>
      <c r="W201" s="43"/>
      <c r="X201" s="43"/>
      <c r="Y201" s="43"/>
    </row>
    <row r="202" ht="13.2" spans="1:25">
      <c r="A202" s="42">
        <v>201</v>
      </c>
      <c r="B202" s="43" t="s">
        <v>551</v>
      </c>
      <c r="C202" s="43"/>
      <c r="D202" s="43"/>
      <c r="E202" s="43"/>
      <c r="F202" s="43"/>
      <c r="G202" s="43"/>
      <c r="H202" s="43"/>
      <c r="I202" s="43"/>
      <c r="J202" s="43"/>
      <c r="K202" s="43"/>
      <c r="L202" s="43"/>
      <c r="M202" s="43"/>
      <c r="N202" s="43"/>
      <c r="O202" s="43"/>
      <c r="P202" s="43"/>
      <c r="Q202" s="43"/>
      <c r="R202" s="43"/>
      <c r="S202" s="43"/>
      <c r="T202" s="43"/>
      <c r="U202" s="43"/>
      <c r="V202" s="43"/>
      <c r="W202" s="43"/>
      <c r="X202" s="43"/>
      <c r="Y202" s="43"/>
    </row>
    <row r="203" ht="13.2" spans="1:25">
      <c r="A203" s="42">
        <v>202</v>
      </c>
      <c r="B203" s="43" t="s">
        <v>552</v>
      </c>
      <c r="C203" s="43"/>
      <c r="D203" s="43"/>
      <c r="E203" s="43"/>
      <c r="F203" s="43"/>
      <c r="G203" s="43"/>
      <c r="H203" s="43"/>
      <c r="I203" s="43"/>
      <c r="J203" s="43"/>
      <c r="K203" s="43"/>
      <c r="L203" s="43"/>
      <c r="M203" s="43"/>
      <c r="N203" s="43"/>
      <c r="O203" s="43"/>
      <c r="P203" s="43"/>
      <c r="Q203" s="43"/>
      <c r="R203" s="43"/>
      <c r="S203" s="43"/>
      <c r="T203" s="43"/>
      <c r="U203" s="43"/>
      <c r="V203" s="43"/>
      <c r="W203" s="43"/>
      <c r="X203" s="43"/>
      <c r="Y203" s="43"/>
    </row>
    <row r="204" ht="13.2" spans="1:25">
      <c r="A204" s="42">
        <v>203</v>
      </c>
      <c r="B204" s="43" t="s">
        <v>553</v>
      </c>
      <c r="C204" s="43"/>
      <c r="D204" s="43"/>
      <c r="E204" s="43"/>
      <c r="F204" s="43"/>
      <c r="G204" s="43"/>
      <c r="H204" s="43"/>
      <c r="I204" s="43"/>
      <c r="J204" s="43"/>
      <c r="K204" s="43"/>
      <c r="L204" s="43"/>
      <c r="M204" s="43"/>
      <c r="N204" s="43"/>
      <c r="O204" s="43"/>
      <c r="P204" s="43"/>
      <c r="Q204" s="43"/>
      <c r="R204" s="43"/>
      <c r="S204" s="43"/>
      <c r="T204" s="43"/>
      <c r="U204" s="43"/>
      <c r="V204" s="43"/>
      <c r="W204" s="43"/>
      <c r="X204" s="43"/>
      <c r="Y204" s="43"/>
    </row>
    <row r="205" ht="13.2" spans="1:25">
      <c r="A205" s="42">
        <v>204</v>
      </c>
      <c r="B205" s="43" t="s">
        <v>554</v>
      </c>
      <c r="C205" s="43"/>
      <c r="D205" s="43"/>
      <c r="E205" s="43"/>
      <c r="F205" s="43"/>
      <c r="G205" s="43"/>
      <c r="H205" s="43"/>
      <c r="I205" s="43"/>
      <c r="J205" s="43"/>
      <c r="K205" s="43"/>
      <c r="L205" s="43"/>
      <c r="M205" s="43"/>
      <c r="N205" s="43"/>
      <c r="O205" s="43"/>
      <c r="P205" s="43"/>
      <c r="Q205" s="43"/>
      <c r="R205" s="43"/>
      <c r="S205" s="43"/>
      <c r="T205" s="43"/>
      <c r="U205" s="43"/>
      <c r="V205" s="43"/>
      <c r="W205" s="43"/>
      <c r="X205" s="43"/>
      <c r="Y205" s="43"/>
    </row>
    <row r="206" ht="13.2" spans="1:25">
      <c r="A206" s="42">
        <v>205</v>
      </c>
      <c r="B206" s="43" t="s">
        <v>555</v>
      </c>
      <c r="C206" s="43"/>
      <c r="D206" s="43"/>
      <c r="E206" s="43"/>
      <c r="F206" s="43"/>
      <c r="G206" s="43"/>
      <c r="H206" s="43"/>
      <c r="I206" s="43"/>
      <c r="J206" s="43"/>
      <c r="K206" s="43"/>
      <c r="L206" s="43"/>
      <c r="M206" s="43"/>
      <c r="N206" s="43"/>
      <c r="O206" s="43"/>
      <c r="P206" s="43"/>
      <c r="Q206" s="43"/>
      <c r="R206" s="43"/>
      <c r="S206" s="43"/>
      <c r="T206" s="43"/>
      <c r="U206" s="43"/>
      <c r="V206" s="43"/>
      <c r="W206" s="43"/>
      <c r="X206" s="43"/>
      <c r="Y206" s="43"/>
    </row>
    <row r="207" ht="13.2" spans="1:25">
      <c r="A207" s="42">
        <v>206</v>
      </c>
      <c r="B207" s="43" t="s">
        <v>556</v>
      </c>
      <c r="C207" s="43"/>
      <c r="D207" s="43"/>
      <c r="E207" s="43"/>
      <c r="F207" s="43"/>
      <c r="G207" s="43"/>
      <c r="H207" s="43"/>
      <c r="I207" s="43"/>
      <c r="J207" s="43"/>
      <c r="K207" s="43"/>
      <c r="L207" s="43"/>
      <c r="M207" s="43"/>
      <c r="N207" s="43"/>
      <c r="O207" s="43"/>
      <c r="P207" s="43"/>
      <c r="Q207" s="43"/>
      <c r="R207" s="43"/>
      <c r="S207" s="43"/>
      <c r="T207" s="43"/>
      <c r="U207" s="43"/>
      <c r="V207" s="43"/>
      <c r="W207" s="43"/>
      <c r="X207" s="43"/>
      <c r="Y207" s="43"/>
    </row>
    <row r="208" ht="13.2" spans="1:25">
      <c r="A208" s="42">
        <v>207</v>
      </c>
      <c r="B208" s="43" t="s">
        <v>557</v>
      </c>
      <c r="C208" s="43"/>
      <c r="D208" s="43"/>
      <c r="E208" s="43"/>
      <c r="F208" s="43"/>
      <c r="G208" s="43"/>
      <c r="H208" s="43"/>
      <c r="I208" s="43"/>
      <c r="J208" s="43"/>
      <c r="K208" s="43"/>
      <c r="L208" s="43"/>
      <c r="M208" s="43"/>
      <c r="N208" s="43"/>
      <c r="O208" s="43"/>
      <c r="P208" s="43"/>
      <c r="Q208" s="43"/>
      <c r="R208" s="43"/>
      <c r="S208" s="43"/>
      <c r="T208" s="43"/>
      <c r="U208" s="43"/>
      <c r="V208" s="43"/>
      <c r="W208" s="43"/>
      <c r="X208" s="43"/>
      <c r="Y208" s="43"/>
    </row>
    <row r="209" ht="13.2" spans="1:25">
      <c r="A209" s="42">
        <v>208</v>
      </c>
      <c r="B209" s="43" t="s">
        <v>96</v>
      </c>
      <c r="C209" s="43"/>
      <c r="D209" s="43"/>
      <c r="E209" s="43"/>
      <c r="F209" s="43"/>
      <c r="G209" s="43"/>
      <c r="H209" s="43"/>
      <c r="I209" s="43"/>
      <c r="J209" s="43"/>
      <c r="K209" s="43"/>
      <c r="L209" s="43"/>
      <c r="M209" s="43"/>
      <c r="N209" s="43"/>
      <c r="O209" s="43"/>
      <c r="P209" s="43"/>
      <c r="Q209" s="43"/>
      <c r="R209" s="43"/>
      <c r="S209" s="43"/>
      <c r="T209" s="43"/>
      <c r="U209" s="43"/>
      <c r="V209" s="43"/>
      <c r="W209" s="43"/>
      <c r="X209" s="43"/>
      <c r="Y209" s="43"/>
    </row>
    <row r="210" ht="13.2" spans="1:25">
      <c r="A210" s="42">
        <v>209</v>
      </c>
      <c r="B210" s="43" t="s">
        <v>558</v>
      </c>
      <c r="C210" s="43"/>
      <c r="D210" s="43"/>
      <c r="E210" s="43"/>
      <c r="F210" s="43"/>
      <c r="G210" s="43"/>
      <c r="H210" s="43"/>
      <c r="I210" s="43"/>
      <c r="J210" s="43"/>
      <c r="K210" s="43"/>
      <c r="L210" s="43"/>
      <c r="M210" s="43"/>
      <c r="N210" s="43"/>
      <c r="O210" s="43"/>
      <c r="P210" s="43"/>
      <c r="Q210" s="43"/>
      <c r="R210" s="43"/>
      <c r="S210" s="43"/>
      <c r="T210" s="43"/>
      <c r="U210" s="43"/>
      <c r="V210" s="43"/>
      <c r="W210" s="43"/>
      <c r="X210" s="43"/>
      <c r="Y210" s="43"/>
    </row>
    <row r="211" ht="13.2" spans="1:25">
      <c r="A211" s="42">
        <v>210</v>
      </c>
      <c r="B211" s="43" t="s">
        <v>559</v>
      </c>
      <c r="C211" s="43"/>
      <c r="D211" s="43"/>
      <c r="E211" s="43"/>
      <c r="F211" s="43"/>
      <c r="G211" s="43"/>
      <c r="H211" s="43"/>
      <c r="I211" s="43"/>
      <c r="J211" s="43"/>
      <c r="K211" s="43"/>
      <c r="L211" s="43"/>
      <c r="M211" s="43"/>
      <c r="N211" s="43"/>
      <c r="O211" s="43"/>
      <c r="P211" s="43"/>
      <c r="Q211" s="43"/>
      <c r="R211" s="43"/>
      <c r="S211" s="43"/>
      <c r="T211" s="43"/>
      <c r="U211" s="43"/>
      <c r="V211" s="43"/>
      <c r="W211" s="43"/>
      <c r="X211" s="43"/>
      <c r="Y211" s="43"/>
    </row>
    <row r="212" ht="13.2" spans="1:25">
      <c r="A212" s="42">
        <v>211</v>
      </c>
      <c r="B212" s="43" t="s">
        <v>560</v>
      </c>
      <c r="C212" s="43"/>
      <c r="D212" s="43"/>
      <c r="E212" s="43"/>
      <c r="F212" s="43"/>
      <c r="G212" s="43"/>
      <c r="H212" s="43"/>
      <c r="I212" s="43"/>
      <c r="J212" s="43"/>
      <c r="K212" s="43"/>
      <c r="L212" s="43"/>
      <c r="M212" s="43"/>
      <c r="N212" s="43"/>
      <c r="O212" s="43"/>
      <c r="P212" s="43"/>
      <c r="Q212" s="43"/>
      <c r="R212" s="43"/>
      <c r="S212" s="43"/>
      <c r="T212" s="43"/>
      <c r="U212" s="43"/>
      <c r="V212" s="43"/>
      <c r="W212" s="43"/>
      <c r="X212" s="43"/>
      <c r="Y212" s="43"/>
    </row>
    <row r="213" ht="13.2" spans="1:25">
      <c r="A213" s="42">
        <v>212</v>
      </c>
      <c r="B213" s="43" t="s">
        <v>561</v>
      </c>
      <c r="C213" s="43"/>
      <c r="D213" s="43"/>
      <c r="E213" s="43"/>
      <c r="F213" s="43"/>
      <c r="G213" s="43"/>
      <c r="H213" s="43"/>
      <c r="I213" s="43"/>
      <c r="J213" s="43"/>
      <c r="K213" s="43"/>
      <c r="L213" s="43"/>
      <c r="M213" s="43"/>
      <c r="N213" s="43"/>
      <c r="O213" s="43"/>
      <c r="P213" s="43"/>
      <c r="Q213" s="43"/>
      <c r="R213" s="43"/>
      <c r="S213" s="43"/>
      <c r="T213" s="43"/>
      <c r="U213" s="43"/>
      <c r="V213" s="43"/>
      <c r="W213" s="43"/>
      <c r="X213" s="43"/>
      <c r="Y213" s="43"/>
    </row>
    <row r="214" ht="13.2" spans="1:25">
      <c r="A214" s="42">
        <v>213</v>
      </c>
      <c r="B214" s="43" t="s">
        <v>562</v>
      </c>
      <c r="C214" s="43"/>
      <c r="D214" s="43"/>
      <c r="E214" s="43"/>
      <c r="F214" s="43"/>
      <c r="G214" s="43"/>
      <c r="H214" s="43"/>
      <c r="I214" s="43"/>
      <c r="J214" s="43"/>
      <c r="K214" s="43"/>
      <c r="L214" s="43"/>
      <c r="M214" s="43"/>
      <c r="N214" s="43"/>
      <c r="O214" s="43"/>
      <c r="P214" s="43"/>
      <c r="Q214" s="43"/>
      <c r="R214" s="43"/>
      <c r="S214" s="43"/>
      <c r="T214" s="43"/>
      <c r="U214" s="43"/>
      <c r="V214" s="43"/>
      <c r="W214" s="43"/>
      <c r="X214" s="43"/>
      <c r="Y214" s="43"/>
    </row>
    <row r="215" ht="13.2" spans="1:25">
      <c r="A215" s="42">
        <v>214</v>
      </c>
      <c r="B215" s="43" t="s">
        <v>563</v>
      </c>
      <c r="C215" s="43"/>
      <c r="D215" s="43"/>
      <c r="E215" s="43"/>
      <c r="F215" s="43"/>
      <c r="G215" s="43"/>
      <c r="H215" s="43"/>
      <c r="I215" s="43"/>
      <c r="J215" s="43"/>
      <c r="K215" s="43"/>
      <c r="L215" s="43"/>
      <c r="M215" s="43"/>
      <c r="N215" s="43"/>
      <c r="O215" s="43"/>
      <c r="P215" s="43"/>
      <c r="Q215" s="43"/>
      <c r="R215" s="43"/>
      <c r="S215" s="43"/>
      <c r="T215" s="43"/>
      <c r="U215" s="43"/>
      <c r="V215" s="43"/>
      <c r="W215" s="43"/>
      <c r="X215" s="43"/>
      <c r="Y215" s="43"/>
    </row>
    <row r="216" ht="13.2" spans="1:25">
      <c r="A216" s="42">
        <v>215</v>
      </c>
      <c r="B216" s="43" t="s">
        <v>564</v>
      </c>
      <c r="C216" s="43"/>
      <c r="D216" s="43"/>
      <c r="E216" s="43"/>
      <c r="F216" s="43"/>
      <c r="G216" s="43"/>
      <c r="H216" s="43"/>
      <c r="I216" s="43"/>
      <c r="J216" s="43"/>
      <c r="K216" s="43"/>
      <c r="L216" s="43"/>
      <c r="M216" s="43"/>
      <c r="N216" s="43"/>
      <c r="O216" s="43"/>
      <c r="P216" s="43"/>
      <c r="Q216" s="43"/>
      <c r="R216" s="43"/>
      <c r="S216" s="43"/>
      <c r="T216" s="43"/>
      <c r="U216" s="43"/>
      <c r="V216" s="43"/>
      <c r="W216" s="43"/>
      <c r="X216" s="43"/>
      <c r="Y216" s="43"/>
    </row>
    <row r="217" ht="13.2" spans="1:25">
      <c r="A217" s="42">
        <v>216</v>
      </c>
      <c r="B217" s="43" t="s">
        <v>565</v>
      </c>
      <c r="C217" s="43"/>
      <c r="D217" s="43"/>
      <c r="E217" s="43"/>
      <c r="F217" s="43"/>
      <c r="G217" s="43"/>
      <c r="H217" s="43"/>
      <c r="I217" s="43"/>
      <c r="J217" s="43"/>
      <c r="K217" s="43"/>
      <c r="L217" s="43"/>
      <c r="M217" s="43"/>
      <c r="N217" s="43"/>
      <c r="O217" s="43"/>
      <c r="P217" s="43"/>
      <c r="Q217" s="43"/>
      <c r="R217" s="43"/>
      <c r="S217" s="43"/>
      <c r="T217" s="43"/>
      <c r="U217" s="43"/>
      <c r="V217" s="43"/>
      <c r="W217" s="43"/>
      <c r="X217" s="43"/>
      <c r="Y217" s="43"/>
    </row>
    <row r="218" ht="13.2" spans="1:25">
      <c r="A218" s="42">
        <v>217</v>
      </c>
      <c r="B218" s="43" t="s">
        <v>566</v>
      </c>
      <c r="C218" s="43"/>
      <c r="D218" s="43"/>
      <c r="E218" s="43"/>
      <c r="F218" s="43"/>
      <c r="G218" s="43"/>
      <c r="H218" s="43"/>
      <c r="I218" s="43"/>
      <c r="J218" s="43"/>
      <c r="K218" s="43"/>
      <c r="L218" s="43"/>
      <c r="M218" s="43"/>
      <c r="N218" s="43"/>
      <c r="O218" s="43"/>
      <c r="P218" s="43"/>
      <c r="Q218" s="43"/>
      <c r="R218" s="43"/>
      <c r="S218" s="43"/>
      <c r="T218" s="43"/>
      <c r="U218" s="43"/>
      <c r="V218" s="43"/>
      <c r="W218" s="43"/>
      <c r="X218" s="43"/>
      <c r="Y218" s="43"/>
    </row>
    <row r="219" ht="13.2" spans="1:25">
      <c r="A219" s="42">
        <v>218</v>
      </c>
      <c r="B219" s="43" t="s">
        <v>567</v>
      </c>
      <c r="C219" s="43"/>
      <c r="D219" s="43"/>
      <c r="E219" s="43"/>
      <c r="F219" s="43"/>
      <c r="G219" s="43"/>
      <c r="H219" s="43"/>
      <c r="I219" s="43"/>
      <c r="J219" s="43"/>
      <c r="K219" s="43"/>
      <c r="L219" s="43"/>
      <c r="M219" s="43"/>
      <c r="N219" s="43"/>
      <c r="O219" s="43"/>
      <c r="P219" s="43"/>
      <c r="Q219" s="43"/>
      <c r="R219" s="43"/>
      <c r="S219" s="43"/>
      <c r="T219" s="43"/>
      <c r="U219" s="43"/>
      <c r="V219" s="43"/>
      <c r="W219" s="43"/>
      <c r="X219" s="43"/>
      <c r="Y219" s="43"/>
    </row>
    <row r="220" ht="13.2" spans="1:25">
      <c r="A220" s="42">
        <v>219</v>
      </c>
      <c r="B220" s="43" t="s">
        <v>568</v>
      </c>
      <c r="C220" s="43"/>
      <c r="D220" s="43"/>
      <c r="E220" s="43"/>
      <c r="F220" s="43"/>
      <c r="G220" s="43"/>
      <c r="H220" s="43"/>
      <c r="I220" s="43"/>
      <c r="J220" s="43"/>
      <c r="K220" s="43"/>
      <c r="L220" s="43"/>
      <c r="M220" s="43"/>
      <c r="N220" s="43"/>
      <c r="O220" s="43"/>
      <c r="P220" s="43"/>
      <c r="Q220" s="43"/>
      <c r="R220" s="43"/>
      <c r="S220" s="43"/>
      <c r="T220" s="43"/>
      <c r="U220" s="43"/>
      <c r="V220" s="43"/>
      <c r="W220" s="43"/>
      <c r="X220" s="43"/>
      <c r="Y220" s="43"/>
    </row>
    <row r="221" ht="13.2" spans="1:25">
      <c r="A221" s="42">
        <v>220</v>
      </c>
      <c r="B221" s="43" t="s">
        <v>569</v>
      </c>
      <c r="C221" s="43"/>
      <c r="D221" s="43"/>
      <c r="E221" s="43"/>
      <c r="F221" s="43"/>
      <c r="G221" s="43"/>
      <c r="H221" s="43"/>
      <c r="I221" s="43"/>
      <c r="J221" s="43"/>
      <c r="K221" s="43"/>
      <c r="L221" s="43"/>
      <c r="M221" s="43"/>
      <c r="N221" s="43"/>
      <c r="O221" s="43"/>
      <c r="P221" s="43"/>
      <c r="Q221" s="43"/>
      <c r="R221" s="43"/>
      <c r="S221" s="43"/>
      <c r="T221" s="43"/>
      <c r="U221" s="43"/>
      <c r="V221" s="43"/>
      <c r="W221" s="43"/>
      <c r="X221" s="43"/>
      <c r="Y221" s="43"/>
    </row>
    <row r="222" ht="13.2" spans="1:25">
      <c r="A222" s="42">
        <v>221</v>
      </c>
      <c r="B222" s="43" t="s">
        <v>570</v>
      </c>
      <c r="C222" s="43"/>
      <c r="D222" s="43"/>
      <c r="E222" s="43"/>
      <c r="F222" s="43"/>
      <c r="G222" s="43"/>
      <c r="H222" s="43"/>
      <c r="I222" s="43"/>
      <c r="J222" s="43"/>
      <c r="K222" s="43"/>
      <c r="L222" s="43"/>
      <c r="M222" s="43"/>
      <c r="N222" s="43"/>
      <c r="O222" s="43"/>
      <c r="P222" s="43"/>
      <c r="Q222" s="43"/>
      <c r="R222" s="43"/>
      <c r="S222" s="43"/>
      <c r="T222" s="43"/>
      <c r="U222" s="43"/>
      <c r="V222" s="43"/>
      <c r="W222" s="43"/>
      <c r="X222" s="43"/>
      <c r="Y222" s="43"/>
    </row>
    <row r="223" ht="13.2" spans="1:25">
      <c r="A223" s="42">
        <v>222</v>
      </c>
      <c r="B223" s="43" t="s">
        <v>571</v>
      </c>
      <c r="C223" s="43"/>
      <c r="D223" s="43"/>
      <c r="E223" s="43"/>
      <c r="F223" s="43"/>
      <c r="G223" s="43"/>
      <c r="H223" s="43"/>
      <c r="I223" s="43"/>
      <c r="J223" s="43"/>
      <c r="K223" s="43"/>
      <c r="L223" s="43"/>
      <c r="M223" s="43"/>
      <c r="N223" s="43"/>
      <c r="O223" s="43"/>
      <c r="P223" s="43"/>
      <c r="Q223" s="43"/>
      <c r="R223" s="43"/>
      <c r="S223" s="43"/>
      <c r="T223" s="43"/>
      <c r="U223" s="43"/>
      <c r="V223" s="43"/>
      <c r="W223" s="43"/>
      <c r="X223" s="43"/>
      <c r="Y223" s="43"/>
    </row>
    <row r="224" ht="13.2" spans="1:25">
      <c r="A224" s="42">
        <v>223</v>
      </c>
      <c r="B224" s="43" t="s">
        <v>572</v>
      </c>
      <c r="C224" s="43"/>
      <c r="D224" s="43"/>
      <c r="E224" s="43"/>
      <c r="F224" s="43"/>
      <c r="G224" s="43"/>
      <c r="H224" s="43"/>
      <c r="I224" s="43"/>
      <c r="J224" s="43"/>
      <c r="K224" s="43"/>
      <c r="L224" s="43"/>
      <c r="M224" s="43"/>
      <c r="N224" s="43"/>
      <c r="O224" s="43"/>
      <c r="P224" s="43"/>
      <c r="Q224" s="43"/>
      <c r="R224" s="43"/>
      <c r="S224" s="43"/>
      <c r="T224" s="43"/>
      <c r="U224" s="43"/>
      <c r="V224" s="43"/>
      <c r="W224" s="43"/>
      <c r="X224" s="43"/>
      <c r="Y224" s="43"/>
    </row>
    <row r="225" ht="13.2" spans="1:25">
      <c r="A225" s="42">
        <v>224</v>
      </c>
      <c r="B225" s="43" t="s">
        <v>573</v>
      </c>
      <c r="C225" s="42" t="s">
        <v>574</v>
      </c>
      <c r="D225" s="43"/>
      <c r="E225" s="43"/>
      <c r="F225" s="43"/>
      <c r="G225" s="43"/>
      <c r="H225" s="43"/>
      <c r="I225" s="43"/>
      <c r="J225" s="43"/>
      <c r="K225" s="43"/>
      <c r="L225" s="43"/>
      <c r="M225" s="43"/>
      <c r="N225" s="43"/>
      <c r="O225" s="43"/>
      <c r="P225" s="43"/>
      <c r="Q225" s="43"/>
      <c r="R225" s="43"/>
      <c r="S225" s="43"/>
      <c r="T225" s="43"/>
      <c r="U225" s="43"/>
      <c r="V225" s="43"/>
      <c r="W225" s="43"/>
      <c r="X225" s="43"/>
      <c r="Y225" s="43"/>
    </row>
    <row r="226" ht="13.2" spans="1:25">
      <c r="A226" s="42">
        <v>225</v>
      </c>
      <c r="B226" s="43" t="s">
        <v>575</v>
      </c>
      <c r="C226" s="43"/>
      <c r="D226" s="43"/>
      <c r="E226" s="43"/>
      <c r="F226" s="43"/>
      <c r="G226" s="43"/>
      <c r="H226" s="43"/>
      <c r="I226" s="43"/>
      <c r="J226" s="43"/>
      <c r="K226" s="43"/>
      <c r="L226" s="43"/>
      <c r="M226" s="43"/>
      <c r="N226" s="43"/>
      <c r="O226" s="43"/>
      <c r="P226" s="43"/>
      <c r="Q226" s="43"/>
      <c r="R226" s="43"/>
      <c r="S226" s="43"/>
      <c r="T226" s="43"/>
      <c r="U226" s="43"/>
      <c r="V226" s="43"/>
      <c r="W226" s="43"/>
      <c r="X226" s="43"/>
      <c r="Y226" s="43"/>
    </row>
    <row r="227" ht="13.2" spans="1:25">
      <c r="A227" s="42">
        <v>226</v>
      </c>
      <c r="B227" s="43" t="s">
        <v>576</v>
      </c>
      <c r="C227" s="42" t="s">
        <v>577</v>
      </c>
      <c r="D227" s="43"/>
      <c r="E227" s="43"/>
      <c r="F227" s="43"/>
      <c r="G227" s="43"/>
      <c r="H227" s="43"/>
      <c r="I227" s="43"/>
      <c r="J227" s="43"/>
      <c r="K227" s="43"/>
      <c r="L227" s="43"/>
      <c r="M227" s="43"/>
      <c r="N227" s="43"/>
      <c r="O227" s="43"/>
      <c r="P227" s="43"/>
      <c r="Q227" s="43"/>
      <c r="R227" s="43"/>
      <c r="S227" s="43"/>
      <c r="T227" s="43"/>
      <c r="U227" s="43"/>
      <c r="V227" s="43"/>
      <c r="W227" s="43"/>
      <c r="X227" s="43"/>
      <c r="Y227" s="43"/>
    </row>
    <row r="228" ht="13.2" spans="1:25">
      <c r="A228" s="42">
        <v>227</v>
      </c>
      <c r="B228" s="43" t="s">
        <v>578</v>
      </c>
      <c r="C228" s="43"/>
      <c r="D228" s="43"/>
      <c r="E228" s="43"/>
      <c r="F228" s="43"/>
      <c r="G228" s="43"/>
      <c r="H228" s="43"/>
      <c r="I228" s="43"/>
      <c r="J228" s="43"/>
      <c r="K228" s="43"/>
      <c r="L228" s="43"/>
      <c r="M228" s="43"/>
      <c r="N228" s="43"/>
      <c r="O228" s="43"/>
      <c r="P228" s="43"/>
      <c r="Q228" s="43"/>
      <c r="R228" s="43"/>
      <c r="S228" s="43"/>
      <c r="T228" s="43"/>
      <c r="U228" s="43"/>
      <c r="V228" s="43"/>
      <c r="W228" s="43"/>
      <c r="X228" s="43"/>
      <c r="Y228" s="43"/>
    </row>
    <row r="229" ht="13.2" spans="1:25">
      <c r="A229" s="42">
        <v>228</v>
      </c>
      <c r="B229" s="43" t="s">
        <v>579</v>
      </c>
      <c r="C229" s="43"/>
      <c r="D229" s="43"/>
      <c r="E229" s="43"/>
      <c r="F229" s="43"/>
      <c r="G229" s="43"/>
      <c r="H229" s="43"/>
      <c r="I229" s="43"/>
      <c r="J229" s="43"/>
      <c r="K229" s="43"/>
      <c r="L229" s="43"/>
      <c r="M229" s="43"/>
      <c r="N229" s="43"/>
      <c r="O229" s="43"/>
      <c r="P229" s="43"/>
      <c r="Q229" s="43"/>
      <c r="R229" s="43"/>
      <c r="S229" s="43"/>
      <c r="T229" s="43"/>
      <c r="U229" s="43"/>
      <c r="V229" s="43"/>
      <c r="W229" s="43"/>
      <c r="X229" s="43"/>
      <c r="Y229" s="43"/>
    </row>
    <row r="230" ht="13.2" spans="1:25">
      <c r="A230" s="42">
        <v>229</v>
      </c>
      <c r="B230" s="43" t="s">
        <v>580</v>
      </c>
      <c r="C230" s="43"/>
      <c r="D230" s="43"/>
      <c r="E230" s="43"/>
      <c r="F230" s="43"/>
      <c r="G230" s="43"/>
      <c r="H230" s="43"/>
      <c r="I230" s="43"/>
      <c r="J230" s="43"/>
      <c r="K230" s="43"/>
      <c r="L230" s="43"/>
      <c r="M230" s="43"/>
      <c r="N230" s="43"/>
      <c r="O230" s="43"/>
      <c r="P230" s="43"/>
      <c r="Q230" s="43"/>
      <c r="R230" s="43"/>
      <c r="S230" s="43"/>
      <c r="T230" s="43"/>
      <c r="U230" s="43"/>
      <c r="V230" s="43"/>
      <c r="W230" s="43"/>
      <c r="X230" s="43"/>
      <c r="Y230" s="43"/>
    </row>
    <row r="231" ht="13.2" spans="1:25">
      <c r="A231" s="42">
        <v>230</v>
      </c>
      <c r="B231" s="43" t="s">
        <v>581</v>
      </c>
      <c r="C231" s="43"/>
      <c r="D231" s="43"/>
      <c r="E231" s="43"/>
      <c r="F231" s="43"/>
      <c r="G231" s="43"/>
      <c r="H231" s="43"/>
      <c r="I231" s="43"/>
      <c r="J231" s="43"/>
      <c r="K231" s="43"/>
      <c r="L231" s="43"/>
      <c r="M231" s="43"/>
      <c r="N231" s="43"/>
      <c r="O231" s="43"/>
      <c r="P231" s="43"/>
      <c r="Q231" s="43"/>
      <c r="R231" s="43"/>
      <c r="S231" s="43"/>
      <c r="T231" s="43"/>
      <c r="U231" s="43"/>
      <c r="V231" s="43"/>
      <c r="W231" s="43"/>
      <c r="X231" s="43"/>
      <c r="Y231" s="43"/>
    </row>
    <row r="232" ht="13.2" spans="1:25">
      <c r="A232" s="42">
        <v>231</v>
      </c>
      <c r="B232" s="43" t="s">
        <v>582</v>
      </c>
      <c r="C232" s="43"/>
      <c r="D232" s="43"/>
      <c r="E232" s="43"/>
      <c r="F232" s="43"/>
      <c r="G232" s="43"/>
      <c r="H232" s="43"/>
      <c r="I232" s="43"/>
      <c r="J232" s="43"/>
      <c r="K232" s="43"/>
      <c r="L232" s="43"/>
      <c r="M232" s="43"/>
      <c r="N232" s="43"/>
      <c r="O232" s="43"/>
      <c r="P232" s="43"/>
      <c r="Q232" s="43"/>
      <c r="R232" s="43"/>
      <c r="S232" s="43"/>
      <c r="T232" s="43"/>
      <c r="U232" s="43"/>
      <c r="V232" s="43"/>
      <c r="W232" s="43"/>
      <c r="X232" s="43"/>
      <c r="Y232" s="43"/>
    </row>
    <row r="233" ht="13.2" spans="1:25">
      <c r="A233" s="42">
        <v>232</v>
      </c>
      <c r="B233" s="43" t="s">
        <v>583</v>
      </c>
      <c r="C233" s="43"/>
      <c r="D233" s="43"/>
      <c r="E233" s="43"/>
      <c r="F233" s="43"/>
      <c r="G233" s="43"/>
      <c r="H233" s="43"/>
      <c r="I233" s="43"/>
      <c r="J233" s="43"/>
      <c r="K233" s="43"/>
      <c r="L233" s="43"/>
      <c r="M233" s="43"/>
      <c r="N233" s="43"/>
      <c r="O233" s="43"/>
      <c r="P233" s="43"/>
      <c r="Q233" s="43"/>
      <c r="R233" s="43"/>
      <c r="S233" s="43"/>
      <c r="T233" s="43"/>
      <c r="U233" s="43"/>
      <c r="V233" s="43"/>
      <c r="W233" s="43"/>
      <c r="X233" s="43"/>
      <c r="Y233" s="43"/>
    </row>
    <row r="234" ht="13.2" spans="1:25">
      <c r="A234" s="42">
        <v>233</v>
      </c>
      <c r="B234" s="43" t="s">
        <v>584</v>
      </c>
      <c r="C234" s="43"/>
      <c r="D234" s="43"/>
      <c r="E234" s="43"/>
      <c r="F234" s="43"/>
      <c r="G234" s="43"/>
      <c r="H234" s="43"/>
      <c r="I234" s="43"/>
      <c r="J234" s="43"/>
      <c r="K234" s="43"/>
      <c r="L234" s="43"/>
      <c r="M234" s="43"/>
      <c r="N234" s="43"/>
      <c r="O234" s="43"/>
      <c r="P234" s="43"/>
      <c r="Q234" s="43"/>
      <c r="R234" s="43"/>
      <c r="S234" s="43"/>
      <c r="T234" s="43"/>
      <c r="U234" s="43"/>
      <c r="V234" s="43"/>
      <c r="W234" s="43"/>
      <c r="X234" s="43"/>
      <c r="Y234" s="43"/>
    </row>
    <row r="235" ht="13.2" spans="1:25">
      <c r="A235" s="42">
        <v>234</v>
      </c>
      <c r="B235" s="43" t="s">
        <v>585</v>
      </c>
      <c r="C235" s="43"/>
      <c r="D235" s="43"/>
      <c r="E235" s="43"/>
      <c r="F235" s="43"/>
      <c r="G235" s="43"/>
      <c r="H235" s="43"/>
      <c r="I235" s="43"/>
      <c r="J235" s="43"/>
      <c r="K235" s="43"/>
      <c r="L235" s="43"/>
      <c r="M235" s="43"/>
      <c r="N235" s="43"/>
      <c r="O235" s="43"/>
      <c r="P235" s="43"/>
      <c r="Q235" s="43"/>
      <c r="R235" s="43"/>
      <c r="S235" s="43"/>
      <c r="T235" s="43"/>
      <c r="U235" s="43"/>
      <c r="V235" s="43"/>
      <c r="W235" s="43"/>
      <c r="X235" s="43"/>
      <c r="Y235" s="43"/>
    </row>
    <row r="236" ht="13.2" spans="1:25">
      <c r="A236" s="42">
        <v>235</v>
      </c>
      <c r="B236" s="42" t="s">
        <v>586</v>
      </c>
      <c r="C236" s="43"/>
      <c r="D236" s="43"/>
      <c r="E236" s="43"/>
      <c r="F236" s="43"/>
      <c r="G236" s="43"/>
      <c r="H236" s="43"/>
      <c r="I236" s="43"/>
      <c r="J236" s="43"/>
      <c r="K236" s="43"/>
      <c r="L236" s="43"/>
      <c r="M236" s="43"/>
      <c r="N236" s="43"/>
      <c r="O236" s="43"/>
      <c r="P236" s="43"/>
      <c r="Q236" s="43"/>
      <c r="R236" s="43"/>
      <c r="S236" s="43"/>
      <c r="T236" s="43"/>
      <c r="U236" s="43"/>
      <c r="V236" s="43"/>
      <c r="W236" s="43"/>
      <c r="X236" s="43"/>
      <c r="Y236" s="43"/>
    </row>
    <row r="237" ht="13.2" spans="1:25">
      <c r="A237" s="42">
        <v>236</v>
      </c>
      <c r="B237" s="43" t="s">
        <v>587</v>
      </c>
      <c r="C237" s="43"/>
      <c r="D237" s="43"/>
      <c r="E237" s="43"/>
      <c r="F237" s="43"/>
      <c r="G237" s="43"/>
      <c r="H237" s="43"/>
      <c r="I237" s="43"/>
      <c r="J237" s="43"/>
      <c r="K237" s="43"/>
      <c r="L237" s="43"/>
      <c r="M237" s="43"/>
      <c r="N237" s="43"/>
      <c r="O237" s="43"/>
      <c r="P237" s="43"/>
      <c r="Q237" s="43"/>
      <c r="R237" s="43"/>
      <c r="S237" s="43"/>
      <c r="T237" s="43"/>
      <c r="U237" s="43"/>
      <c r="V237" s="43"/>
      <c r="W237" s="43"/>
      <c r="X237" s="43"/>
      <c r="Y237" s="43"/>
    </row>
    <row r="238" ht="13.2" spans="1:25">
      <c r="A238" s="42">
        <v>237</v>
      </c>
      <c r="B238" s="43" t="s">
        <v>588</v>
      </c>
      <c r="C238" s="43"/>
      <c r="D238" s="43"/>
      <c r="E238" s="43"/>
      <c r="F238" s="43"/>
      <c r="G238" s="43"/>
      <c r="H238" s="43"/>
      <c r="I238" s="43"/>
      <c r="J238" s="43"/>
      <c r="K238" s="43"/>
      <c r="L238" s="43"/>
      <c r="M238" s="43"/>
      <c r="N238" s="43"/>
      <c r="O238" s="43"/>
      <c r="P238" s="43"/>
      <c r="Q238" s="43"/>
      <c r="R238" s="43"/>
      <c r="S238" s="43"/>
      <c r="T238" s="43"/>
      <c r="U238" s="43"/>
      <c r="V238" s="43"/>
      <c r="W238" s="43"/>
      <c r="X238" s="43"/>
      <c r="Y238" s="43"/>
    </row>
    <row r="239" ht="13.2" spans="1:25">
      <c r="A239" s="42">
        <v>238</v>
      </c>
      <c r="B239" s="43" t="s">
        <v>589</v>
      </c>
      <c r="C239" s="43"/>
      <c r="D239" s="43"/>
      <c r="E239" s="43"/>
      <c r="F239" s="43"/>
      <c r="G239" s="43"/>
      <c r="H239" s="43"/>
      <c r="I239" s="43"/>
      <c r="J239" s="43"/>
      <c r="K239" s="43"/>
      <c r="L239" s="43"/>
      <c r="M239" s="43"/>
      <c r="N239" s="43"/>
      <c r="O239" s="43"/>
      <c r="P239" s="43"/>
      <c r="Q239" s="43"/>
      <c r="R239" s="43"/>
      <c r="S239" s="43"/>
      <c r="T239" s="43"/>
      <c r="U239" s="43"/>
      <c r="V239" s="43"/>
      <c r="W239" s="43"/>
      <c r="X239" s="43"/>
      <c r="Y239" s="43"/>
    </row>
    <row r="240" ht="13.2" spans="1:25">
      <c r="A240" s="42">
        <v>239</v>
      </c>
      <c r="B240" s="43" t="s">
        <v>590</v>
      </c>
      <c r="C240" s="43"/>
      <c r="D240" s="43"/>
      <c r="E240" s="43"/>
      <c r="F240" s="43"/>
      <c r="G240" s="43"/>
      <c r="H240" s="43"/>
      <c r="I240" s="43"/>
      <c r="J240" s="43"/>
      <c r="K240" s="43"/>
      <c r="L240" s="43"/>
      <c r="M240" s="43"/>
      <c r="N240" s="43"/>
      <c r="O240" s="43"/>
      <c r="P240" s="43"/>
      <c r="Q240" s="43"/>
      <c r="R240" s="43"/>
      <c r="S240" s="43"/>
      <c r="T240" s="43"/>
      <c r="U240" s="43"/>
      <c r="V240" s="43"/>
      <c r="W240" s="43"/>
      <c r="X240" s="43"/>
      <c r="Y240" s="43"/>
    </row>
    <row r="241" ht="13.2" spans="1:25">
      <c r="A241" s="42">
        <v>240</v>
      </c>
      <c r="B241" s="43" t="s">
        <v>591</v>
      </c>
      <c r="C241" s="43"/>
      <c r="D241" s="43"/>
      <c r="E241" s="43"/>
      <c r="F241" s="43"/>
      <c r="G241" s="43"/>
      <c r="H241" s="43"/>
      <c r="I241" s="43"/>
      <c r="J241" s="43"/>
      <c r="K241" s="43"/>
      <c r="L241" s="43"/>
      <c r="M241" s="43"/>
      <c r="N241" s="43"/>
      <c r="O241" s="43"/>
      <c r="P241" s="43"/>
      <c r="Q241" s="43"/>
      <c r="R241" s="43"/>
      <c r="S241" s="43"/>
      <c r="T241" s="43"/>
      <c r="U241" s="43"/>
      <c r="V241" s="43"/>
      <c r="W241" s="43"/>
      <c r="X241" s="43"/>
      <c r="Y241" s="43"/>
    </row>
    <row r="242" ht="13.2" spans="1:25">
      <c r="A242" s="42">
        <v>241</v>
      </c>
      <c r="B242" s="43" t="s">
        <v>592</v>
      </c>
      <c r="C242" s="43"/>
      <c r="D242" s="43"/>
      <c r="E242" s="43"/>
      <c r="F242" s="43"/>
      <c r="G242" s="43"/>
      <c r="H242" s="43"/>
      <c r="I242" s="43"/>
      <c r="J242" s="43"/>
      <c r="K242" s="43"/>
      <c r="L242" s="43"/>
      <c r="M242" s="43"/>
      <c r="N242" s="43"/>
      <c r="O242" s="43"/>
      <c r="P242" s="43"/>
      <c r="Q242" s="43"/>
      <c r="R242" s="43"/>
      <c r="S242" s="43"/>
      <c r="T242" s="43"/>
      <c r="U242" s="43"/>
      <c r="V242" s="43"/>
      <c r="W242" s="43"/>
      <c r="X242" s="43"/>
      <c r="Y242" s="43"/>
    </row>
    <row r="243" ht="13.2" spans="1:25">
      <c r="A243" s="42">
        <v>242</v>
      </c>
      <c r="B243" s="43" t="s">
        <v>593</v>
      </c>
      <c r="C243" s="43"/>
      <c r="D243" s="43"/>
      <c r="E243" s="43"/>
      <c r="F243" s="43"/>
      <c r="G243" s="43"/>
      <c r="H243" s="43"/>
      <c r="I243" s="43"/>
      <c r="J243" s="43"/>
      <c r="K243" s="43"/>
      <c r="L243" s="43"/>
      <c r="M243" s="43"/>
      <c r="N243" s="43"/>
      <c r="O243" s="43"/>
      <c r="P243" s="43"/>
      <c r="Q243" s="43"/>
      <c r="R243" s="43"/>
      <c r="S243" s="43"/>
      <c r="T243" s="43"/>
      <c r="U243" s="43"/>
      <c r="V243" s="43"/>
      <c r="W243" s="43"/>
      <c r="X243" s="43"/>
      <c r="Y243" s="43"/>
    </row>
    <row r="244" ht="13.2" spans="1:25">
      <c r="A244" s="42">
        <v>243</v>
      </c>
      <c r="B244" s="43" t="s">
        <v>594</v>
      </c>
      <c r="C244" s="43"/>
      <c r="D244" s="43"/>
      <c r="E244" s="43"/>
      <c r="F244" s="43"/>
      <c r="G244" s="43"/>
      <c r="H244" s="43"/>
      <c r="I244" s="43"/>
      <c r="J244" s="43"/>
      <c r="K244" s="43"/>
      <c r="L244" s="43"/>
      <c r="M244" s="43"/>
      <c r="N244" s="43"/>
      <c r="O244" s="43"/>
      <c r="P244" s="43"/>
      <c r="Q244" s="43"/>
      <c r="R244" s="43"/>
      <c r="S244" s="43"/>
      <c r="T244" s="43"/>
      <c r="U244" s="43"/>
      <c r="V244" s="43"/>
      <c r="W244" s="43"/>
      <c r="X244" s="43"/>
      <c r="Y244" s="43"/>
    </row>
    <row r="245" ht="13.2" spans="1:25">
      <c r="A245" s="42">
        <v>244</v>
      </c>
      <c r="B245" s="43" t="s">
        <v>595</v>
      </c>
      <c r="C245" s="43"/>
      <c r="D245" s="43"/>
      <c r="E245" s="43"/>
      <c r="F245" s="43"/>
      <c r="G245" s="43"/>
      <c r="H245" s="43"/>
      <c r="I245" s="43"/>
      <c r="J245" s="43"/>
      <c r="K245" s="43"/>
      <c r="L245" s="43"/>
      <c r="M245" s="43"/>
      <c r="N245" s="43"/>
      <c r="O245" s="43"/>
      <c r="P245" s="43"/>
      <c r="Q245" s="43"/>
      <c r="R245" s="43"/>
      <c r="S245" s="43"/>
      <c r="T245" s="43"/>
      <c r="U245" s="43"/>
      <c r="V245" s="43"/>
      <c r="W245" s="43"/>
      <c r="X245" s="43"/>
      <c r="Y245" s="43"/>
    </row>
    <row r="246" ht="13.2" spans="1:25">
      <c r="A246" s="42">
        <v>245</v>
      </c>
      <c r="B246" s="43" t="s">
        <v>596</v>
      </c>
      <c r="C246" s="43"/>
      <c r="D246" s="43"/>
      <c r="E246" s="43"/>
      <c r="F246" s="43"/>
      <c r="G246" s="43"/>
      <c r="H246" s="43"/>
      <c r="I246" s="43"/>
      <c r="J246" s="43"/>
      <c r="K246" s="43"/>
      <c r="L246" s="43"/>
      <c r="M246" s="43"/>
      <c r="N246" s="43"/>
      <c r="O246" s="43"/>
      <c r="P246" s="43"/>
      <c r="Q246" s="43"/>
      <c r="R246" s="43"/>
      <c r="S246" s="43"/>
      <c r="T246" s="43"/>
      <c r="U246" s="43"/>
      <c r="V246" s="43"/>
      <c r="W246" s="43"/>
      <c r="X246" s="43"/>
      <c r="Y246" s="43"/>
    </row>
    <row r="247" ht="13.2" spans="1:25">
      <c r="A247" s="42">
        <v>246</v>
      </c>
      <c r="B247" s="43" t="s">
        <v>597</v>
      </c>
      <c r="C247" s="43"/>
      <c r="D247" s="43"/>
      <c r="E247" s="43"/>
      <c r="F247" s="43"/>
      <c r="G247" s="43"/>
      <c r="H247" s="43"/>
      <c r="I247" s="43"/>
      <c r="J247" s="43"/>
      <c r="K247" s="43"/>
      <c r="L247" s="43"/>
      <c r="M247" s="43"/>
      <c r="N247" s="43"/>
      <c r="O247" s="43"/>
      <c r="P247" s="43"/>
      <c r="Q247" s="43"/>
      <c r="R247" s="43"/>
      <c r="S247" s="43"/>
      <c r="T247" s="43"/>
      <c r="U247" s="43"/>
      <c r="V247" s="43"/>
      <c r="W247" s="43"/>
      <c r="X247" s="43"/>
      <c r="Y247" s="43"/>
    </row>
    <row r="248" ht="13.2" spans="1:25">
      <c r="A248" s="42">
        <v>247</v>
      </c>
      <c r="B248" s="43" t="s">
        <v>598</v>
      </c>
      <c r="C248" s="43"/>
      <c r="D248" s="43"/>
      <c r="E248" s="43"/>
      <c r="F248" s="43"/>
      <c r="G248" s="43"/>
      <c r="H248" s="43"/>
      <c r="I248" s="43"/>
      <c r="J248" s="43"/>
      <c r="K248" s="43"/>
      <c r="L248" s="43"/>
      <c r="M248" s="43"/>
      <c r="N248" s="43"/>
      <c r="O248" s="43"/>
      <c r="P248" s="43"/>
      <c r="Q248" s="43"/>
      <c r="R248" s="43"/>
      <c r="S248" s="43"/>
      <c r="T248" s="43"/>
      <c r="U248" s="43"/>
      <c r="V248" s="43"/>
      <c r="W248" s="43"/>
      <c r="X248" s="43"/>
      <c r="Y248" s="43"/>
    </row>
    <row r="249" ht="13.2" spans="1:25">
      <c r="A249" s="42">
        <v>248</v>
      </c>
      <c r="B249" s="43" t="s">
        <v>599</v>
      </c>
      <c r="C249" s="43"/>
      <c r="D249" s="43"/>
      <c r="E249" s="43"/>
      <c r="F249" s="43"/>
      <c r="G249" s="43"/>
      <c r="H249" s="43"/>
      <c r="I249" s="43"/>
      <c r="J249" s="43"/>
      <c r="K249" s="43"/>
      <c r="L249" s="43"/>
      <c r="M249" s="43"/>
      <c r="N249" s="43"/>
      <c r="O249" s="43"/>
      <c r="P249" s="43"/>
      <c r="Q249" s="43"/>
      <c r="R249" s="43"/>
      <c r="S249" s="43"/>
      <c r="T249" s="43"/>
      <c r="U249" s="43"/>
      <c r="V249" s="43"/>
      <c r="W249" s="43"/>
      <c r="X249" s="43"/>
      <c r="Y249" s="43"/>
    </row>
    <row r="250" ht="13.2" spans="1:25">
      <c r="A250" s="42">
        <v>249</v>
      </c>
      <c r="B250" s="43" t="s">
        <v>600</v>
      </c>
      <c r="C250" s="43"/>
      <c r="D250" s="43"/>
      <c r="E250" s="43"/>
      <c r="F250" s="43"/>
      <c r="G250" s="43"/>
      <c r="H250" s="43"/>
      <c r="I250" s="43"/>
      <c r="J250" s="43"/>
      <c r="K250" s="43"/>
      <c r="L250" s="43"/>
      <c r="M250" s="43"/>
      <c r="N250" s="43"/>
      <c r="O250" s="43"/>
      <c r="P250" s="43"/>
      <c r="Q250" s="43"/>
      <c r="R250" s="43"/>
      <c r="S250" s="43"/>
      <c r="T250" s="43"/>
      <c r="U250" s="43"/>
      <c r="V250" s="43"/>
      <c r="W250" s="43"/>
      <c r="X250" s="43"/>
      <c r="Y250" s="43"/>
    </row>
    <row r="251" ht="13.2" spans="1:25">
      <c r="A251" s="42">
        <v>250</v>
      </c>
      <c r="B251" s="43" t="s">
        <v>601</v>
      </c>
      <c r="C251" s="43"/>
      <c r="D251" s="43"/>
      <c r="E251" s="43"/>
      <c r="F251" s="43"/>
      <c r="G251" s="43"/>
      <c r="H251" s="43"/>
      <c r="I251" s="43"/>
      <c r="J251" s="43"/>
      <c r="K251" s="43"/>
      <c r="L251" s="43"/>
      <c r="M251" s="43"/>
      <c r="N251" s="43"/>
      <c r="O251" s="43"/>
      <c r="P251" s="43"/>
      <c r="Q251" s="43"/>
      <c r="R251" s="43"/>
      <c r="S251" s="43"/>
      <c r="T251" s="43"/>
      <c r="U251" s="43"/>
      <c r="V251" s="43"/>
      <c r="W251" s="43"/>
      <c r="X251" s="43"/>
      <c r="Y251" s="43"/>
    </row>
    <row r="252" ht="13.2" spans="1:25">
      <c r="A252" s="42">
        <v>251</v>
      </c>
      <c r="B252" s="43" t="s">
        <v>602</v>
      </c>
      <c r="C252" s="43"/>
      <c r="D252" s="43"/>
      <c r="E252" s="43"/>
      <c r="F252" s="43"/>
      <c r="G252" s="43"/>
      <c r="H252" s="43"/>
      <c r="I252" s="43"/>
      <c r="J252" s="43"/>
      <c r="K252" s="43"/>
      <c r="L252" s="43"/>
      <c r="M252" s="43"/>
      <c r="N252" s="43"/>
      <c r="O252" s="43"/>
      <c r="P252" s="43"/>
      <c r="Q252" s="43"/>
      <c r="R252" s="43"/>
      <c r="S252" s="43"/>
      <c r="T252" s="43"/>
      <c r="U252" s="43"/>
      <c r="V252" s="43"/>
      <c r="W252" s="43"/>
      <c r="X252" s="43"/>
      <c r="Y252" s="43"/>
    </row>
    <row r="253" ht="13.2" spans="1:25">
      <c r="A253" s="42">
        <v>252</v>
      </c>
      <c r="B253" s="43" t="s">
        <v>603</v>
      </c>
      <c r="C253" s="43"/>
      <c r="D253" s="43"/>
      <c r="E253" s="43"/>
      <c r="F253" s="43"/>
      <c r="G253" s="43"/>
      <c r="H253" s="43"/>
      <c r="I253" s="43"/>
      <c r="J253" s="43"/>
      <c r="K253" s="43"/>
      <c r="L253" s="43"/>
      <c r="M253" s="43"/>
      <c r="N253" s="43"/>
      <c r="O253" s="43"/>
      <c r="P253" s="43"/>
      <c r="Q253" s="43"/>
      <c r="R253" s="43"/>
      <c r="S253" s="43"/>
      <c r="T253" s="43"/>
      <c r="U253" s="43"/>
      <c r="V253" s="43"/>
      <c r="W253" s="43"/>
      <c r="X253" s="43"/>
      <c r="Y253" s="43"/>
    </row>
    <row r="254" ht="13.2" spans="1:25">
      <c r="A254" s="42">
        <v>253</v>
      </c>
      <c r="B254" s="43" t="s">
        <v>604</v>
      </c>
      <c r="C254" s="43"/>
      <c r="D254" s="43"/>
      <c r="E254" s="43"/>
      <c r="F254" s="43"/>
      <c r="G254" s="43"/>
      <c r="H254" s="43"/>
      <c r="I254" s="43"/>
      <c r="J254" s="43"/>
      <c r="K254" s="43"/>
      <c r="L254" s="43"/>
      <c r="M254" s="43"/>
      <c r="N254" s="43"/>
      <c r="O254" s="43"/>
      <c r="P254" s="43"/>
      <c r="Q254" s="43"/>
      <c r="R254" s="43"/>
      <c r="S254" s="43"/>
      <c r="T254" s="43"/>
      <c r="U254" s="43"/>
      <c r="V254" s="43"/>
      <c r="W254" s="43"/>
      <c r="X254" s="43"/>
      <c r="Y254" s="43"/>
    </row>
    <row r="255" ht="13.2" spans="1:25">
      <c r="A255" s="42">
        <v>254</v>
      </c>
      <c r="B255" s="43" t="s">
        <v>605</v>
      </c>
      <c r="C255" s="42" t="s">
        <v>606</v>
      </c>
      <c r="D255" s="43"/>
      <c r="E255" s="43"/>
      <c r="F255" s="43"/>
      <c r="G255" s="43"/>
      <c r="H255" s="43"/>
      <c r="I255" s="43"/>
      <c r="J255" s="43"/>
      <c r="K255" s="43"/>
      <c r="L255" s="43"/>
      <c r="M255" s="43"/>
      <c r="N255" s="43"/>
      <c r="O255" s="43"/>
      <c r="P255" s="43"/>
      <c r="Q255" s="43"/>
      <c r="R255" s="43"/>
      <c r="S255" s="43"/>
      <c r="T255" s="43"/>
      <c r="U255" s="43"/>
      <c r="V255" s="43"/>
      <c r="W255" s="43"/>
      <c r="X255" s="43"/>
      <c r="Y255" s="43"/>
    </row>
    <row r="256" ht="13.2" spans="1:25">
      <c r="A256" s="42">
        <v>255</v>
      </c>
      <c r="B256" s="43" t="s">
        <v>607</v>
      </c>
      <c r="C256" s="42" t="s">
        <v>608</v>
      </c>
      <c r="D256" s="43"/>
      <c r="E256" s="43"/>
      <c r="F256" s="43"/>
      <c r="G256" s="43"/>
      <c r="H256" s="43"/>
      <c r="I256" s="43"/>
      <c r="J256" s="43"/>
      <c r="K256" s="43"/>
      <c r="L256" s="43"/>
      <c r="M256" s="43"/>
      <c r="N256" s="43"/>
      <c r="O256" s="43"/>
      <c r="P256" s="43"/>
      <c r="Q256" s="43"/>
      <c r="R256" s="43"/>
      <c r="S256" s="43"/>
      <c r="T256" s="43"/>
      <c r="U256" s="43"/>
      <c r="V256" s="43"/>
      <c r="W256" s="43"/>
      <c r="X256" s="43"/>
      <c r="Y256" s="43"/>
    </row>
    <row r="257" ht="13.2" spans="1:25">
      <c r="A257" s="42">
        <v>256</v>
      </c>
      <c r="B257" s="43" t="s">
        <v>609</v>
      </c>
      <c r="C257" s="43"/>
      <c r="D257" s="43"/>
      <c r="E257" s="43"/>
      <c r="F257" s="43"/>
      <c r="G257" s="43"/>
      <c r="H257" s="43"/>
      <c r="I257" s="43"/>
      <c r="J257" s="43"/>
      <c r="K257" s="43"/>
      <c r="L257" s="43"/>
      <c r="M257" s="43"/>
      <c r="N257" s="43"/>
      <c r="O257" s="43"/>
      <c r="P257" s="43"/>
      <c r="Q257" s="43"/>
      <c r="R257" s="43"/>
      <c r="S257" s="43"/>
      <c r="T257" s="43"/>
      <c r="U257" s="43"/>
      <c r="V257" s="43"/>
      <c r="W257" s="43"/>
      <c r="X257" s="43"/>
      <c r="Y257" s="43"/>
    </row>
    <row r="258" ht="13.2" spans="1:25">
      <c r="A258" s="42">
        <v>257</v>
      </c>
      <c r="B258" s="43" t="s">
        <v>610</v>
      </c>
      <c r="C258" s="43"/>
      <c r="D258" s="43"/>
      <c r="E258" s="43"/>
      <c r="F258" s="43"/>
      <c r="G258" s="43"/>
      <c r="H258" s="43"/>
      <c r="I258" s="43"/>
      <c r="J258" s="43"/>
      <c r="K258" s="43"/>
      <c r="L258" s="43"/>
      <c r="M258" s="43"/>
      <c r="N258" s="43"/>
      <c r="O258" s="43"/>
      <c r="P258" s="43"/>
      <c r="Q258" s="43"/>
      <c r="R258" s="43"/>
      <c r="S258" s="43"/>
      <c r="T258" s="43"/>
      <c r="U258" s="43"/>
      <c r="V258" s="43"/>
      <c r="W258" s="43"/>
      <c r="X258" s="43"/>
      <c r="Y258" s="43"/>
    </row>
    <row r="259" ht="13.2" spans="1:25">
      <c r="A259" s="42">
        <v>258</v>
      </c>
      <c r="B259" s="42" t="s">
        <v>611</v>
      </c>
      <c r="C259" s="43"/>
      <c r="D259" s="43"/>
      <c r="E259" s="43"/>
      <c r="F259" s="43"/>
      <c r="G259" s="43"/>
      <c r="H259" s="43"/>
      <c r="I259" s="43"/>
      <c r="J259" s="43"/>
      <c r="K259" s="43"/>
      <c r="L259" s="43"/>
      <c r="M259" s="43"/>
      <c r="N259" s="43"/>
      <c r="O259" s="43"/>
      <c r="P259" s="43"/>
      <c r="Q259" s="43"/>
      <c r="R259" s="43"/>
      <c r="S259" s="43"/>
      <c r="T259" s="43"/>
      <c r="U259" s="43"/>
      <c r="V259" s="43"/>
      <c r="W259" s="43"/>
      <c r="X259" s="43"/>
      <c r="Y259" s="43"/>
    </row>
    <row r="260" ht="13.2" spans="1:25">
      <c r="A260" s="42">
        <v>259</v>
      </c>
      <c r="B260" s="43" t="s">
        <v>612</v>
      </c>
      <c r="C260" s="43"/>
      <c r="D260" s="43"/>
      <c r="E260" s="43"/>
      <c r="F260" s="43"/>
      <c r="G260" s="43"/>
      <c r="H260" s="43"/>
      <c r="I260" s="43"/>
      <c r="J260" s="43"/>
      <c r="K260" s="43"/>
      <c r="L260" s="43"/>
      <c r="M260" s="43"/>
      <c r="N260" s="43"/>
      <c r="O260" s="43"/>
      <c r="P260" s="43"/>
      <c r="Q260" s="43"/>
      <c r="R260" s="43"/>
      <c r="S260" s="43"/>
      <c r="T260" s="43"/>
      <c r="U260" s="43"/>
      <c r="V260" s="43"/>
      <c r="W260" s="43"/>
      <c r="X260" s="43"/>
      <c r="Y260" s="43"/>
    </row>
    <row r="261" ht="13.2" spans="1:25">
      <c r="A261" s="42">
        <v>260</v>
      </c>
      <c r="B261" s="42" t="s">
        <v>613</v>
      </c>
      <c r="C261" s="43"/>
      <c r="D261" s="43"/>
      <c r="E261" s="43"/>
      <c r="F261" s="43"/>
      <c r="G261" s="43"/>
      <c r="H261" s="43"/>
      <c r="I261" s="43"/>
      <c r="J261" s="43"/>
      <c r="K261" s="43"/>
      <c r="L261" s="43"/>
      <c r="M261" s="43"/>
      <c r="N261" s="43"/>
      <c r="O261" s="43"/>
      <c r="P261" s="43"/>
      <c r="Q261" s="43"/>
      <c r="R261" s="43"/>
      <c r="S261" s="43"/>
      <c r="T261" s="43"/>
      <c r="U261" s="43"/>
      <c r="V261" s="43"/>
      <c r="W261" s="43"/>
      <c r="X261" s="43"/>
      <c r="Y261" s="43"/>
    </row>
    <row r="262" ht="13.2" spans="1:25">
      <c r="A262" s="42">
        <v>261</v>
      </c>
      <c r="B262" s="43" t="s">
        <v>614</v>
      </c>
      <c r="C262" s="43"/>
      <c r="D262" s="43"/>
      <c r="E262" s="43"/>
      <c r="F262" s="43"/>
      <c r="G262" s="43"/>
      <c r="H262" s="43"/>
      <c r="I262" s="43"/>
      <c r="J262" s="43"/>
      <c r="K262" s="43"/>
      <c r="L262" s="43"/>
      <c r="M262" s="43"/>
      <c r="N262" s="43"/>
      <c r="O262" s="43"/>
      <c r="P262" s="43"/>
      <c r="Q262" s="43"/>
      <c r="R262" s="43"/>
      <c r="S262" s="43"/>
      <c r="T262" s="43"/>
      <c r="U262" s="43"/>
      <c r="V262" s="43"/>
      <c r="W262" s="43"/>
      <c r="X262" s="43"/>
      <c r="Y262" s="43"/>
    </row>
    <row r="263" ht="13.2" spans="1:25">
      <c r="A263" s="42">
        <v>262</v>
      </c>
      <c r="B263" s="43" t="s">
        <v>615</v>
      </c>
      <c r="C263" s="43"/>
      <c r="D263" s="43"/>
      <c r="E263" s="43"/>
      <c r="F263" s="43"/>
      <c r="G263" s="43"/>
      <c r="H263" s="43"/>
      <c r="I263" s="43"/>
      <c r="J263" s="43"/>
      <c r="K263" s="43"/>
      <c r="L263" s="43"/>
      <c r="M263" s="43"/>
      <c r="N263" s="43"/>
      <c r="O263" s="43"/>
      <c r="P263" s="43"/>
      <c r="Q263" s="43"/>
      <c r="R263" s="43"/>
      <c r="S263" s="43"/>
      <c r="T263" s="43"/>
      <c r="U263" s="43"/>
      <c r="V263" s="43"/>
      <c r="W263" s="43"/>
      <c r="X263" s="43"/>
      <c r="Y263" s="43"/>
    </row>
    <row r="264" ht="13.2" spans="1:25">
      <c r="A264" s="42">
        <v>263</v>
      </c>
      <c r="B264" s="43" t="s">
        <v>616</v>
      </c>
      <c r="C264" s="43"/>
      <c r="D264" s="43"/>
      <c r="E264" s="43"/>
      <c r="F264" s="43"/>
      <c r="G264" s="43"/>
      <c r="H264" s="43"/>
      <c r="I264" s="43"/>
      <c r="J264" s="43"/>
      <c r="K264" s="43"/>
      <c r="L264" s="43"/>
      <c r="M264" s="43"/>
      <c r="N264" s="43"/>
      <c r="O264" s="43"/>
      <c r="P264" s="43"/>
      <c r="Q264" s="43"/>
      <c r="R264" s="43"/>
      <c r="S264" s="43"/>
      <c r="T264" s="43"/>
      <c r="U264" s="43"/>
      <c r="V264" s="43"/>
      <c r="W264" s="43"/>
      <c r="X264" s="43"/>
      <c r="Y264" s="43"/>
    </row>
    <row r="265" ht="13.2" spans="1:25">
      <c r="A265" s="42">
        <v>264</v>
      </c>
      <c r="B265" s="43" t="s">
        <v>617</v>
      </c>
      <c r="C265" s="43"/>
      <c r="D265" s="43"/>
      <c r="E265" s="43"/>
      <c r="F265" s="43"/>
      <c r="G265" s="43"/>
      <c r="H265" s="43"/>
      <c r="I265" s="43"/>
      <c r="J265" s="43"/>
      <c r="K265" s="43"/>
      <c r="L265" s="43"/>
      <c r="M265" s="43"/>
      <c r="N265" s="43"/>
      <c r="O265" s="43"/>
      <c r="P265" s="43"/>
      <c r="Q265" s="43"/>
      <c r="R265" s="43"/>
      <c r="S265" s="43"/>
      <c r="T265" s="43"/>
      <c r="U265" s="43"/>
      <c r="V265" s="43"/>
      <c r="W265" s="43"/>
      <c r="X265" s="43"/>
      <c r="Y265" s="43"/>
    </row>
    <row r="266" ht="13.2" spans="1:25">
      <c r="A266" s="42">
        <v>265</v>
      </c>
      <c r="B266" s="43" t="s">
        <v>618</v>
      </c>
      <c r="C266" s="43"/>
      <c r="D266" s="43"/>
      <c r="E266" s="43"/>
      <c r="F266" s="43"/>
      <c r="G266" s="43"/>
      <c r="H266" s="43"/>
      <c r="I266" s="43"/>
      <c r="J266" s="43"/>
      <c r="K266" s="43"/>
      <c r="L266" s="43"/>
      <c r="M266" s="43"/>
      <c r="N266" s="43"/>
      <c r="O266" s="43"/>
      <c r="P266" s="43"/>
      <c r="Q266" s="43"/>
      <c r="R266" s="43"/>
      <c r="S266" s="43"/>
      <c r="T266" s="43"/>
      <c r="U266" s="43"/>
      <c r="V266" s="43"/>
      <c r="W266" s="43"/>
      <c r="X266" s="43"/>
      <c r="Y266" s="43"/>
    </row>
    <row r="267" ht="13.2" spans="1:25">
      <c r="A267" s="42">
        <v>266</v>
      </c>
      <c r="B267" s="42" t="s">
        <v>619</v>
      </c>
      <c r="C267" s="43"/>
      <c r="D267" s="43"/>
      <c r="E267" s="43"/>
      <c r="F267" s="43"/>
      <c r="G267" s="43"/>
      <c r="H267" s="43"/>
      <c r="I267" s="43"/>
      <c r="J267" s="43"/>
      <c r="K267" s="43"/>
      <c r="L267" s="43"/>
      <c r="M267" s="43"/>
      <c r="N267" s="43"/>
      <c r="O267" s="43"/>
      <c r="P267" s="43"/>
      <c r="Q267" s="43"/>
      <c r="R267" s="43"/>
      <c r="S267" s="43"/>
      <c r="T267" s="43"/>
      <c r="U267" s="43"/>
      <c r="V267" s="43"/>
      <c r="W267" s="43"/>
      <c r="X267" s="43"/>
      <c r="Y267" s="43"/>
    </row>
    <row r="268" ht="13.2" spans="1:25">
      <c r="A268" s="42">
        <v>267</v>
      </c>
      <c r="B268" s="43" t="s">
        <v>620</v>
      </c>
      <c r="C268" s="43"/>
      <c r="D268" s="43"/>
      <c r="E268" s="43"/>
      <c r="F268" s="43"/>
      <c r="G268" s="43"/>
      <c r="H268" s="43"/>
      <c r="I268" s="43"/>
      <c r="J268" s="43"/>
      <c r="K268" s="43"/>
      <c r="L268" s="43"/>
      <c r="M268" s="43"/>
      <c r="N268" s="43"/>
      <c r="O268" s="43"/>
      <c r="P268" s="43"/>
      <c r="Q268" s="43"/>
      <c r="R268" s="43"/>
      <c r="S268" s="43"/>
      <c r="T268" s="43"/>
      <c r="U268" s="43"/>
      <c r="V268" s="43"/>
      <c r="W268" s="43"/>
      <c r="X268" s="43"/>
      <c r="Y268" s="43"/>
    </row>
    <row r="269" ht="13.2" spans="1:25">
      <c r="A269" s="42">
        <v>268</v>
      </c>
      <c r="B269" s="43" t="s">
        <v>621</v>
      </c>
      <c r="C269" s="43"/>
      <c r="D269" s="43"/>
      <c r="E269" s="43"/>
      <c r="F269" s="43"/>
      <c r="G269" s="43"/>
      <c r="H269" s="43"/>
      <c r="I269" s="43"/>
      <c r="J269" s="43"/>
      <c r="K269" s="43"/>
      <c r="L269" s="43"/>
      <c r="M269" s="43"/>
      <c r="N269" s="43"/>
      <c r="O269" s="43"/>
      <c r="P269" s="43"/>
      <c r="Q269" s="43"/>
      <c r="R269" s="43"/>
      <c r="S269" s="43"/>
      <c r="T269" s="43"/>
      <c r="U269" s="43"/>
      <c r="V269" s="43"/>
      <c r="W269" s="43"/>
      <c r="X269" s="43"/>
      <c r="Y269" s="43"/>
    </row>
    <row r="270" ht="13.2" spans="1:25">
      <c r="A270" s="42">
        <v>269</v>
      </c>
      <c r="B270" s="43" t="s">
        <v>622</v>
      </c>
      <c r="C270" s="43"/>
      <c r="D270" s="43"/>
      <c r="E270" s="43"/>
      <c r="F270" s="43"/>
      <c r="G270" s="43"/>
      <c r="H270" s="43"/>
      <c r="I270" s="43"/>
      <c r="J270" s="43"/>
      <c r="K270" s="43"/>
      <c r="L270" s="43"/>
      <c r="M270" s="43"/>
      <c r="N270" s="43"/>
      <c r="O270" s="43"/>
      <c r="P270" s="43"/>
      <c r="Q270" s="43"/>
      <c r="R270" s="43"/>
      <c r="S270" s="43"/>
      <c r="T270" s="43"/>
      <c r="U270" s="43"/>
      <c r="V270" s="43"/>
      <c r="W270" s="43"/>
      <c r="X270" s="43"/>
      <c r="Y270" s="43"/>
    </row>
    <row r="271" ht="13.2" spans="1:25">
      <c r="A271" s="42">
        <v>270</v>
      </c>
      <c r="B271" s="42" t="s">
        <v>623</v>
      </c>
      <c r="C271" s="43"/>
      <c r="D271" s="43"/>
      <c r="E271" s="43"/>
      <c r="F271" s="43"/>
      <c r="G271" s="43"/>
      <c r="H271" s="43"/>
      <c r="I271" s="43"/>
      <c r="J271" s="43"/>
      <c r="K271" s="43"/>
      <c r="L271" s="43"/>
      <c r="M271" s="43"/>
      <c r="N271" s="43"/>
      <c r="O271" s="43"/>
      <c r="P271" s="43"/>
      <c r="Q271" s="43"/>
      <c r="R271" s="43"/>
      <c r="S271" s="43"/>
      <c r="T271" s="43"/>
      <c r="U271" s="43"/>
      <c r="V271" s="43"/>
      <c r="W271" s="43"/>
      <c r="X271" s="43"/>
      <c r="Y271" s="43"/>
    </row>
    <row r="272" ht="13.2" spans="1:25">
      <c r="A272" s="42">
        <v>271</v>
      </c>
      <c r="B272" s="43" t="s">
        <v>624</v>
      </c>
      <c r="C272" s="43"/>
      <c r="D272" s="43"/>
      <c r="E272" s="43"/>
      <c r="F272" s="43"/>
      <c r="G272" s="43"/>
      <c r="H272" s="43"/>
      <c r="I272" s="43"/>
      <c r="J272" s="43"/>
      <c r="K272" s="43"/>
      <c r="L272" s="43"/>
      <c r="M272" s="43"/>
      <c r="N272" s="43"/>
      <c r="O272" s="43"/>
      <c r="P272" s="43"/>
      <c r="Q272" s="43"/>
      <c r="R272" s="43"/>
      <c r="S272" s="43"/>
      <c r="T272" s="43"/>
      <c r="U272" s="43"/>
      <c r="V272" s="43"/>
      <c r="W272" s="43"/>
      <c r="X272" s="43"/>
      <c r="Y272" s="43"/>
    </row>
    <row r="273" ht="13.2" spans="1:25">
      <c r="A273" s="42">
        <v>272</v>
      </c>
      <c r="B273" s="43" t="s">
        <v>625</v>
      </c>
      <c r="C273" s="43"/>
      <c r="D273" s="43"/>
      <c r="E273" s="43"/>
      <c r="F273" s="43"/>
      <c r="G273" s="43"/>
      <c r="H273" s="43"/>
      <c r="I273" s="43"/>
      <c r="J273" s="43"/>
      <c r="K273" s="43"/>
      <c r="L273" s="43"/>
      <c r="M273" s="43"/>
      <c r="N273" s="43"/>
      <c r="O273" s="43"/>
      <c r="P273" s="43"/>
      <c r="Q273" s="43"/>
      <c r="R273" s="43"/>
      <c r="S273" s="43"/>
      <c r="T273" s="43"/>
      <c r="U273" s="43"/>
      <c r="V273" s="43"/>
      <c r="W273" s="43"/>
      <c r="X273" s="43"/>
      <c r="Y273" s="43"/>
    </row>
    <row r="274" ht="13.2" spans="1:25">
      <c r="A274" s="42">
        <v>273</v>
      </c>
      <c r="B274" s="42" t="s">
        <v>626</v>
      </c>
      <c r="C274" s="43"/>
      <c r="D274" s="43"/>
      <c r="E274" s="43"/>
      <c r="F274" s="43"/>
      <c r="G274" s="43"/>
      <c r="H274" s="43"/>
      <c r="I274" s="43"/>
      <c r="J274" s="43"/>
      <c r="K274" s="43"/>
      <c r="L274" s="43"/>
      <c r="M274" s="43"/>
      <c r="N274" s="43"/>
      <c r="O274" s="43"/>
      <c r="P274" s="43"/>
      <c r="Q274" s="43"/>
      <c r="R274" s="43"/>
      <c r="S274" s="43"/>
      <c r="T274" s="43"/>
      <c r="U274" s="43"/>
      <c r="V274" s="43"/>
      <c r="W274" s="43"/>
      <c r="X274" s="43"/>
      <c r="Y274" s="43"/>
    </row>
    <row r="275" ht="13.2" spans="1:25">
      <c r="A275" s="42">
        <v>274</v>
      </c>
      <c r="B275" s="43" t="s">
        <v>627</v>
      </c>
      <c r="C275" s="43"/>
      <c r="D275" s="43"/>
      <c r="E275" s="43"/>
      <c r="F275" s="43"/>
      <c r="G275" s="43"/>
      <c r="H275" s="43"/>
      <c r="I275" s="43"/>
      <c r="J275" s="43"/>
      <c r="K275" s="43"/>
      <c r="L275" s="43"/>
      <c r="M275" s="43"/>
      <c r="N275" s="43"/>
      <c r="O275" s="43"/>
      <c r="P275" s="43"/>
      <c r="Q275" s="43"/>
      <c r="R275" s="43"/>
      <c r="S275" s="43"/>
      <c r="T275" s="43"/>
      <c r="U275" s="43"/>
      <c r="V275" s="43"/>
      <c r="W275" s="43"/>
      <c r="X275" s="43"/>
      <c r="Y275" s="43"/>
    </row>
    <row r="276" ht="13.2" spans="1:25">
      <c r="A276" s="42">
        <v>275</v>
      </c>
      <c r="B276" s="43" t="s">
        <v>628</v>
      </c>
      <c r="C276" s="43"/>
      <c r="D276" s="43"/>
      <c r="E276" s="43"/>
      <c r="F276" s="43"/>
      <c r="G276" s="43"/>
      <c r="H276" s="43"/>
      <c r="I276" s="43"/>
      <c r="J276" s="43"/>
      <c r="K276" s="43"/>
      <c r="L276" s="43"/>
      <c r="M276" s="43"/>
      <c r="N276" s="43"/>
      <c r="O276" s="43"/>
      <c r="P276" s="43"/>
      <c r="Q276" s="43"/>
      <c r="R276" s="43"/>
      <c r="S276" s="43"/>
      <c r="T276" s="43"/>
      <c r="U276" s="43"/>
      <c r="V276" s="43"/>
      <c r="W276" s="43"/>
      <c r="X276" s="43"/>
      <c r="Y276" s="43"/>
    </row>
    <row r="277" ht="13.2" spans="1:25">
      <c r="A277" s="42">
        <v>276</v>
      </c>
      <c r="B277" s="43" t="s">
        <v>629</v>
      </c>
      <c r="C277" s="43"/>
      <c r="D277" s="43"/>
      <c r="E277" s="43"/>
      <c r="F277" s="43"/>
      <c r="G277" s="43"/>
      <c r="H277" s="43"/>
      <c r="I277" s="43"/>
      <c r="J277" s="43"/>
      <c r="K277" s="43"/>
      <c r="L277" s="43"/>
      <c r="M277" s="43"/>
      <c r="N277" s="43"/>
      <c r="O277" s="43"/>
      <c r="P277" s="43"/>
      <c r="Q277" s="43"/>
      <c r="R277" s="43"/>
      <c r="S277" s="43"/>
      <c r="T277" s="43"/>
      <c r="U277" s="43"/>
      <c r="V277" s="43"/>
      <c r="W277" s="43"/>
      <c r="X277" s="43"/>
      <c r="Y277" s="43"/>
    </row>
    <row r="278" ht="13.2" spans="1:25">
      <c r="A278" s="42">
        <v>277</v>
      </c>
      <c r="B278" s="42" t="s">
        <v>630</v>
      </c>
      <c r="C278" s="43"/>
      <c r="D278" s="43"/>
      <c r="E278" s="43"/>
      <c r="F278" s="43"/>
      <c r="G278" s="43"/>
      <c r="H278" s="43"/>
      <c r="I278" s="43"/>
      <c r="J278" s="43"/>
      <c r="K278" s="43"/>
      <c r="L278" s="43"/>
      <c r="M278" s="43"/>
      <c r="N278" s="43"/>
      <c r="O278" s="43"/>
      <c r="P278" s="43"/>
      <c r="Q278" s="43"/>
      <c r="R278" s="43"/>
      <c r="S278" s="43"/>
      <c r="T278" s="43"/>
      <c r="U278" s="43"/>
      <c r="V278" s="43"/>
      <c r="W278" s="43"/>
      <c r="X278" s="43"/>
      <c r="Y278" s="43"/>
    </row>
    <row r="279" ht="13.2" spans="1:25">
      <c r="A279" s="42">
        <v>278</v>
      </c>
      <c r="B279" s="43" t="s">
        <v>631</v>
      </c>
      <c r="C279" s="43"/>
      <c r="D279" s="43"/>
      <c r="E279" s="43"/>
      <c r="F279" s="43"/>
      <c r="G279" s="43"/>
      <c r="H279" s="43"/>
      <c r="I279" s="43"/>
      <c r="J279" s="43"/>
      <c r="K279" s="43"/>
      <c r="L279" s="43"/>
      <c r="M279" s="43"/>
      <c r="N279" s="43"/>
      <c r="O279" s="43"/>
      <c r="P279" s="43"/>
      <c r="Q279" s="43"/>
      <c r="R279" s="43"/>
      <c r="S279" s="43"/>
      <c r="T279" s="43"/>
      <c r="U279" s="43"/>
      <c r="V279" s="43"/>
      <c r="W279" s="43"/>
      <c r="X279" s="43"/>
      <c r="Y279" s="43"/>
    </row>
    <row r="280" ht="13.2" spans="1:25">
      <c r="A280" s="42">
        <v>279</v>
      </c>
      <c r="B280" s="43" t="s">
        <v>632</v>
      </c>
      <c r="C280" s="43"/>
      <c r="D280" s="43"/>
      <c r="E280" s="43"/>
      <c r="F280" s="43"/>
      <c r="G280" s="43"/>
      <c r="H280" s="43"/>
      <c r="I280" s="43"/>
      <c r="J280" s="43"/>
      <c r="K280" s="43"/>
      <c r="L280" s="43"/>
      <c r="M280" s="43"/>
      <c r="N280" s="43"/>
      <c r="O280" s="43"/>
      <c r="P280" s="43"/>
      <c r="Q280" s="43"/>
      <c r="R280" s="43"/>
      <c r="S280" s="43"/>
      <c r="T280" s="43"/>
      <c r="U280" s="43"/>
      <c r="V280" s="43"/>
      <c r="W280" s="43"/>
      <c r="X280" s="43"/>
      <c r="Y280" s="43"/>
    </row>
    <row r="281" ht="13.2" spans="1:25">
      <c r="A281" s="42">
        <v>280</v>
      </c>
      <c r="B281" s="43" t="s">
        <v>633</v>
      </c>
      <c r="C281" s="43"/>
      <c r="D281" s="43"/>
      <c r="E281" s="43"/>
      <c r="F281" s="43"/>
      <c r="G281" s="43"/>
      <c r="H281" s="43"/>
      <c r="I281" s="43"/>
      <c r="J281" s="43"/>
      <c r="K281" s="43"/>
      <c r="L281" s="43"/>
      <c r="M281" s="43"/>
      <c r="N281" s="43"/>
      <c r="O281" s="43"/>
      <c r="P281" s="43"/>
      <c r="Q281" s="43"/>
      <c r="R281" s="43"/>
      <c r="S281" s="43"/>
      <c r="T281" s="43"/>
      <c r="U281" s="43"/>
      <c r="V281" s="43"/>
      <c r="W281" s="43"/>
      <c r="X281" s="43"/>
      <c r="Y281" s="43"/>
    </row>
    <row r="282" ht="13.2" spans="1:25">
      <c r="A282" s="42">
        <v>281</v>
      </c>
      <c r="B282" s="43" t="s">
        <v>634</v>
      </c>
      <c r="C282" s="43"/>
      <c r="D282" s="43"/>
      <c r="E282" s="43"/>
      <c r="F282" s="43"/>
      <c r="G282" s="43"/>
      <c r="H282" s="43"/>
      <c r="I282" s="43"/>
      <c r="J282" s="43"/>
      <c r="K282" s="43"/>
      <c r="L282" s="43"/>
      <c r="M282" s="43"/>
      <c r="N282" s="43"/>
      <c r="O282" s="43"/>
      <c r="P282" s="43"/>
      <c r="Q282" s="43"/>
      <c r="R282" s="43"/>
      <c r="S282" s="43"/>
      <c r="T282" s="43"/>
      <c r="U282" s="43"/>
      <c r="V282" s="43"/>
      <c r="W282" s="43"/>
      <c r="X282" s="43"/>
      <c r="Y282" s="43"/>
    </row>
    <row r="283" ht="13.2" spans="1:25">
      <c r="A283" s="42">
        <v>282</v>
      </c>
      <c r="B283" s="43" t="s">
        <v>635</v>
      </c>
      <c r="C283" s="43"/>
      <c r="D283" s="43"/>
      <c r="E283" s="43"/>
      <c r="F283" s="43"/>
      <c r="G283" s="43"/>
      <c r="H283" s="43"/>
      <c r="I283" s="43"/>
      <c r="J283" s="43"/>
      <c r="K283" s="43"/>
      <c r="L283" s="43"/>
      <c r="M283" s="43"/>
      <c r="N283" s="43"/>
      <c r="O283" s="43"/>
      <c r="P283" s="43"/>
      <c r="Q283" s="43"/>
      <c r="R283" s="43"/>
      <c r="S283" s="43"/>
      <c r="T283" s="43"/>
      <c r="U283" s="43"/>
      <c r="V283" s="43"/>
      <c r="W283" s="43"/>
      <c r="X283" s="43"/>
      <c r="Y283" s="43"/>
    </row>
    <row r="284" ht="13.2" spans="1:25">
      <c r="A284" s="42">
        <v>283</v>
      </c>
      <c r="B284" s="43" t="s">
        <v>636</v>
      </c>
      <c r="C284" s="43"/>
      <c r="D284" s="43"/>
      <c r="E284" s="43"/>
      <c r="F284" s="43"/>
      <c r="G284" s="43"/>
      <c r="H284" s="43"/>
      <c r="I284" s="43"/>
      <c r="J284" s="43"/>
      <c r="K284" s="43"/>
      <c r="L284" s="43"/>
      <c r="M284" s="43"/>
      <c r="N284" s="43"/>
      <c r="O284" s="43"/>
      <c r="P284" s="43"/>
      <c r="Q284" s="43"/>
      <c r="R284" s="43"/>
      <c r="S284" s="43"/>
      <c r="T284" s="43"/>
      <c r="U284" s="43"/>
      <c r="V284" s="43"/>
      <c r="W284" s="43"/>
      <c r="X284" s="43"/>
      <c r="Y284" s="43"/>
    </row>
    <row r="285" ht="13.2" spans="1:25">
      <c r="A285" s="42">
        <v>284</v>
      </c>
      <c r="B285" s="43" t="s">
        <v>637</v>
      </c>
      <c r="C285" s="43"/>
      <c r="D285" s="43"/>
      <c r="E285" s="43"/>
      <c r="F285" s="43"/>
      <c r="G285" s="43"/>
      <c r="H285" s="43"/>
      <c r="I285" s="43"/>
      <c r="J285" s="43"/>
      <c r="K285" s="43"/>
      <c r="L285" s="43"/>
      <c r="M285" s="43"/>
      <c r="N285" s="43"/>
      <c r="O285" s="43"/>
      <c r="P285" s="43"/>
      <c r="Q285" s="43"/>
      <c r="R285" s="43"/>
      <c r="S285" s="43"/>
      <c r="T285" s="43"/>
      <c r="U285" s="43"/>
      <c r="V285" s="43"/>
      <c r="W285" s="43"/>
      <c r="X285" s="43"/>
      <c r="Y285" s="43"/>
    </row>
    <row r="286" ht="13.2" spans="1:25">
      <c r="A286" s="42">
        <v>285</v>
      </c>
      <c r="B286" s="43" t="s">
        <v>638</v>
      </c>
      <c r="C286" s="43"/>
      <c r="D286" s="43"/>
      <c r="E286" s="43"/>
      <c r="F286" s="43"/>
      <c r="G286" s="43"/>
      <c r="H286" s="43"/>
      <c r="I286" s="43"/>
      <c r="J286" s="43"/>
      <c r="K286" s="43"/>
      <c r="L286" s="43"/>
      <c r="M286" s="43"/>
      <c r="N286" s="43"/>
      <c r="O286" s="43"/>
      <c r="P286" s="43"/>
      <c r="Q286" s="43"/>
      <c r="R286" s="43"/>
      <c r="S286" s="43"/>
      <c r="T286" s="43"/>
      <c r="U286" s="43"/>
      <c r="V286" s="43"/>
      <c r="W286" s="43"/>
      <c r="X286" s="43"/>
      <c r="Y286" s="43"/>
    </row>
    <row r="287" ht="13.2" spans="1:25">
      <c r="A287" s="42">
        <v>286</v>
      </c>
      <c r="B287" s="43" t="s">
        <v>639</v>
      </c>
      <c r="C287" s="43"/>
      <c r="D287" s="43"/>
      <c r="E287" s="43"/>
      <c r="F287" s="43"/>
      <c r="G287" s="43"/>
      <c r="H287" s="43"/>
      <c r="I287" s="43"/>
      <c r="J287" s="43"/>
      <c r="K287" s="43"/>
      <c r="L287" s="43"/>
      <c r="M287" s="43"/>
      <c r="N287" s="43"/>
      <c r="O287" s="43"/>
      <c r="P287" s="43"/>
      <c r="Q287" s="43"/>
      <c r="R287" s="43"/>
      <c r="S287" s="43"/>
      <c r="T287" s="43"/>
      <c r="U287" s="43"/>
      <c r="V287" s="43"/>
      <c r="W287" s="43"/>
      <c r="X287" s="43"/>
      <c r="Y287" s="43"/>
    </row>
    <row r="288" ht="13.2" spans="1:25">
      <c r="A288" s="42">
        <v>287</v>
      </c>
      <c r="B288" s="43" t="s">
        <v>640</v>
      </c>
      <c r="C288" s="43"/>
      <c r="D288" s="43"/>
      <c r="E288" s="43"/>
      <c r="F288" s="43"/>
      <c r="G288" s="43"/>
      <c r="H288" s="43"/>
      <c r="I288" s="43"/>
      <c r="J288" s="43"/>
      <c r="K288" s="43"/>
      <c r="L288" s="43"/>
      <c r="M288" s="43"/>
      <c r="N288" s="43"/>
      <c r="O288" s="43"/>
      <c r="P288" s="43"/>
      <c r="Q288" s="43"/>
      <c r="R288" s="43"/>
      <c r="S288" s="43"/>
      <c r="T288" s="43"/>
      <c r="U288" s="43"/>
      <c r="V288" s="43"/>
      <c r="W288" s="43"/>
      <c r="X288" s="43"/>
      <c r="Y288" s="43"/>
    </row>
    <row r="289" ht="13.2" spans="1:25">
      <c r="A289" s="42">
        <v>288</v>
      </c>
      <c r="B289" s="42" t="s">
        <v>641</v>
      </c>
      <c r="C289" s="43"/>
      <c r="D289" s="43"/>
      <c r="E289" s="43"/>
      <c r="F289" s="43"/>
      <c r="G289" s="43"/>
      <c r="H289" s="43"/>
      <c r="I289" s="43"/>
      <c r="J289" s="43"/>
      <c r="K289" s="43"/>
      <c r="L289" s="43"/>
      <c r="M289" s="43"/>
      <c r="N289" s="43"/>
      <c r="O289" s="43"/>
      <c r="P289" s="43"/>
      <c r="Q289" s="43"/>
      <c r="R289" s="43"/>
      <c r="S289" s="43"/>
      <c r="T289" s="43"/>
      <c r="U289" s="43"/>
      <c r="V289" s="43"/>
      <c r="W289" s="43"/>
      <c r="X289" s="43"/>
      <c r="Y289" s="43"/>
    </row>
    <row r="290" ht="13.2" spans="1:25">
      <c r="A290" s="42">
        <v>289</v>
      </c>
      <c r="B290" s="43" t="s">
        <v>642</v>
      </c>
      <c r="C290" s="43"/>
      <c r="D290" s="43"/>
      <c r="E290" s="43"/>
      <c r="F290" s="43"/>
      <c r="G290" s="43"/>
      <c r="H290" s="43"/>
      <c r="I290" s="43"/>
      <c r="J290" s="43"/>
      <c r="K290" s="43"/>
      <c r="L290" s="43"/>
      <c r="M290" s="43"/>
      <c r="N290" s="43"/>
      <c r="O290" s="43"/>
      <c r="P290" s="43"/>
      <c r="Q290" s="43"/>
      <c r="R290" s="43"/>
      <c r="S290" s="43"/>
      <c r="T290" s="43"/>
      <c r="U290" s="43"/>
      <c r="V290" s="43"/>
      <c r="W290" s="43"/>
      <c r="X290" s="43"/>
      <c r="Y290" s="43"/>
    </row>
    <row r="291" ht="13.2" spans="1:25">
      <c r="A291" s="42">
        <v>290</v>
      </c>
      <c r="B291" s="43" t="s">
        <v>643</v>
      </c>
      <c r="C291" s="43"/>
      <c r="D291" s="43"/>
      <c r="E291" s="43"/>
      <c r="F291" s="43"/>
      <c r="G291" s="43"/>
      <c r="H291" s="43"/>
      <c r="I291" s="43"/>
      <c r="J291" s="43"/>
      <c r="K291" s="43"/>
      <c r="L291" s="43"/>
      <c r="M291" s="43"/>
      <c r="N291" s="43"/>
      <c r="O291" s="43"/>
      <c r="P291" s="43"/>
      <c r="Q291" s="43"/>
      <c r="R291" s="43"/>
      <c r="S291" s="43"/>
      <c r="T291" s="43"/>
      <c r="U291" s="43"/>
      <c r="V291" s="43"/>
      <c r="W291" s="43"/>
      <c r="X291" s="43"/>
      <c r="Y291" s="43"/>
    </row>
    <row r="292" ht="13.2" spans="1:25">
      <c r="A292" s="42">
        <v>291</v>
      </c>
      <c r="B292" s="43" t="s">
        <v>644</v>
      </c>
      <c r="C292" s="43"/>
      <c r="D292" s="43"/>
      <c r="E292" s="43"/>
      <c r="F292" s="43"/>
      <c r="G292" s="43"/>
      <c r="H292" s="43"/>
      <c r="I292" s="43"/>
      <c r="J292" s="43"/>
      <c r="K292" s="43"/>
      <c r="L292" s="43"/>
      <c r="M292" s="43"/>
      <c r="N292" s="43"/>
      <c r="O292" s="43"/>
      <c r="P292" s="43"/>
      <c r="Q292" s="43"/>
      <c r="R292" s="43"/>
      <c r="S292" s="43"/>
      <c r="T292" s="43"/>
      <c r="U292" s="43"/>
      <c r="V292" s="43"/>
      <c r="W292" s="43"/>
      <c r="X292" s="43"/>
      <c r="Y292" s="43"/>
    </row>
    <row r="293" ht="13.2" spans="1:25">
      <c r="A293" s="42">
        <v>292</v>
      </c>
      <c r="B293" s="43" t="s">
        <v>645</v>
      </c>
      <c r="C293" s="43"/>
      <c r="D293" s="43"/>
      <c r="E293" s="43"/>
      <c r="F293" s="43"/>
      <c r="G293" s="43"/>
      <c r="H293" s="43"/>
      <c r="I293" s="43"/>
      <c r="J293" s="43"/>
      <c r="K293" s="43"/>
      <c r="L293" s="43"/>
      <c r="M293" s="43"/>
      <c r="N293" s="43"/>
      <c r="O293" s="43"/>
      <c r="P293" s="43"/>
      <c r="Q293" s="43"/>
      <c r="R293" s="43"/>
      <c r="S293" s="43"/>
      <c r="T293" s="43"/>
      <c r="U293" s="43"/>
      <c r="V293" s="43"/>
      <c r="W293" s="43"/>
      <c r="X293" s="43"/>
      <c r="Y293" s="43"/>
    </row>
    <row r="294" ht="13.2" spans="1:25">
      <c r="A294" s="42">
        <v>293</v>
      </c>
      <c r="B294" s="42" t="s">
        <v>646</v>
      </c>
      <c r="C294" s="43"/>
      <c r="D294" s="43"/>
      <c r="E294" s="43"/>
      <c r="F294" s="43"/>
      <c r="G294" s="43"/>
      <c r="H294" s="43"/>
      <c r="I294" s="43"/>
      <c r="J294" s="43"/>
      <c r="K294" s="43"/>
      <c r="L294" s="43"/>
      <c r="M294" s="43"/>
      <c r="N294" s="43"/>
      <c r="O294" s="43"/>
      <c r="P294" s="43"/>
      <c r="Q294" s="43"/>
      <c r="R294" s="43"/>
      <c r="S294" s="43"/>
      <c r="T294" s="43"/>
      <c r="U294" s="43"/>
      <c r="V294" s="43"/>
      <c r="W294" s="43"/>
      <c r="X294" s="43"/>
      <c r="Y294" s="43"/>
    </row>
    <row r="295" ht="13.2" spans="1:25">
      <c r="A295" s="42">
        <v>294</v>
      </c>
      <c r="B295" s="43" t="s">
        <v>647</v>
      </c>
      <c r="C295" s="43"/>
      <c r="D295" s="43"/>
      <c r="E295" s="43"/>
      <c r="F295" s="43"/>
      <c r="G295" s="43"/>
      <c r="H295" s="43"/>
      <c r="I295" s="43"/>
      <c r="J295" s="43"/>
      <c r="K295" s="43"/>
      <c r="L295" s="43"/>
      <c r="M295" s="43"/>
      <c r="N295" s="43"/>
      <c r="O295" s="43"/>
      <c r="P295" s="43"/>
      <c r="Q295" s="43"/>
      <c r="R295" s="43"/>
      <c r="S295" s="43"/>
      <c r="T295" s="43"/>
      <c r="U295" s="43"/>
      <c r="V295" s="43"/>
      <c r="W295" s="43"/>
      <c r="X295" s="43"/>
      <c r="Y295" s="43"/>
    </row>
    <row r="296" ht="13.2" spans="1:25">
      <c r="A296" s="42">
        <v>295</v>
      </c>
      <c r="B296" s="42" t="s">
        <v>648</v>
      </c>
      <c r="C296" s="43"/>
      <c r="D296" s="43"/>
      <c r="E296" s="43"/>
      <c r="F296" s="43"/>
      <c r="G296" s="43"/>
      <c r="H296" s="43"/>
      <c r="I296" s="43"/>
      <c r="J296" s="43"/>
      <c r="K296" s="43"/>
      <c r="L296" s="43"/>
      <c r="M296" s="43"/>
      <c r="N296" s="43"/>
      <c r="O296" s="43"/>
      <c r="P296" s="43"/>
      <c r="Q296" s="43"/>
      <c r="R296" s="43"/>
      <c r="S296" s="43"/>
      <c r="T296" s="43"/>
      <c r="U296" s="43"/>
      <c r="V296" s="43"/>
      <c r="W296" s="43"/>
      <c r="X296" s="43"/>
      <c r="Y296" s="43"/>
    </row>
    <row r="297" ht="13.2" spans="1:25">
      <c r="A297" s="42">
        <v>296</v>
      </c>
      <c r="B297" s="43" t="s">
        <v>649</v>
      </c>
      <c r="C297" s="43"/>
      <c r="D297" s="43"/>
      <c r="E297" s="43"/>
      <c r="F297" s="43"/>
      <c r="G297" s="43"/>
      <c r="H297" s="43"/>
      <c r="I297" s="43"/>
      <c r="J297" s="43"/>
      <c r="K297" s="43"/>
      <c r="L297" s="43"/>
      <c r="M297" s="43"/>
      <c r="N297" s="43"/>
      <c r="O297" s="43"/>
      <c r="P297" s="43"/>
      <c r="Q297" s="43"/>
      <c r="R297" s="43"/>
      <c r="S297" s="43"/>
      <c r="T297" s="43"/>
      <c r="U297" s="43"/>
      <c r="V297" s="43"/>
      <c r="W297" s="43"/>
      <c r="X297" s="43"/>
      <c r="Y297" s="43"/>
    </row>
    <row r="298" ht="13.2" spans="1:25">
      <c r="A298" s="42">
        <v>297</v>
      </c>
      <c r="B298" s="43" t="s">
        <v>650</v>
      </c>
      <c r="C298" s="43"/>
      <c r="D298" s="43"/>
      <c r="E298" s="43"/>
      <c r="F298" s="43"/>
      <c r="G298" s="43"/>
      <c r="H298" s="43"/>
      <c r="I298" s="43"/>
      <c r="J298" s="43"/>
      <c r="K298" s="43"/>
      <c r="L298" s="43"/>
      <c r="M298" s="43"/>
      <c r="N298" s="43"/>
      <c r="O298" s="43"/>
      <c r="P298" s="43"/>
      <c r="Q298" s="43"/>
      <c r="R298" s="43"/>
      <c r="S298" s="43"/>
      <c r="T298" s="43"/>
      <c r="U298" s="43"/>
      <c r="V298" s="43"/>
      <c r="W298" s="43"/>
      <c r="X298" s="43"/>
      <c r="Y298" s="43"/>
    </row>
    <row r="299" ht="13.2" spans="1:25">
      <c r="A299" s="42">
        <v>298</v>
      </c>
      <c r="B299" s="43" t="s">
        <v>651</v>
      </c>
      <c r="C299" s="43"/>
      <c r="D299" s="43"/>
      <c r="E299" s="43"/>
      <c r="F299" s="43"/>
      <c r="G299" s="43"/>
      <c r="H299" s="43"/>
      <c r="I299" s="43"/>
      <c r="J299" s="43"/>
      <c r="K299" s="43"/>
      <c r="L299" s="43"/>
      <c r="M299" s="43"/>
      <c r="N299" s="43"/>
      <c r="O299" s="43"/>
      <c r="P299" s="43"/>
      <c r="Q299" s="43"/>
      <c r="R299" s="43"/>
      <c r="S299" s="43"/>
      <c r="T299" s="43"/>
      <c r="U299" s="43"/>
      <c r="V299" s="43"/>
      <c r="W299" s="43"/>
      <c r="X299" s="43"/>
      <c r="Y299" s="43"/>
    </row>
    <row r="300" ht="13.2" spans="1:25">
      <c r="A300" s="42">
        <v>299</v>
      </c>
      <c r="B300" s="43" t="s">
        <v>652</v>
      </c>
      <c r="C300" s="43"/>
      <c r="D300" s="43"/>
      <c r="E300" s="43"/>
      <c r="F300" s="43"/>
      <c r="G300" s="43"/>
      <c r="H300" s="43"/>
      <c r="I300" s="43"/>
      <c r="J300" s="43"/>
      <c r="K300" s="43"/>
      <c r="L300" s="43"/>
      <c r="M300" s="43"/>
      <c r="N300" s="43"/>
      <c r="O300" s="43"/>
      <c r="P300" s="43"/>
      <c r="Q300" s="43"/>
      <c r="R300" s="43"/>
      <c r="S300" s="43"/>
      <c r="T300" s="43"/>
      <c r="U300" s="43"/>
      <c r="V300" s="43"/>
      <c r="W300" s="43"/>
      <c r="X300" s="43"/>
      <c r="Y300" s="43"/>
    </row>
    <row r="301" ht="13.2" spans="1:25">
      <c r="A301" s="42">
        <v>300</v>
      </c>
      <c r="B301" s="43" t="s">
        <v>653</v>
      </c>
      <c r="C301" s="43"/>
      <c r="D301" s="43"/>
      <c r="E301" s="43"/>
      <c r="F301" s="43"/>
      <c r="G301" s="43"/>
      <c r="H301" s="43"/>
      <c r="I301" s="43"/>
      <c r="J301" s="43"/>
      <c r="K301" s="43"/>
      <c r="L301" s="43"/>
      <c r="M301" s="43"/>
      <c r="N301" s="43"/>
      <c r="O301" s="43"/>
      <c r="P301" s="43"/>
      <c r="Q301" s="43"/>
      <c r="R301" s="43"/>
      <c r="S301" s="43"/>
      <c r="T301" s="43"/>
      <c r="U301" s="43"/>
      <c r="V301" s="43"/>
      <c r="W301" s="43"/>
      <c r="X301" s="43"/>
      <c r="Y301" s="43"/>
    </row>
    <row r="302" ht="13.2" spans="1:25">
      <c r="A302" s="42">
        <v>301</v>
      </c>
      <c r="B302" s="43" t="s">
        <v>654</v>
      </c>
      <c r="C302" s="43"/>
      <c r="D302" s="43"/>
      <c r="E302" s="43"/>
      <c r="F302" s="43"/>
      <c r="G302" s="43"/>
      <c r="H302" s="43"/>
      <c r="I302" s="43"/>
      <c r="J302" s="43"/>
      <c r="K302" s="43"/>
      <c r="L302" s="43"/>
      <c r="M302" s="43"/>
      <c r="N302" s="43"/>
      <c r="O302" s="43"/>
      <c r="P302" s="43"/>
      <c r="Q302" s="43"/>
      <c r="R302" s="43"/>
      <c r="S302" s="43"/>
      <c r="T302" s="43"/>
      <c r="U302" s="43"/>
      <c r="V302" s="43"/>
      <c r="W302" s="43"/>
      <c r="X302" s="43"/>
      <c r="Y302" s="43"/>
    </row>
    <row r="303" ht="13.2" spans="1:25">
      <c r="A303" s="42">
        <v>302</v>
      </c>
      <c r="B303" s="43" t="s">
        <v>655</v>
      </c>
      <c r="C303" s="43"/>
      <c r="D303" s="43"/>
      <c r="E303" s="43"/>
      <c r="F303" s="43"/>
      <c r="G303" s="43"/>
      <c r="H303" s="43"/>
      <c r="I303" s="43"/>
      <c r="J303" s="43"/>
      <c r="K303" s="43"/>
      <c r="L303" s="43"/>
      <c r="M303" s="43"/>
      <c r="N303" s="43"/>
      <c r="O303" s="43"/>
      <c r="P303" s="43"/>
      <c r="Q303" s="43"/>
      <c r="R303" s="43"/>
      <c r="S303" s="43"/>
      <c r="T303" s="43"/>
      <c r="U303" s="43"/>
      <c r="V303" s="43"/>
      <c r="W303" s="43"/>
      <c r="X303" s="43"/>
      <c r="Y303" s="43"/>
    </row>
    <row r="304" ht="13.2" spans="1:25">
      <c r="A304" s="42">
        <v>303</v>
      </c>
      <c r="B304" s="43" t="s">
        <v>103</v>
      </c>
      <c r="C304" s="43"/>
      <c r="D304" s="43"/>
      <c r="E304" s="43"/>
      <c r="F304" s="43"/>
      <c r="G304" s="43"/>
      <c r="H304" s="43"/>
      <c r="I304" s="43"/>
      <c r="J304" s="43"/>
      <c r="K304" s="43"/>
      <c r="L304" s="43"/>
      <c r="M304" s="43"/>
      <c r="N304" s="43"/>
      <c r="O304" s="43"/>
      <c r="P304" s="43"/>
      <c r="Q304" s="43"/>
      <c r="R304" s="43"/>
      <c r="S304" s="43"/>
      <c r="T304" s="43"/>
      <c r="U304" s="43"/>
      <c r="V304" s="43"/>
      <c r="W304" s="43"/>
      <c r="X304" s="43"/>
      <c r="Y304" s="43"/>
    </row>
    <row r="305" ht="13.2" spans="1:25">
      <c r="A305" s="42">
        <v>304</v>
      </c>
      <c r="B305" s="43" t="s">
        <v>656</v>
      </c>
      <c r="C305" s="43"/>
      <c r="D305" s="43"/>
      <c r="E305" s="43"/>
      <c r="F305" s="43"/>
      <c r="G305" s="43"/>
      <c r="H305" s="43"/>
      <c r="I305" s="43"/>
      <c r="J305" s="43"/>
      <c r="K305" s="43"/>
      <c r="L305" s="43"/>
      <c r="M305" s="43"/>
      <c r="N305" s="43"/>
      <c r="O305" s="43"/>
      <c r="P305" s="43"/>
      <c r="Q305" s="43"/>
      <c r="R305" s="43"/>
      <c r="S305" s="43"/>
      <c r="T305" s="43"/>
      <c r="U305" s="43"/>
      <c r="V305" s="43"/>
      <c r="W305" s="43"/>
      <c r="X305" s="43"/>
      <c r="Y305" s="43"/>
    </row>
    <row r="306" ht="13.2" spans="1:25">
      <c r="A306" s="42">
        <v>305</v>
      </c>
      <c r="B306" s="43" t="s">
        <v>657</v>
      </c>
      <c r="C306" s="43"/>
      <c r="D306" s="43"/>
      <c r="E306" s="43"/>
      <c r="F306" s="43"/>
      <c r="G306" s="43"/>
      <c r="H306" s="43"/>
      <c r="I306" s="43"/>
      <c r="J306" s="43"/>
      <c r="K306" s="43"/>
      <c r="L306" s="43"/>
      <c r="M306" s="43"/>
      <c r="N306" s="43"/>
      <c r="O306" s="43"/>
      <c r="P306" s="43"/>
      <c r="Q306" s="43"/>
      <c r="R306" s="43"/>
      <c r="S306" s="43"/>
      <c r="T306" s="43"/>
      <c r="U306" s="43"/>
      <c r="V306" s="43"/>
      <c r="W306" s="43"/>
      <c r="X306" s="43"/>
      <c r="Y306" s="43"/>
    </row>
    <row r="307" ht="13.2" spans="1:25">
      <c r="A307" s="42">
        <v>306</v>
      </c>
      <c r="B307" s="43" t="s">
        <v>658</v>
      </c>
      <c r="C307" s="43"/>
      <c r="D307" s="43"/>
      <c r="E307" s="43"/>
      <c r="F307" s="43"/>
      <c r="G307" s="43"/>
      <c r="H307" s="43"/>
      <c r="I307" s="43"/>
      <c r="J307" s="43"/>
      <c r="K307" s="43"/>
      <c r="L307" s="43"/>
      <c r="M307" s="43"/>
      <c r="N307" s="43"/>
      <c r="O307" s="43"/>
      <c r="P307" s="43"/>
      <c r="Q307" s="43"/>
      <c r="R307" s="43"/>
      <c r="S307" s="43"/>
      <c r="T307" s="43"/>
      <c r="U307" s="43"/>
      <c r="V307" s="43"/>
      <c r="W307" s="43"/>
      <c r="X307" s="43"/>
      <c r="Y307" s="43"/>
    </row>
    <row r="308" ht="13.2" spans="1:25">
      <c r="A308" s="42">
        <v>307</v>
      </c>
      <c r="B308" s="43" t="s">
        <v>659</v>
      </c>
      <c r="C308" s="43"/>
      <c r="D308" s="43"/>
      <c r="E308" s="43"/>
      <c r="F308" s="43"/>
      <c r="G308" s="43"/>
      <c r="H308" s="43"/>
      <c r="I308" s="43"/>
      <c r="J308" s="43"/>
      <c r="K308" s="43"/>
      <c r="L308" s="43"/>
      <c r="M308" s="43"/>
      <c r="N308" s="43"/>
      <c r="O308" s="43"/>
      <c r="P308" s="43"/>
      <c r="Q308" s="43"/>
      <c r="R308" s="43"/>
      <c r="S308" s="43"/>
      <c r="T308" s="43"/>
      <c r="U308" s="43"/>
      <c r="V308" s="43"/>
      <c r="W308" s="43"/>
      <c r="X308" s="43"/>
      <c r="Y308" s="43"/>
    </row>
    <row r="309" ht="13.2" spans="1:25">
      <c r="A309" s="42">
        <v>308</v>
      </c>
      <c r="B309" s="43" t="s">
        <v>660</v>
      </c>
      <c r="C309" s="43"/>
      <c r="D309" s="43"/>
      <c r="E309" s="43"/>
      <c r="F309" s="43"/>
      <c r="G309" s="43"/>
      <c r="H309" s="43"/>
      <c r="I309" s="43"/>
      <c r="J309" s="43"/>
      <c r="K309" s="43"/>
      <c r="L309" s="43"/>
      <c r="M309" s="43"/>
      <c r="N309" s="43"/>
      <c r="O309" s="43"/>
      <c r="P309" s="43"/>
      <c r="Q309" s="43"/>
      <c r="R309" s="43"/>
      <c r="S309" s="43"/>
      <c r="T309" s="43"/>
      <c r="U309" s="43"/>
      <c r="V309" s="43"/>
      <c r="W309" s="43"/>
      <c r="X309" s="43"/>
      <c r="Y309" s="43"/>
    </row>
    <row r="310" ht="13.2" spans="1:25">
      <c r="A310" s="42">
        <v>309</v>
      </c>
      <c r="B310" s="43" t="s">
        <v>661</v>
      </c>
      <c r="C310" s="43"/>
      <c r="D310" s="43"/>
      <c r="E310" s="43"/>
      <c r="F310" s="43"/>
      <c r="G310" s="43"/>
      <c r="H310" s="43"/>
      <c r="I310" s="43"/>
      <c r="J310" s="43"/>
      <c r="K310" s="43"/>
      <c r="L310" s="43"/>
      <c r="M310" s="43"/>
      <c r="N310" s="43"/>
      <c r="O310" s="43"/>
      <c r="P310" s="43"/>
      <c r="Q310" s="43"/>
      <c r="R310" s="43"/>
      <c r="S310" s="43"/>
      <c r="T310" s="43"/>
      <c r="U310" s="43"/>
      <c r="V310" s="43"/>
      <c r="W310" s="43"/>
      <c r="X310" s="43"/>
      <c r="Y310" s="43"/>
    </row>
    <row r="311" ht="13.2" spans="1:25">
      <c r="A311" s="42">
        <v>310</v>
      </c>
      <c r="B311" s="43" t="s">
        <v>662</v>
      </c>
      <c r="C311" s="43"/>
      <c r="D311" s="43"/>
      <c r="E311" s="43"/>
      <c r="F311" s="43"/>
      <c r="G311" s="43"/>
      <c r="H311" s="43"/>
      <c r="I311" s="43"/>
      <c r="J311" s="43"/>
      <c r="K311" s="43"/>
      <c r="L311" s="43"/>
      <c r="M311" s="43"/>
      <c r="N311" s="43"/>
      <c r="O311" s="43"/>
      <c r="P311" s="43"/>
      <c r="Q311" s="43"/>
      <c r="R311" s="43"/>
      <c r="S311" s="43"/>
      <c r="T311" s="43"/>
      <c r="U311" s="43"/>
      <c r="V311" s="43"/>
      <c r="W311" s="43"/>
      <c r="X311" s="43"/>
      <c r="Y311" s="43"/>
    </row>
    <row r="312" ht="13.2" spans="1:25">
      <c r="A312" s="42">
        <v>311</v>
      </c>
      <c r="B312" s="43" t="s">
        <v>663</v>
      </c>
      <c r="C312" s="43"/>
      <c r="D312" s="43"/>
      <c r="E312" s="43"/>
      <c r="F312" s="43"/>
      <c r="G312" s="43"/>
      <c r="H312" s="43"/>
      <c r="I312" s="43"/>
      <c r="J312" s="43"/>
      <c r="K312" s="43"/>
      <c r="L312" s="43"/>
      <c r="M312" s="43"/>
      <c r="N312" s="43"/>
      <c r="O312" s="43"/>
      <c r="P312" s="43"/>
      <c r="Q312" s="43"/>
      <c r="R312" s="43"/>
      <c r="S312" s="43"/>
      <c r="T312" s="43"/>
      <c r="U312" s="43"/>
      <c r="V312" s="43"/>
      <c r="W312" s="43"/>
      <c r="X312" s="43"/>
      <c r="Y312" s="43"/>
    </row>
    <row r="313" ht="13.2" spans="1:25">
      <c r="A313" s="42">
        <v>312</v>
      </c>
      <c r="B313" s="43" t="s">
        <v>664</v>
      </c>
      <c r="C313" s="43"/>
      <c r="D313" s="43"/>
      <c r="E313" s="43"/>
      <c r="F313" s="43"/>
      <c r="G313" s="43"/>
      <c r="H313" s="43"/>
      <c r="I313" s="43"/>
      <c r="J313" s="43"/>
      <c r="K313" s="43"/>
      <c r="L313" s="43"/>
      <c r="M313" s="43"/>
      <c r="N313" s="43"/>
      <c r="O313" s="43"/>
      <c r="P313" s="43"/>
      <c r="Q313" s="43"/>
      <c r="R313" s="43"/>
      <c r="S313" s="43"/>
      <c r="T313" s="43"/>
      <c r="U313" s="43"/>
      <c r="V313" s="43"/>
      <c r="W313" s="43"/>
      <c r="X313" s="43"/>
      <c r="Y313" s="43"/>
    </row>
    <row r="314" ht="13.2" spans="1:25">
      <c r="A314" s="42">
        <v>313</v>
      </c>
      <c r="B314" s="43" t="s">
        <v>110</v>
      </c>
      <c r="C314" s="43"/>
      <c r="D314" s="43"/>
      <c r="E314" s="43"/>
      <c r="F314" s="43"/>
      <c r="G314" s="43"/>
      <c r="H314" s="43"/>
      <c r="I314" s="43"/>
      <c r="J314" s="43"/>
      <c r="K314" s="43"/>
      <c r="L314" s="43"/>
      <c r="M314" s="43"/>
      <c r="N314" s="43"/>
      <c r="O314" s="43"/>
      <c r="P314" s="43"/>
      <c r="Q314" s="43"/>
      <c r="R314" s="43"/>
      <c r="S314" s="43"/>
      <c r="T314" s="43"/>
      <c r="U314" s="43"/>
      <c r="V314" s="43"/>
      <c r="W314" s="43"/>
      <c r="X314" s="43"/>
      <c r="Y314" s="43"/>
    </row>
    <row r="315" ht="13.2" spans="1:25">
      <c r="A315" s="42">
        <v>314</v>
      </c>
      <c r="B315" s="43" t="s">
        <v>665</v>
      </c>
      <c r="C315" s="43"/>
      <c r="D315" s="43"/>
      <c r="E315" s="43"/>
      <c r="F315" s="43"/>
      <c r="G315" s="43"/>
      <c r="H315" s="43"/>
      <c r="I315" s="43"/>
      <c r="J315" s="43"/>
      <c r="K315" s="43"/>
      <c r="L315" s="43"/>
      <c r="M315" s="43"/>
      <c r="N315" s="43"/>
      <c r="O315" s="43"/>
      <c r="P315" s="43"/>
      <c r="Q315" s="43"/>
      <c r="R315" s="43"/>
      <c r="S315" s="43"/>
      <c r="T315" s="43"/>
      <c r="U315" s="43"/>
      <c r="V315" s="43"/>
      <c r="W315" s="43"/>
      <c r="X315" s="43"/>
      <c r="Y315" s="43"/>
    </row>
    <row r="316" ht="13.2" spans="1:25">
      <c r="A316" s="42">
        <v>315</v>
      </c>
      <c r="B316" s="43" t="s">
        <v>666</v>
      </c>
      <c r="C316" s="43"/>
      <c r="D316" s="43"/>
      <c r="E316" s="43"/>
      <c r="F316" s="43"/>
      <c r="G316" s="43"/>
      <c r="H316" s="43"/>
      <c r="I316" s="43"/>
      <c r="J316" s="43"/>
      <c r="K316" s="43"/>
      <c r="L316" s="43"/>
      <c r="M316" s="43"/>
      <c r="N316" s="43"/>
      <c r="O316" s="43"/>
      <c r="P316" s="43"/>
      <c r="Q316" s="43"/>
      <c r="R316" s="43"/>
      <c r="S316" s="43"/>
      <c r="T316" s="43"/>
      <c r="U316" s="43"/>
      <c r="V316" s="43"/>
      <c r="W316" s="43"/>
      <c r="X316" s="43"/>
      <c r="Y316" s="43"/>
    </row>
    <row r="317" ht="13.2" spans="1:25">
      <c r="A317" s="42">
        <v>316</v>
      </c>
      <c r="B317" s="42" t="s">
        <v>667</v>
      </c>
      <c r="C317" s="43"/>
      <c r="D317" s="43"/>
      <c r="E317" s="43"/>
      <c r="F317" s="43"/>
      <c r="G317" s="43"/>
      <c r="H317" s="43"/>
      <c r="I317" s="43"/>
      <c r="J317" s="43"/>
      <c r="K317" s="43"/>
      <c r="L317" s="43"/>
      <c r="M317" s="43"/>
      <c r="N317" s="43"/>
      <c r="O317" s="43"/>
      <c r="P317" s="43"/>
      <c r="Q317" s="43"/>
      <c r="R317" s="43"/>
      <c r="S317" s="43"/>
      <c r="T317" s="43"/>
      <c r="U317" s="43"/>
      <c r="V317" s="43"/>
      <c r="W317" s="43"/>
      <c r="X317" s="43"/>
      <c r="Y317" s="43"/>
    </row>
    <row r="318" ht="13.2" spans="1:25">
      <c r="A318" s="42">
        <v>317</v>
      </c>
      <c r="B318" s="43" t="s">
        <v>668</v>
      </c>
      <c r="C318" s="43"/>
      <c r="D318" s="43"/>
      <c r="E318" s="43"/>
      <c r="F318" s="43"/>
      <c r="G318" s="43"/>
      <c r="H318" s="43"/>
      <c r="I318" s="43"/>
      <c r="J318" s="43"/>
      <c r="K318" s="43"/>
      <c r="L318" s="43"/>
      <c r="M318" s="43"/>
      <c r="N318" s="43"/>
      <c r="O318" s="43"/>
      <c r="P318" s="43"/>
      <c r="Q318" s="43"/>
      <c r="R318" s="43"/>
      <c r="S318" s="43"/>
      <c r="T318" s="43"/>
      <c r="U318" s="43"/>
      <c r="V318" s="43"/>
      <c r="W318" s="43"/>
      <c r="X318" s="43"/>
      <c r="Y318" s="43"/>
    </row>
    <row r="319" ht="13.2" spans="1:25">
      <c r="A319" s="42">
        <v>318</v>
      </c>
      <c r="B319" s="42" t="s">
        <v>669</v>
      </c>
      <c r="C319" s="43"/>
      <c r="D319" s="43"/>
      <c r="E319" s="43"/>
      <c r="F319" s="43"/>
      <c r="G319" s="43"/>
      <c r="H319" s="43"/>
      <c r="I319" s="43"/>
      <c r="J319" s="43"/>
      <c r="K319" s="43"/>
      <c r="L319" s="43"/>
      <c r="M319" s="43"/>
      <c r="N319" s="43"/>
      <c r="O319" s="43"/>
      <c r="P319" s="43"/>
      <c r="Q319" s="43"/>
      <c r="R319" s="43"/>
      <c r="S319" s="43"/>
      <c r="T319" s="43"/>
      <c r="U319" s="43"/>
      <c r="V319" s="43"/>
      <c r="W319" s="43"/>
      <c r="X319" s="43"/>
      <c r="Y319" s="43"/>
    </row>
    <row r="320" ht="13.2" spans="1:25">
      <c r="A320" s="42">
        <v>319</v>
      </c>
      <c r="B320" s="42" t="s">
        <v>670</v>
      </c>
      <c r="C320" s="43"/>
      <c r="D320" s="43"/>
      <c r="E320" s="43"/>
      <c r="F320" s="43"/>
      <c r="G320" s="43"/>
      <c r="H320" s="43"/>
      <c r="I320" s="43"/>
      <c r="J320" s="43"/>
      <c r="K320" s="43"/>
      <c r="L320" s="43"/>
      <c r="M320" s="43"/>
      <c r="N320" s="43"/>
      <c r="O320" s="43"/>
      <c r="P320" s="43"/>
      <c r="Q320" s="43"/>
      <c r="R320" s="43"/>
      <c r="S320" s="43"/>
      <c r="T320" s="43"/>
      <c r="U320" s="43"/>
      <c r="V320" s="43"/>
      <c r="W320" s="43"/>
      <c r="X320" s="43"/>
      <c r="Y320" s="43"/>
    </row>
    <row r="321" ht="13.2" spans="1:25">
      <c r="A321" s="42">
        <v>320</v>
      </c>
      <c r="B321" s="43" t="s">
        <v>671</v>
      </c>
      <c r="C321" s="43"/>
      <c r="D321" s="43"/>
      <c r="E321" s="43"/>
      <c r="F321" s="43"/>
      <c r="G321" s="43"/>
      <c r="H321" s="43"/>
      <c r="I321" s="43"/>
      <c r="J321" s="43"/>
      <c r="K321" s="43"/>
      <c r="L321" s="43"/>
      <c r="M321" s="43"/>
      <c r="N321" s="43"/>
      <c r="O321" s="43"/>
      <c r="P321" s="43"/>
      <c r="Q321" s="43"/>
      <c r="R321" s="43"/>
      <c r="S321" s="43"/>
      <c r="T321" s="43"/>
      <c r="U321" s="43"/>
      <c r="V321" s="43"/>
      <c r="W321" s="43"/>
      <c r="X321" s="43"/>
      <c r="Y321" s="43"/>
    </row>
    <row r="322" ht="13.2" spans="1:25">
      <c r="A322" s="42">
        <v>321</v>
      </c>
      <c r="B322" s="43" t="s">
        <v>672</v>
      </c>
      <c r="C322" s="43"/>
      <c r="D322" s="43"/>
      <c r="E322" s="43"/>
      <c r="F322" s="43"/>
      <c r="G322" s="43"/>
      <c r="H322" s="43"/>
      <c r="I322" s="43"/>
      <c r="J322" s="43"/>
      <c r="K322" s="43"/>
      <c r="L322" s="43"/>
      <c r="M322" s="43"/>
      <c r="N322" s="43"/>
      <c r="O322" s="43"/>
      <c r="P322" s="43"/>
      <c r="Q322" s="43"/>
      <c r="R322" s="43"/>
      <c r="S322" s="43"/>
      <c r="T322" s="43"/>
      <c r="U322" s="43"/>
      <c r="V322" s="43"/>
      <c r="W322" s="43"/>
      <c r="X322" s="43"/>
      <c r="Y322" s="43"/>
    </row>
    <row r="323" ht="13.2" spans="1:25">
      <c r="A323" s="42">
        <v>322</v>
      </c>
      <c r="B323" s="43" t="s">
        <v>673</v>
      </c>
      <c r="C323" s="43"/>
      <c r="D323" s="43"/>
      <c r="E323" s="43"/>
      <c r="F323" s="43"/>
      <c r="G323" s="43"/>
      <c r="H323" s="43"/>
      <c r="I323" s="43"/>
      <c r="J323" s="43"/>
      <c r="K323" s="43"/>
      <c r="L323" s="43"/>
      <c r="M323" s="43"/>
      <c r="N323" s="43"/>
      <c r="O323" s="43"/>
      <c r="P323" s="43"/>
      <c r="Q323" s="43"/>
      <c r="R323" s="43"/>
      <c r="S323" s="43"/>
      <c r="T323" s="43"/>
      <c r="U323" s="43"/>
      <c r="V323" s="43"/>
      <c r="W323" s="43"/>
      <c r="X323" s="43"/>
      <c r="Y323" s="43"/>
    </row>
    <row r="324" ht="13.2" spans="1:25">
      <c r="A324" s="42">
        <v>323</v>
      </c>
      <c r="B324" s="43" t="s">
        <v>674</v>
      </c>
      <c r="C324" s="43"/>
      <c r="D324" s="43"/>
      <c r="E324" s="43"/>
      <c r="F324" s="43"/>
      <c r="G324" s="43"/>
      <c r="H324" s="43"/>
      <c r="I324" s="43"/>
      <c r="J324" s="43"/>
      <c r="K324" s="43"/>
      <c r="L324" s="43"/>
      <c r="M324" s="43"/>
      <c r="N324" s="43"/>
      <c r="O324" s="43"/>
      <c r="P324" s="43"/>
      <c r="Q324" s="43"/>
      <c r="R324" s="43"/>
      <c r="S324" s="43"/>
      <c r="T324" s="43"/>
      <c r="U324" s="43"/>
      <c r="V324" s="43"/>
      <c r="W324" s="43"/>
      <c r="X324" s="43"/>
      <c r="Y324" s="43"/>
    </row>
    <row r="325" ht="13.2" spans="1:25">
      <c r="A325" s="42">
        <v>324</v>
      </c>
      <c r="B325" s="43" t="s">
        <v>675</v>
      </c>
      <c r="C325" s="43"/>
      <c r="D325" s="43"/>
      <c r="E325" s="43"/>
      <c r="F325" s="43"/>
      <c r="G325" s="43"/>
      <c r="H325" s="43"/>
      <c r="I325" s="43"/>
      <c r="J325" s="43"/>
      <c r="K325" s="43"/>
      <c r="L325" s="43"/>
      <c r="M325" s="43"/>
      <c r="N325" s="43"/>
      <c r="O325" s="43"/>
      <c r="P325" s="43"/>
      <c r="Q325" s="43"/>
      <c r="R325" s="43"/>
      <c r="S325" s="43"/>
      <c r="T325" s="43"/>
      <c r="U325" s="43"/>
      <c r="V325" s="43"/>
      <c r="W325" s="43"/>
      <c r="X325" s="43"/>
      <c r="Y325" s="43"/>
    </row>
    <row r="326" ht="13.2" spans="1:25">
      <c r="A326" s="42">
        <v>325</v>
      </c>
      <c r="B326" s="43" t="s">
        <v>676</v>
      </c>
      <c r="C326" s="43"/>
      <c r="D326" s="43"/>
      <c r="E326" s="43"/>
      <c r="F326" s="43"/>
      <c r="G326" s="43"/>
      <c r="H326" s="43"/>
      <c r="I326" s="43"/>
      <c r="J326" s="43"/>
      <c r="K326" s="43"/>
      <c r="L326" s="43"/>
      <c r="M326" s="43"/>
      <c r="N326" s="43"/>
      <c r="O326" s="43"/>
      <c r="P326" s="43"/>
      <c r="Q326" s="43"/>
      <c r="R326" s="43"/>
      <c r="S326" s="43"/>
      <c r="T326" s="43"/>
      <c r="U326" s="43"/>
      <c r="V326" s="43"/>
      <c r="W326" s="43"/>
      <c r="X326" s="43"/>
      <c r="Y326" s="43"/>
    </row>
    <row r="327" ht="13.2" spans="1:25">
      <c r="A327" s="42">
        <v>326</v>
      </c>
      <c r="B327" s="43" t="s">
        <v>677</v>
      </c>
      <c r="C327" s="43"/>
      <c r="D327" s="43"/>
      <c r="E327" s="43"/>
      <c r="F327" s="43"/>
      <c r="G327" s="43"/>
      <c r="H327" s="43"/>
      <c r="I327" s="43"/>
      <c r="J327" s="43"/>
      <c r="K327" s="43"/>
      <c r="L327" s="43"/>
      <c r="M327" s="43"/>
      <c r="N327" s="43"/>
      <c r="O327" s="43"/>
      <c r="P327" s="43"/>
      <c r="Q327" s="43"/>
      <c r="R327" s="43"/>
      <c r="S327" s="43"/>
      <c r="T327" s="43"/>
      <c r="U327" s="43"/>
      <c r="V327" s="43"/>
      <c r="W327" s="43"/>
      <c r="X327" s="43"/>
      <c r="Y327" s="43"/>
    </row>
    <row r="328" ht="13.2" spans="1:25">
      <c r="A328" s="42">
        <v>327</v>
      </c>
      <c r="B328" s="43" t="s">
        <v>678</v>
      </c>
      <c r="C328" s="43"/>
      <c r="D328" s="43"/>
      <c r="E328" s="43"/>
      <c r="F328" s="43"/>
      <c r="G328" s="43"/>
      <c r="H328" s="43"/>
      <c r="I328" s="43"/>
      <c r="J328" s="43"/>
      <c r="K328" s="43"/>
      <c r="L328" s="43"/>
      <c r="M328" s="43"/>
      <c r="N328" s="43"/>
      <c r="O328" s="43"/>
      <c r="P328" s="43"/>
      <c r="Q328" s="43"/>
      <c r="R328" s="43"/>
      <c r="S328" s="43"/>
      <c r="T328" s="43"/>
      <c r="U328" s="43"/>
      <c r="V328" s="43"/>
      <c r="W328" s="43"/>
      <c r="X328" s="43"/>
      <c r="Y328" s="43"/>
    </row>
    <row r="329" ht="13.2" spans="1:25">
      <c r="A329" s="42">
        <v>328</v>
      </c>
      <c r="B329" s="43" t="s">
        <v>679</v>
      </c>
      <c r="C329" s="43"/>
      <c r="D329" s="43"/>
      <c r="E329" s="43"/>
      <c r="F329" s="43"/>
      <c r="G329" s="43"/>
      <c r="H329" s="43"/>
      <c r="I329" s="43"/>
      <c r="J329" s="43"/>
      <c r="K329" s="43"/>
      <c r="L329" s="43"/>
      <c r="M329" s="43"/>
      <c r="N329" s="43"/>
      <c r="O329" s="43"/>
      <c r="P329" s="43"/>
      <c r="Q329" s="43"/>
      <c r="R329" s="43"/>
      <c r="S329" s="43"/>
      <c r="T329" s="43"/>
      <c r="U329" s="43"/>
      <c r="V329" s="43"/>
      <c r="W329" s="43"/>
      <c r="X329" s="43"/>
      <c r="Y329" s="43"/>
    </row>
    <row r="330" ht="13.2" spans="1:25">
      <c r="A330" s="42">
        <v>329</v>
      </c>
      <c r="B330" s="43" t="s">
        <v>680</v>
      </c>
      <c r="C330" s="43"/>
      <c r="D330" s="43"/>
      <c r="E330" s="43"/>
      <c r="F330" s="43"/>
      <c r="G330" s="43"/>
      <c r="H330" s="43"/>
      <c r="I330" s="43"/>
      <c r="J330" s="43"/>
      <c r="K330" s="43"/>
      <c r="L330" s="43"/>
      <c r="M330" s="43"/>
      <c r="N330" s="43"/>
      <c r="O330" s="43"/>
      <c r="P330" s="43"/>
      <c r="Q330" s="43"/>
      <c r="R330" s="43"/>
      <c r="S330" s="43"/>
      <c r="T330" s="43"/>
      <c r="U330" s="43"/>
      <c r="V330" s="43"/>
      <c r="W330" s="43"/>
      <c r="X330" s="43"/>
      <c r="Y330" s="43"/>
    </row>
    <row r="331" ht="13.2" spans="1:25">
      <c r="A331" s="42">
        <v>330</v>
      </c>
      <c r="B331" s="43" t="s">
        <v>681</v>
      </c>
      <c r="C331" s="43"/>
      <c r="D331" s="43"/>
      <c r="E331" s="43"/>
      <c r="F331" s="43"/>
      <c r="G331" s="43"/>
      <c r="H331" s="43"/>
      <c r="I331" s="43"/>
      <c r="J331" s="43"/>
      <c r="K331" s="43"/>
      <c r="L331" s="43"/>
      <c r="M331" s="43"/>
      <c r="N331" s="43"/>
      <c r="O331" s="43"/>
      <c r="P331" s="43"/>
      <c r="Q331" s="43"/>
      <c r="R331" s="43"/>
      <c r="S331" s="43"/>
      <c r="T331" s="43"/>
      <c r="U331" s="43"/>
      <c r="V331" s="43"/>
      <c r="W331" s="43"/>
      <c r="X331" s="43"/>
      <c r="Y331" s="43"/>
    </row>
    <row r="332" ht="13.2" spans="1:25">
      <c r="A332" s="42">
        <v>331</v>
      </c>
      <c r="B332" s="43" t="s">
        <v>682</v>
      </c>
      <c r="C332" s="43"/>
      <c r="D332" s="43"/>
      <c r="E332" s="43"/>
      <c r="F332" s="43"/>
      <c r="G332" s="43"/>
      <c r="H332" s="43"/>
      <c r="I332" s="43"/>
      <c r="J332" s="43"/>
      <c r="K332" s="43"/>
      <c r="L332" s="43"/>
      <c r="M332" s="43"/>
      <c r="N332" s="43"/>
      <c r="O332" s="43"/>
      <c r="P332" s="43"/>
      <c r="Q332" s="43"/>
      <c r="R332" s="43"/>
      <c r="S332" s="43"/>
      <c r="T332" s="43"/>
      <c r="U332" s="43"/>
      <c r="V332" s="43"/>
      <c r="W332" s="43"/>
      <c r="X332" s="43"/>
      <c r="Y332" s="43"/>
    </row>
    <row r="333" ht="13.2" spans="1:25">
      <c r="A333" s="42">
        <v>332</v>
      </c>
      <c r="B333" s="43" t="s">
        <v>683</v>
      </c>
      <c r="C333" s="43"/>
      <c r="D333" s="43"/>
      <c r="E333" s="43"/>
      <c r="F333" s="43"/>
      <c r="G333" s="43"/>
      <c r="H333" s="43"/>
      <c r="I333" s="43"/>
      <c r="J333" s="43"/>
      <c r="K333" s="43"/>
      <c r="L333" s="43"/>
      <c r="M333" s="43"/>
      <c r="N333" s="43"/>
      <c r="O333" s="43"/>
      <c r="P333" s="43"/>
      <c r="Q333" s="43"/>
      <c r="R333" s="43"/>
      <c r="S333" s="43"/>
      <c r="T333" s="43"/>
      <c r="U333" s="43"/>
      <c r="V333" s="43"/>
      <c r="W333" s="43"/>
      <c r="X333" s="43"/>
      <c r="Y333" s="43"/>
    </row>
    <row r="334" ht="13.2" spans="1:25">
      <c r="A334" s="42">
        <v>333</v>
      </c>
      <c r="B334" s="43" t="s">
        <v>684</v>
      </c>
      <c r="C334" s="43"/>
      <c r="D334" s="43"/>
      <c r="E334" s="43"/>
      <c r="F334" s="43"/>
      <c r="G334" s="43"/>
      <c r="H334" s="43"/>
      <c r="I334" s="43"/>
      <c r="J334" s="43"/>
      <c r="K334" s="43"/>
      <c r="L334" s="43"/>
      <c r="M334" s="43"/>
      <c r="N334" s="43"/>
      <c r="O334" s="43"/>
      <c r="P334" s="43"/>
      <c r="Q334" s="43"/>
      <c r="R334" s="43"/>
      <c r="S334" s="43"/>
      <c r="T334" s="43"/>
      <c r="U334" s="43"/>
      <c r="V334" s="43"/>
      <c r="W334" s="43"/>
      <c r="X334" s="43"/>
      <c r="Y334" s="43"/>
    </row>
    <row r="335" ht="13.2" spans="1:25">
      <c r="A335" s="42">
        <v>334</v>
      </c>
      <c r="B335" s="43" t="s">
        <v>685</v>
      </c>
      <c r="C335" s="43"/>
      <c r="D335" s="43"/>
      <c r="E335" s="43"/>
      <c r="F335" s="43"/>
      <c r="G335" s="43"/>
      <c r="H335" s="43"/>
      <c r="I335" s="43"/>
      <c r="J335" s="43"/>
      <c r="K335" s="43"/>
      <c r="L335" s="43"/>
      <c r="M335" s="43"/>
      <c r="N335" s="43"/>
      <c r="O335" s="43"/>
      <c r="P335" s="43"/>
      <c r="Q335" s="43"/>
      <c r="R335" s="43"/>
      <c r="S335" s="43"/>
      <c r="T335" s="43"/>
      <c r="U335" s="43"/>
      <c r="V335" s="43"/>
      <c r="W335" s="43"/>
      <c r="X335" s="43"/>
      <c r="Y335" s="43"/>
    </row>
    <row r="336" ht="13.2" spans="1:25">
      <c r="A336" s="42">
        <v>335</v>
      </c>
      <c r="B336" s="43" t="s">
        <v>686</v>
      </c>
      <c r="C336" s="43"/>
      <c r="D336" s="43"/>
      <c r="E336" s="43"/>
      <c r="F336" s="43"/>
      <c r="G336" s="43"/>
      <c r="H336" s="43"/>
      <c r="I336" s="43"/>
      <c r="J336" s="43"/>
      <c r="K336" s="43"/>
      <c r="L336" s="43"/>
      <c r="M336" s="43"/>
      <c r="N336" s="43"/>
      <c r="O336" s="43"/>
      <c r="P336" s="43"/>
      <c r="Q336" s="43"/>
      <c r="R336" s="43"/>
      <c r="S336" s="43"/>
      <c r="T336" s="43"/>
      <c r="U336" s="43"/>
      <c r="V336" s="43"/>
      <c r="W336" s="43"/>
      <c r="X336" s="43"/>
      <c r="Y336" s="43"/>
    </row>
    <row r="337" ht="13.2" spans="1:25">
      <c r="A337" s="42">
        <v>336</v>
      </c>
      <c r="B337" s="43" t="s">
        <v>687</v>
      </c>
      <c r="C337" s="43"/>
      <c r="D337" s="43"/>
      <c r="E337" s="43"/>
      <c r="F337" s="43"/>
      <c r="G337" s="43"/>
      <c r="H337" s="43"/>
      <c r="I337" s="43"/>
      <c r="J337" s="43"/>
      <c r="K337" s="43"/>
      <c r="L337" s="43"/>
      <c r="M337" s="43"/>
      <c r="N337" s="43"/>
      <c r="O337" s="43"/>
      <c r="P337" s="43"/>
      <c r="Q337" s="43"/>
      <c r="R337" s="43"/>
      <c r="S337" s="43"/>
      <c r="T337" s="43"/>
      <c r="U337" s="43"/>
      <c r="V337" s="43"/>
      <c r="W337" s="43"/>
      <c r="X337" s="43"/>
      <c r="Y337" s="43"/>
    </row>
    <row r="338" ht="13.2" spans="1:25">
      <c r="A338" s="42">
        <v>337</v>
      </c>
      <c r="B338" s="43" t="s">
        <v>688</v>
      </c>
      <c r="C338" s="43"/>
      <c r="D338" s="43"/>
      <c r="E338" s="43"/>
      <c r="F338" s="43"/>
      <c r="G338" s="43"/>
      <c r="H338" s="43"/>
      <c r="I338" s="43"/>
      <c r="J338" s="43"/>
      <c r="K338" s="43"/>
      <c r="L338" s="43"/>
      <c r="M338" s="43"/>
      <c r="N338" s="43"/>
      <c r="O338" s="43"/>
      <c r="P338" s="43"/>
      <c r="Q338" s="43"/>
      <c r="R338" s="43"/>
      <c r="S338" s="43"/>
      <c r="T338" s="43"/>
      <c r="U338" s="43"/>
      <c r="V338" s="43"/>
      <c r="W338" s="43"/>
      <c r="X338" s="43"/>
      <c r="Y338" s="43"/>
    </row>
    <row r="339" ht="13.2" spans="1:25">
      <c r="A339" s="42">
        <v>338</v>
      </c>
      <c r="B339" s="43" t="s">
        <v>689</v>
      </c>
      <c r="C339" s="43"/>
      <c r="D339" s="43"/>
      <c r="E339" s="43"/>
      <c r="F339" s="43"/>
      <c r="G339" s="43"/>
      <c r="H339" s="43"/>
      <c r="I339" s="43"/>
      <c r="J339" s="43"/>
      <c r="K339" s="43"/>
      <c r="L339" s="43"/>
      <c r="M339" s="43"/>
      <c r="N339" s="43"/>
      <c r="O339" s="43"/>
      <c r="P339" s="43"/>
      <c r="Q339" s="43"/>
      <c r="R339" s="43"/>
      <c r="S339" s="43"/>
      <c r="T339" s="43"/>
      <c r="U339" s="43"/>
      <c r="V339" s="43"/>
      <c r="W339" s="43"/>
      <c r="X339" s="43"/>
      <c r="Y339" s="43"/>
    </row>
    <row r="340" ht="13.2" spans="1:25">
      <c r="A340" s="42">
        <v>339</v>
      </c>
      <c r="B340" s="43" t="s">
        <v>690</v>
      </c>
      <c r="C340" s="43"/>
      <c r="D340" s="43"/>
      <c r="E340" s="43"/>
      <c r="F340" s="43"/>
      <c r="G340" s="43"/>
      <c r="H340" s="43"/>
      <c r="I340" s="43"/>
      <c r="J340" s="43"/>
      <c r="K340" s="43"/>
      <c r="L340" s="43"/>
      <c r="M340" s="43"/>
      <c r="N340" s="43"/>
      <c r="O340" s="43"/>
      <c r="P340" s="43"/>
      <c r="Q340" s="43"/>
      <c r="R340" s="43"/>
      <c r="S340" s="43"/>
      <c r="T340" s="43"/>
      <c r="U340" s="43"/>
      <c r="V340" s="43"/>
      <c r="W340" s="43"/>
      <c r="X340" s="43"/>
      <c r="Y340" s="43"/>
    </row>
    <row r="341" ht="13.2" spans="1:25">
      <c r="A341" s="42">
        <v>340</v>
      </c>
      <c r="B341" s="43" t="s">
        <v>691</v>
      </c>
      <c r="C341" s="43"/>
      <c r="D341" s="43"/>
      <c r="E341" s="43"/>
      <c r="F341" s="43"/>
      <c r="G341" s="43"/>
      <c r="H341" s="43"/>
      <c r="I341" s="43"/>
      <c r="J341" s="43"/>
      <c r="K341" s="43"/>
      <c r="L341" s="43"/>
      <c r="M341" s="43"/>
      <c r="N341" s="43"/>
      <c r="O341" s="43"/>
      <c r="P341" s="43"/>
      <c r="Q341" s="43"/>
      <c r="R341" s="43"/>
      <c r="S341" s="43"/>
      <c r="T341" s="43"/>
      <c r="U341" s="43"/>
      <c r="V341" s="43"/>
      <c r="W341" s="43"/>
      <c r="X341" s="43"/>
      <c r="Y341" s="43"/>
    </row>
    <row r="342" ht="13.2" spans="1:25">
      <c r="A342" s="42">
        <v>341</v>
      </c>
      <c r="B342" s="43" t="s">
        <v>692</v>
      </c>
      <c r="C342" s="43"/>
      <c r="D342" s="43"/>
      <c r="E342" s="43"/>
      <c r="F342" s="43"/>
      <c r="G342" s="43"/>
      <c r="H342" s="43"/>
      <c r="I342" s="43"/>
      <c r="J342" s="43"/>
      <c r="K342" s="43"/>
      <c r="L342" s="43"/>
      <c r="M342" s="43"/>
      <c r="N342" s="43"/>
      <c r="O342" s="43"/>
      <c r="P342" s="43"/>
      <c r="Q342" s="43"/>
      <c r="R342" s="43"/>
      <c r="S342" s="43"/>
      <c r="T342" s="43"/>
      <c r="U342" s="43"/>
      <c r="V342" s="43"/>
      <c r="W342" s="43"/>
      <c r="X342" s="43"/>
      <c r="Y342" s="43"/>
    </row>
    <row r="343" ht="13.2" spans="1:25">
      <c r="A343" s="42">
        <v>342</v>
      </c>
      <c r="B343" s="43" t="s">
        <v>693</v>
      </c>
      <c r="C343" s="43"/>
      <c r="D343" s="43"/>
      <c r="E343" s="43"/>
      <c r="F343" s="43"/>
      <c r="G343" s="43"/>
      <c r="H343" s="43"/>
      <c r="I343" s="43"/>
      <c r="J343" s="43"/>
      <c r="K343" s="43"/>
      <c r="L343" s="43"/>
      <c r="M343" s="43"/>
      <c r="N343" s="43"/>
      <c r="O343" s="43"/>
      <c r="P343" s="43"/>
      <c r="Q343" s="43"/>
      <c r="R343" s="43"/>
      <c r="S343" s="43"/>
      <c r="T343" s="43"/>
      <c r="U343" s="43"/>
      <c r="V343" s="43"/>
      <c r="W343" s="43"/>
      <c r="X343" s="43"/>
      <c r="Y343" s="43"/>
    </row>
    <row r="344" ht="13.2" spans="1:25">
      <c r="A344" s="42">
        <v>343</v>
      </c>
      <c r="B344" s="43" t="s">
        <v>694</v>
      </c>
      <c r="C344" s="43"/>
      <c r="D344" s="43"/>
      <c r="E344" s="43"/>
      <c r="F344" s="43"/>
      <c r="G344" s="43"/>
      <c r="H344" s="43"/>
      <c r="I344" s="43"/>
      <c r="J344" s="43"/>
      <c r="K344" s="43"/>
      <c r="L344" s="43"/>
      <c r="M344" s="43"/>
      <c r="N344" s="43"/>
      <c r="O344" s="43"/>
      <c r="P344" s="43"/>
      <c r="Q344" s="43"/>
      <c r="R344" s="43"/>
      <c r="S344" s="43"/>
      <c r="T344" s="43"/>
      <c r="U344" s="43"/>
      <c r="V344" s="43"/>
      <c r="W344" s="43"/>
      <c r="X344" s="43"/>
      <c r="Y344" s="43"/>
    </row>
    <row r="345" ht="13.2" spans="1:25">
      <c r="A345" s="42">
        <v>344</v>
      </c>
      <c r="B345" s="43" t="s">
        <v>695</v>
      </c>
      <c r="C345" s="43"/>
      <c r="D345" s="43"/>
      <c r="E345" s="43"/>
      <c r="F345" s="43"/>
      <c r="G345" s="43"/>
      <c r="H345" s="43"/>
      <c r="I345" s="43"/>
      <c r="J345" s="43"/>
      <c r="K345" s="43"/>
      <c r="L345" s="43"/>
      <c r="M345" s="43"/>
      <c r="N345" s="43"/>
      <c r="O345" s="43"/>
      <c r="P345" s="43"/>
      <c r="Q345" s="43"/>
      <c r="R345" s="43"/>
      <c r="S345" s="43"/>
      <c r="T345" s="43"/>
      <c r="U345" s="43"/>
      <c r="V345" s="43"/>
      <c r="W345" s="43"/>
      <c r="X345" s="43"/>
      <c r="Y345" s="43"/>
    </row>
    <row r="346" ht="13.2" spans="1:25">
      <c r="A346" s="42">
        <v>345</v>
      </c>
      <c r="B346" s="43" t="s">
        <v>696</v>
      </c>
      <c r="C346" s="43"/>
      <c r="D346" s="43"/>
      <c r="E346" s="43"/>
      <c r="F346" s="43"/>
      <c r="G346" s="43"/>
      <c r="H346" s="43"/>
      <c r="I346" s="43"/>
      <c r="J346" s="43"/>
      <c r="K346" s="43"/>
      <c r="L346" s="43"/>
      <c r="M346" s="43"/>
      <c r="N346" s="43"/>
      <c r="O346" s="43"/>
      <c r="P346" s="43"/>
      <c r="Q346" s="43"/>
      <c r="R346" s="43"/>
      <c r="S346" s="43"/>
      <c r="T346" s="43"/>
      <c r="U346" s="43"/>
      <c r="V346" s="43"/>
      <c r="W346" s="43"/>
      <c r="X346" s="43"/>
      <c r="Y346" s="43"/>
    </row>
    <row r="347" ht="13.2" spans="1:25">
      <c r="A347" s="42">
        <v>346</v>
      </c>
      <c r="B347" s="43" t="s">
        <v>697</v>
      </c>
      <c r="C347" s="43"/>
      <c r="D347" s="43"/>
      <c r="E347" s="43"/>
      <c r="F347" s="43"/>
      <c r="G347" s="43"/>
      <c r="H347" s="43"/>
      <c r="I347" s="43"/>
      <c r="J347" s="43"/>
      <c r="K347" s="43"/>
      <c r="L347" s="43"/>
      <c r="M347" s="43"/>
      <c r="N347" s="43"/>
      <c r="O347" s="43"/>
      <c r="P347" s="43"/>
      <c r="Q347" s="43"/>
      <c r="R347" s="43"/>
      <c r="S347" s="43"/>
      <c r="T347" s="43"/>
      <c r="U347" s="43"/>
      <c r="V347" s="43"/>
      <c r="W347" s="43"/>
      <c r="X347" s="43"/>
      <c r="Y347" s="43"/>
    </row>
    <row r="348" ht="13.2" spans="1:25">
      <c r="A348" s="42">
        <v>347</v>
      </c>
      <c r="B348" s="43" t="s">
        <v>698</v>
      </c>
      <c r="C348" s="43"/>
      <c r="D348" s="43"/>
      <c r="E348" s="43"/>
      <c r="F348" s="43"/>
      <c r="G348" s="43"/>
      <c r="H348" s="43"/>
      <c r="I348" s="43"/>
      <c r="J348" s="43"/>
      <c r="K348" s="43"/>
      <c r="L348" s="43"/>
      <c r="M348" s="43"/>
      <c r="N348" s="43"/>
      <c r="O348" s="43"/>
      <c r="P348" s="43"/>
      <c r="Q348" s="43"/>
      <c r="R348" s="43"/>
      <c r="S348" s="43"/>
      <c r="T348" s="43"/>
      <c r="U348" s="43"/>
      <c r="V348" s="43"/>
      <c r="W348" s="43"/>
      <c r="X348" s="43"/>
      <c r="Y348" s="43"/>
    </row>
    <row r="349" ht="13.2" spans="1:25">
      <c r="A349" s="42">
        <v>348</v>
      </c>
      <c r="B349" s="43" t="s">
        <v>699</v>
      </c>
      <c r="C349" s="43"/>
      <c r="D349" s="43"/>
      <c r="E349" s="43"/>
      <c r="F349" s="43"/>
      <c r="G349" s="43"/>
      <c r="H349" s="43"/>
      <c r="I349" s="43"/>
      <c r="J349" s="43"/>
      <c r="K349" s="43"/>
      <c r="L349" s="43"/>
      <c r="M349" s="43"/>
      <c r="N349" s="43"/>
      <c r="O349" s="43"/>
      <c r="P349" s="43"/>
      <c r="Q349" s="43"/>
      <c r="R349" s="43"/>
      <c r="S349" s="43"/>
      <c r="T349" s="43"/>
      <c r="U349" s="43"/>
      <c r="V349" s="43"/>
      <c r="W349" s="43"/>
      <c r="X349" s="43"/>
      <c r="Y349" s="43"/>
    </row>
    <row r="350" ht="13.2" spans="1:25">
      <c r="A350" s="42">
        <v>349</v>
      </c>
      <c r="B350" s="43" t="s">
        <v>700</v>
      </c>
      <c r="C350" s="43"/>
      <c r="D350" s="43"/>
      <c r="E350" s="43"/>
      <c r="F350" s="43"/>
      <c r="G350" s="43"/>
      <c r="H350" s="43"/>
      <c r="I350" s="43"/>
      <c r="J350" s="43"/>
      <c r="K350" s="43"/>
      <c r="L350" s="43"/>
      <c r="M350" s="43"/>
      <c r="N350" s="43"/>
      <c r="O350" s="43"/>
      <c r="P350" s="43"/>
      <c r="Q350" s="43"/>
      <c r="R350" s="43"/>
      <c r="S350" s="43"/>
      <c r="T350" s="43"/>
      <c r="U350" s="43"/>
      <c r="V350" s="43"/>
      <c r="W350" s="43"/>
      <c r="X350" s="43"/>
      <c r="Y350" s="43"/>
    </row>
    <row r="351" ht="13.2" spans="1:25">
      <c r="A351" s="42">
        <v>350</v>
      </c>
      <c r="B351" s="43" t="s">
        <v>701</v>
      </c>
      <c r="C351" s="43"/>
      <c r="D351" s="43"/>
      <c r="E351" s="43"/>
      <c r="F351" s="43"/>
      <c r="G351" s="43"/>
      <c r="H351" s="43"/>
      <c r="I351" s="43"/>
      <c r="J351" s="43"/>
      <c r="K351" s="43"/>
      <c r="L351" s="43"/>
      <c r="M351" s="43"/>
      <c r="N351" s="43"/>
      <c r="O351" s="43"/>
      <c r="P351" s="43"/>
      <c r="Q351" s="43"/>
      <c r="R351" s="43"/>
      <c r="S351" s="43"/>
      <c r="T351" s="43"/>
      <c r="U351" s="43"/>
      <c r="V351" s="43"/>
      <c r="W351" s="43"/>
      <c r="X351" s="43"/>
      <c r="Y351" s="43"/>
    </row>
    <row r="352" ht="13.2" spans="1:25">
      <c r="A352" s="42">
        <v>351</v>
      </c>
      <c r="B352" s="43" t="s">
        <v>702</v>
      </c>
      <c r="C352" s="43"/>
      <c r="D352" s="43"/>
      <c r="E352" s="43"/>
      <c r="F352" s="43"/>
      <c r="G352" s="43"/>
      <c r="H352" s="43"/>
      <c r="I352" s="43"/>
      <c r="J352" s="43"/>
      <c r="K352" s="43"/>
      <c r="L352" s="43"/>
      <c r="M352" s="43"/>
      <c r="N352" s="43"/>
      <c r="O352" s="43"/>
      <c r="P352" s="43"/>
      <c r="Q352" s="43"/>
      <c r="R352" s="43"/>
      <c r="S352" s="43"/>
      <c r="T352" s="43"/>
      <c r="U352" s="43"/>
      <c r="V352" s="43"/>
      <c r="W352" s="43"/>
      <c r="X352" s="43"/>
      <c r="Y352" s="43"/>
    </row>
    <row r="353" ht="13.2" spans="1:25">
      <c r="A353" s="42">
        <v>352</v>
      </c>
      <c r="B353" s="43" t="s">
        <v>703</v>
      </c>
      <c r="C353" s="43"/>
      <c r="D353" s="43"/>
      <c r="E353" s="43"/>
      <c r="F353" s="43"/>
      <c r="G353" s="43"/>
      <c r="H353" s="43"/>
      <c r="I353" s="43"/>
      <c r="J353" s="43"/>
      <c r="K353" s="43"/>
      <c r="L353" s="43"/>
      <c r="M353" s="43"/>
      <c r="N353" s="43"/>
      <c r="O353" s="43"/>
      <c r="P353" s="43"/>
      <c r="Q353" s="43"/>
      <c r="R353" s="43"/>
      <c r="S353" s="43"/>
      <c r="T353" s="43"/>
      <c r="U353" s="43"/>
      <c r="V353" s="43"/>
      <c r="W353" s="43"/>
      <c r="X353" s="43"/>
      <c r="Y353" s="43"/>
    </row>
    <row r="354" ht="13.2" spans="1:25">
      <c r="A354" s="42">
        <v>353</v>
      </c>
      <c r="B354" s="43" t="s">
        <v>704</v>
      </c>
      <c r="C354" s="43"/>
      <c r="D354" s="43"/>
      <c r="E354" s="43"/>
      <c r="F354" s="43"/>
      <c r="G354" s="43"/>
      <c r="H354" s="43"/>
      <c r="I354" s="43"/>
      <c r="J354" s="43"/>
      <c r="K354" s="43"/>
      <c r="L354" s="43"/>
      <c r="M354" s="43"/>
      <c r="N354" s="43"/>
      <c r="O354" s="43"/>
      <c r="P354" s="43"/>
      <c r="Q354" s="43"/>
      <c r="R354" s="43"/>
      <c r="S354" s="43"/>
      <c r="T354" s="43"/>
      <c r="U354" s="43"/>
      <c r="V354" s="43"/>
      <c r="W354" s="43"/>
      <c r="X354" s="43"/>
      <c r="Y354" s="43"/>
    </row>
    <row r="355" ht="13.2" spans="1:25">
      <c r="A355" s="42">
        <v>354</v>
      </c>
      <c r="B355" s="43" t="s">
        <v>705</v>
      </c>
      <c r="C355" s="43"/>
      <c r="D355" s="43"/>
      <c r="E355" s="43"/>
      <c r="F355" s="43"/>
      <c r="G355" s="43"/>
      <c r="H355" s="43"/>
      <c r="I355" s="43"/>
      <c r="J355" s="43"/>
      <c r="K355" s="43"/>
      <c r="L355" s="43"/>
      <c r="M355" s="43"/>
      <c r="N355" s="43"/>
      <c r="O355" s="43"/>
      <c r="P355" s="43"/>
      <c r="Q355" s="43"/>
      <c r="R355" s="43"/>
      <c r="S355" s="43"/>
      <c r="T355" s="43"/>
      <c r="U355" s="43"/>
      <c r="V355" s="43"/>
      <c r="W355" s="43"/>
      <c r="X355" s="43"/>
      <c r="Y355" s="43"/>
    </row>
    <row r="356" ht="13.2" spans="1:25">
      <c r="A356" s="42">
        <v>355</v>
      </c>
      <c r="B356" s="43" t="s">
        <v>706</v>
      </c>
      <c r="C356" s="43"/>
      <c r="D356" s="43"/>
      <c r="E356" s="43"/>
      <c r="F356" s="43"/>
      <c r="G356" s="43"/>
      <c r="H356" s="43"/>
      <c r="I356" s="43"/>
      <c r="J356" s="43"/>
      <c r="K356" s="43"/>
      <c r="L356" s="43"/>
      <c r="M356" s="43"/>
      <c r="N356" s="43"/>
      <c r="O356" s="43"/>
      <c r="P356" s="43"/>
      <c r="Q356" s="43"/>
      <c r="R356" s="43"/>
      <c r="S356" s="43"/>
      <c r="T356" s="43"/>
      <c r="U356" s="43"/>
      <c r="V356" s="43"/>
      <c r="W356" s="43"/>
      <c r="X356" s="43"/>
      <c r="Y356" s="43"/>
    </row>
    <row r="357" ht="13.2" spans="1:25">
      <c r="A357" s="42">
        <v>356</v>
      </c>
      <c r="B357" s="43" t="s">
        <v>707</v>
      </c>
      <c r="C357" s="43"/>
      <c r="D357" s="43"/>
      <c r="E357" s="43"/>
      <c r="F357" s="43"/>
      <c r="G357" s="43"/>
      <c r="H357" s="43"/>
      <c r="I357" s="43"/>
      <c r="J357" s="43"/>
      <c r="K357" s="43"/>
      <c r="L357" s="43"/>
      <c r="M357" s="43"/>
      <c r="N357" s="43"/>
      <c r="O357" s="43"/>
      <c r="P357" s="43"/>
      <c r="Q357" s="43"/>
      <c r="R357" s="43"/>
      <c r="S357" s="43"/>
      <c r="T357" s="43"/>
      <c r="U357" s="43"/>
      <c r="V357" s="43"/>
      <c r="W357" s="43"/>
      <c r="X357" s="43"/>
      <c r="Y357" s="43"/>
    </row>
    <row r="358" ht="13.2" spans="1:25">
      <c r="A358" s="42">
        <v>357</v>
      </c>
      <c r="B358" s="43" t="s">
        <v>708</v>
      </c>
      <c r="C358" s="43"/>
      <c r="D358" s="43"/>
      <c r="E358" s="43"/>
      <c r="F358" s="43"/>
      <c r="G358" s="43"/>
      <c r="H358" s="43"/>
      <c r="I358" s="43"/>
      <c r="J358" s="43"/>
      <c r="K358" s="43"/>
      <c r="L358" s="43"/>
      <c r="M358" s="43"/>
      <c r="N358" s="43"/>
      <c r="O358" s="43"/>
      <c r="P358" s="43"/>
      <c r="Q358" s="43"/>
      <c r="R358" s="43"/>
      <c r="S358" s="43"/>
      <c r="T358" s="43"/>
      <c r="U358" s="43"/>
      <c r="V358" s="43"/>
      <c r="W358" s="43"/>
      <c r="X358" s="43"/>
      <c r="Y358" s="43"/>
    </row>
    <row r="359" ht="13.2" spans="1:25">
      <c r="A359" s="42">
        <v>358</v>
      </c>
      <c r="B359" s="43" t="s">
        <v>709</v>
      </c>
      <c r="C359" s="43"/>
      <c r="D359" s="43"/>
      <c r="E359" s="43"/>
      <c r="F359" s="43"/>
      <c r="G359" s="43"/>
      <c r="H359" s="43"/>
      <c r="I359" s="43"/>
      <c r="J359" s="43"/>
      <c r="K359" s="43"/>
      <c r="L359" s="43"/>
      <c r="M359" s="43"/>
      <c r="N359" s="43"/>
      <c r="O359" s="43"/>
      <c r="P359" s="43"/>
      <c r="Q359" s="43"/>
      <c r="R359" s="43"/>
      <c r="S359" s="43"/>
      <c r="T359" s="43"/>
      <c r="U359" s="43"/>
      <c r="V359" s="43"/>
      <c r="W359" s="43"/>
      <c r="X359" s="43"/>
      <c r="Y359" s="43"/>
    </row>
    <row r="360" ht="13.2" spans="1:25">
      <c r="A360" s="42">
        <v>359</v>
      </c>
      <c r="B360" s="43" t="s">
        <v>710</v>
      </c>
      <c r="C360" s="43"/>
      <c r="D360" s="43"/>
      <c r="E360" s="43"/>
      <c r="F360" s="43"/>
      <c r="G360" s="43"/>
      <c r="H360" s="43"/>
      <c r="I360" s="43"/>
      <c r="J360" s="43"/>
      <c r="K360" s="43"/>
      <c r="L360" s="43"/>
      <c r="M360" s="43"/>
      <c r="N360" s="43"/>
      <c r="O360" s="43"/>
      <c r="P360" s="43"/>
      <c r="Q360" s="43"/>
      <c r="R360" s="43"/>
      <c r="S360" s="43"/>
      <c r="T360" s="43"/>
      <c r="U360" s="43"/>
      <c r="V360" s="43"/>
      <c r="W360" s="43"/>
      <c r="X360" s="43"/>
      <c r="Y360" s="43"/>
    </row>
    <row r="361" ht="13.2" spans="1:25">
      <c r="A361" s="42">
        <v>360</v>
      </c>
      <c r="B361" s="43" t="s">
        <v>711</v>
      </c>
      <c r="C361" s="43"/>
      <c r="D361" s="43"/>
      <c r="E361" s="43"/>
      <c r="F361" s="43"/>
      <c r="G361" s="43"/>
      <c r="H361" s="43"/>
      <c r="I361" s="43"/>
      <c r="J361" s="43"/>
      <c r="K361" s="43"/>
      <c r="L361" s="43"/>
      <c r="M361" s="43"/>
      <c r="N361" s="43"/>
      <c r="O361" s="43"/>
      <c r="P361" s="43"/>
      <c r="Q361" s="43"/>
      <c r="R361" s="43"/>
      <c r="S361" s="43"/>
      <c r="T361" s="43"/>
      <c r="U361" s="43"/>
      <c r="V361" s="43"/>
      <c r="W361" s="43"/>
      <c r="X361" s="43"/>
      <c r="Y361" s="43"/>
    </row>
    <row r="362" ht="13.2" spans="1:25">
      <c r="A362" s="42">
        <v>361</v>
      </c>
      <c r="B362" s="43" t="s">
        <v>712</v>
      </c>
      <c r="C362" s="43"/>
      <c r="D362" s="43"/>
      <c r="E362" s="43"/>
      <c r="F362" s="43"/>
      <c r="G362" s="43"/>
      <c r="H362" s="43"/>
      <c r="I362" s="43"/>
      <c r="J362" s="43"/>
      <c r="K362" s="43"/>
      <c r="L362" s="43"/>
      <c r="M362" s="43"/>
      <c r="N362" s="43"/>
      <c r="O362" s="43"/>
      <c r="P362" s="43"/>
      <c r="Q362" s="43"/>
      <c r="R362" s="43"/>
      <c r="S362" s="43"/>
      <c r="T362" s="43"/>
      <c r="U362" s="43"/>
      <c r="V362" s="43"/>
      <c r="W362" s="43"/>
      <c r="X362" s="43"/>
      <c r="Y362" s="43"/>
    </row>
    <row r="363" ht="13.2" spans="1:25">
      <c r="A363" s="42">
        <v>362</v>
      </c>
      <c r="B363" s="43" t="s">
        <v>713</v>
      </c>
      <c r="C363" s="43"/>
      <c r="D363" s="43"/>
      <c r="E363" s="43"/>
      <c r="F363" s="43"/>
      <c r="G363" s="43"/>
      <c r="H363" s="43"/>
      <c r="I363" s="43"/>
      <c r="J363" s="43"/>
      <c r="K363" s="43"/>
      <c r="L363" s="43"/>
      <c r="M363" s="43"/>
      <c r="N363" s="43"/>
      <c r="O363" s="43"/>
      <c r="P363" s="43"/>
      <c r="Q363" s="43"/>
      <c r="R363" s="43"/>
      <c r="S363" s="43"/>
      <c r="T363" s="43"/>
      <c r="U363" s="43"/>
      <c r="V363" s="43"/>
      <c r="W363" s="43"/>
      <c r="X363" s="43"/>
      <c r="Y363" s="43"/>
    </row>
    <row r="364" ht="13.2" spans="1:25">
      <c r="A364" s="42">
        <v>363</v>
      </c>
      <c r="B364" s="43" t="s">
        <v>714</v>
      </c>
      <c r="C364" s="43"/>
      <c r="D364" s="43"/>
      <c r="E364" s="43"/>
      <c r="F364" s="43"/>
      <c r="G364" s="43"/>
      <c r="H364" s="43"/>
      <c r="I364" s="43"/>
      <c r="J364" s="43"/>
      <c r="K364" s="43"/>
      <c r="L364" s="43"/>
      <c r="M364" s="43"/>
      <c r="N364" s="43"/>
      <c r="O364" s="43"/>
      <c r="P364" s="43"/>
      <c r="Q364" s="43"/>
      <c r="R364" s="43"/>
      <c r="S364" s="43"/>
      <c r="T364" s="43"/>
      <c r="U364" s="43"/>
      <c r="V364" s="43"/>
      <c r="W364" s="43"/>
      <c r="X364" s="43"/>
      <c r="Y364" s="43"/>
    </row>
    <row r="365" ht="13.2" spans="1:25">
      <c r="A365" s="42">
        <v>364</v>
      </c>
      <c r="B365" s="43" t="s">
        <v>715</v>
      </c>
      <c r="C365" s="43"/>
      <c r="D365" s="43"/>
      <c r="E365" s="43"/>
      <c r="F365" s="43"/>
      <c r="G365" s="43"/>
      <c r="H365" s="43"/>
      <c r="I365" s="43"/>
      <c r="J365" s="43"/>
      <c r="K365" s="43"/>
      <c r="L365" s="43"/>
      <c r="M365" s="43"/>
      <c r="N365" s="43"/>
      <c r="O365" s="43"/>
      <c r="P365" s="43"/>
      <c r="Q365" s="43"/>
      <c r="R365" s="43"/>
      <c r="S365" s="43"/>
      <c r="T365" s="43"/>
      <c r="U365" s="43"/>
      <c r="V365" s="43"/>
      <c r="W365" s="43"/>
      <c r="X365" s="43"/>
      <c r="Y365" s="43"/>
    </row>
    <row r="366" ht="13.2" spans="1:25">
      <c r="A366" s="42">
        <v>365</v>
      </c>
      <c r="B366" s="43" t="s">
        <v>716</v>
      </c>
      <c r="C366" s="43"/>
      <c r="D366" s="43"/>
      <c r="E366" s="43"/>
      <c r="F366" s="43"/>
      <c r="G366" s="43"/>
      <c r="H366" s="43"/>
      <c r="I366" s="43"/>
      <c r="J366" s="43"/>
      <c r="K366" s="43"/>
      <c r="L366" s="43"/>
      <c r="M366" s="43"/>
      <c r="N366" s="43"/>
      <c r="O366" s="43"/>
      <c r="P366" s="43"/>
      <c r="Q366" s="43"/>
      <c r="R366" s="43"/>
      <c r="S366" s="43"/>
      <c r="T366" s="43"/>
      <c r="U366" s="43"/>
      <c r="V366" s="43"/>
      <c r="W366" s="43"/>
      <c r="X366" s="43"/>
      <c r="Y366" s="43"/>
    </row>
    <row r="367" ht="13.2" spans="1:25">
      <c r="A367" s="42">
        <v>366</v>
      </c>
      <c r="B367" s="43" t="s">
        <v>717</v>
      </c>
      <c r="C367" s="43"/>
      <c r="D367" s="43"/>
      <c r="E367" s="43"/>
      <c r="F367" s="43"/>
      <c r="G367" s="43"/>
      <c r="H367" s="43"/>
      <c r="I367" s="43"/>
      <c r="J367" s="43"/>
      <c r="K367" s="43"/>
      <c r="L367" s="43"/>
      <c r="M367" s="43"/>
      <c r="N367" s="43"/>
      <c r="O367" s="43"/>
      <c r="P367" s="43"/>
      <c r="Q367" s="43"/>
      <c r="R367" s="43"/>
      <c r="S367" s="43"/>
      <c r="T367" s="43"/>
      <c r="U367" s="43"/>
      <c r="V367" s="43"/>
      <c r="W367" s="43"/>
      <c r="X367" s="43"/>
      <c r="Y367" s="43"/>
    </row>
    <row r="368" ht="13.2" spans="1:25">
      <c r="A368" s="42">
        <v>367</v>
      </c>
      <c r="B368" s="43" t="s">
        <v>718</v>
      </c>
      <c r="C368" s="43"/>
      <c r="D368" s="43"/>
      <c r="E368" s="43"/>
      <c r="F368" s="43"/>
      <c r="G368" s="43"/>
      <c r="H368" s="43"/>
      <c r="I368" s="43"/>
      <c r="J368" s="43"/>
      <c r="K368" s="43"/>
      <c r="L368" s="43"/>
      <c r="M368" s="43"/>
      <c r="N368" s="43"/>
      <c r="O368" s="43"/>
      <c r="P368" s="43"/>
      <c r="Q368" s="43"/>
      <c r="R368" s="43"/>
      <c r="S368" s="43"/>
      <c r="T368" s="43"/>
      <c r="U368" s="43"/>
      <c r="V368" s="43"/>
      <c r="W368" s="43"/>
      <c r="X368" s="43"/>
      <c r="Y368" s="43"/>
    </row>
    <row r="369" ht="13.2" spans="1:25">
      <c r="A369" s="42">
        <v>368</v>
      </c>
      <c r="B369" s="43" t="s">
        <v>719</v>
      </c>
      <c r="C369" s="43"/>
      <c r="D369" s="43"/>
      <c r="E369" s="43"/>
      <c r="F369" s="43"/>
      <c r="G369" s="43"/>
      <c r="H369" s="43"/>
      <c r="I369" s="43"/>
      <c r="J369" s="43"/>
      <c r="K369" s="43"/>
      <c r="L369" s="43"/>
      <c r="M369" s="43"/>
      <c r="N369" s="43"/>
      <c r="O369" s="43"/>
      <c r="P369" s="43"/>
      <c r="Q369" s="43"/>
      <c r="R369" s="43"/>
      <c r="S369" s="43"/>
      <c r="T369" s="43"/>
      <c r="U369" s="43"/>
      <c r="V369" s="43"/>
      <c r="W369" s="43"/>
      <c r="X369" s="43"/>
      <c r="Y369" s="43"/>
    </row>
    <row r="370" ht="13.2" spans="1:25">
      <c r="A370" s="42">
        <v>369</v>
      </c>
      <c r="B370" s="43" t="s">
        <v>720</v>
      </c>
      <c r="C370" s="43"/>
      <c r="D370" s="43"/>
      <c r="E370" s="43"/>
      <c r="F370" s="43"/>
      <c r="G370" s="43"/>
      <c r="H370" s="43"/>
      <c r="I370" s="43"/>
      <c r="J370" s="43"/>
      <c r="K370" s="43"/>
      <c r="L370" s="43"/>
      <c r="M370" s="43"/>
      <c r="N370" s="43"/>
      <c r="O370" s="43"/>
      <c r="P370" s="43"/>
      <c r="Q370" s="43"/>
      <c r="R370" s="43"/>
      <c r="S370" s="43"/>
      <c r="T370" s="43"/>
      <c r="U370" s="43"/>
      <c r="V370" s="43"/>
      <c r="W370" s="43"/>
      <c r="X370" s="43"/>
      <c r="Y370" s="43"/>
    </row>
    <row r="371" ht="13.2" spans="1:25">
      <c r="A371" s="42">
        <v>370</v>
      </c>
      <c r="B371" s="43" t="s">
        <v>721</v>
      </c>
      <c r="C371" s="43"/>
      <c r="D371" s="43"/>
      <c r="E371" s="43"/>
      <c r="F371" s="43"/>
      <c r="G371" s="43"/>
      <c r="H371" s="43"/>
      <c r="I371" s="43"/>
      <c r="J371" s="43"/>
      <c r="K371" s="43"/>
      <c r="L371" s="43"/>
      <c r="M371" s="43"/>
      <c r="N371" s="43"/>
      <c r="O371" s="43"/>
      <c r="P371" s="43"/>
      <c r="Q371" s="43"/>
      <c r="R371" s="43"/>
      <c r="S371" s="43"/>
      <c r="T371" s="43"/>
      <c r="U371" s="43"/>
      <c r="V371" s="43"/>
      <c r="W371" s="43"/>
      <c r="X371" s="43"/>
      <c r="Y371" s="43"/>
    </row>
    <row r="372" ht="13.2" spans="1:25">
      <c r="A372" s="42">
        <v>371</v>
      </c>
      <c r="B372" s="43" t="s">
        <v>722</v>
      </c>
      <c r="C372" s="43"/>
      <c r="D372" s="43"/>
      <c r="E372" s="43"/>
      <c r="F372" s="43"/>
      <c r="G372" s="43"/>
      <c r="H372" s="43"/>
      <c r="I372" s="43"/>
      <c r="J372" s="43"/>
      <c r="K372" s="43"/>
      <c r="L372" s="43"/>
      <c r="M372" s="43"/>
      <c r="N372" s="43"/>
      <c r="O372" s="43"/>
      <c r="P372" s="43"/>
      <c r="Q372" s="43"/>
      <c r="R372" s="43"/>
      <c r="S372" s="43"/>
      <c r="T372" s="43"/>
      <c r="U372" s="43"/>
      <c r="V372" s="43"/>
      <c r="W372" s="43"/>
      <c r="X372" s="43"/>
      <c r="Y372" s="43"/>
    </row>
    <row r="373" ht="13.2" spans="1:25">
      <c r="A373" s="42">
        <v>372</v>
      </c>
      <c r="B373" s="43" t="s">
        <v>723</v>
      </c>
      <c r="C373" s="43"/>
      <c r="D373" s="43"/>
      <c r="E373" s="43"/>
      <c r="F373" s="43"/>
      <c r="G373" s="43"/>
      <c r="H373" s="43"/>
      <c r="I373" s="43"/>
      <c r="J373" s="43"/>
      <c r="K373" s="43"/>
      <c r="L373" s="43"/>
      <c r="M373" s="43"/>
      <c r="N373" s="43"/>
      <c r="O373" s="43"/>
      <c r="P373" s="43"/>
      <c r="Q373" s="43"/>
      <c r="R373" s="43"/>
      <c r="S373" s="43"/>
      <c r="T373" s="43"/>
      <c r="U373" s="43"/>
      <c r="V373" s="43"/>
      <c r="W373" s="43"/>
      <c r="X373" s="43"/>
      <c r="Y373" s="43"/>
    </row>
    <row r="374" ht="13.2" spans="1:25">
      <c r="A374" s="42">
        <v>373</v>
      </c>
      <c r="B374" s="43" t="s">
        <v>724</v>
      </c>
      <c r="C374" s="43"/>
      <c r="D374" s="43"/>
      <c r="E374" s="43"/>
      <c r="F374" s="43"/>
      <c r="G374" s="43"/>
      <c r="H374" s="43"/>
      <c r="I374" s="43"/>
      <c r="J374" s="43"/>
      <c r="K374" s="43"/>
      <c r="L374" s="43"/>
      <c r="M374" s="43"/>
      <c r="N374" s="43"/>
      <c r="O374" s="43"/>
      <c r="P374" s="43"/>
      <c r="Q374" s="43"/>
      <c r="R374" s="43"/>
      <c r="S374" s="43"/>
      <c r="T374" s="43"/>
      <c r="U374" s="43"/>
      <c r="V374" s="43"/>
      <c r="W374" s="43"/>
      <c r="X374" s="43"/>
      <c r="Y374" s="43"/>
    </row>
    <row r="375" ht="13.2" spans="1:25">
      <c r="A375" s="42">
        <v>374</v>
      </c>
      <c r="B375" s="43" t="s">
        <v>725</v>
      </c>
      <c r="C375" s="43"/>
      <c r="D375" s="43"/>
      <c r="E375" s="43"/>
      <c r="F375" s="43"/>
      <c r="G375" s="43"/>
      <c r="H375" s="43"/>
      <c r="I375" s="43"/>
      <c r="J375" s="43"/>
      <c r="K375" s="43"/>
      <c r="L375" s="43"/>
      <c r="M375" s="43"/>
      <c r="N375" s="43"/>
      <c r="O375" s="43"/>
      <c r="P375" s="43"/>
      <c r="Q375" s="43"/>
      <c r="R375" s="43"/>
      <c r="S375" s="43"/>
      <c r="T375" s="43"/>
      <c r="U375" s="43"/>
      <c r="V375" s="43"/>
      <c r="W375" s="43"/>
      <c r="X375" s="43"/>
      <c r="Y375" s="43"/>
    </row>
    <row r="376" ht="13.2" spans="1:25">
      <c r="A376" s="42">
        <v>375</v>
      </c>
      <c r="B376" s="43" t="s">
        <v>726</v>
      </c>
      <c r="C376" s="43"/>
      <c r="D376" s="43"/>
      <c r="E376" s="43"/>
      <c r="F376" s="43"/>
      <c r="G376" s="43"/>
      <c r="H376" s="43"/>
      <c r="I376" s="43"/>
      <c r="J376" s="43"/>
      <c r="K376" s="43"/>
      <c r="L376" s="43"/>
      <c r="M376" s="43"/>
      <c r="N376" s="43"/>
      <c r="O376" s="43"/>
      <c r="P376" s="43"/>
      <c r="Q376" s="43"/>
      <c r="R376" s="43"/>
      <c r="S376" s="43"/>
      <c r="T376" s="43"/>
      <c r="U376" s="43"/>
      <c r="V376" s="43"/>
      <c r="W376" s="43"/>
      <c r="X376" s="43"/>
      <c r="Y376" s="43"/>
    </row>
    <row r="377" ht="13.2" spans="1:25">
      <c r="A377" s="42">
        <v>376</v>
      </c>
      <c r="B377" s="43" t="s">
        <v>727</v>
      </c>
      <c r="C377" s="43"/>
      <c r="D377" s="43"/>
      <c r="E377" s="43"/>
      <c r="F377" s="43"/>
      <c r="G377" s="43"/>
      <c r="H377" s="43"/>
      <c r="I377" s="43"/>
      <c r="J377" s="43"/>
      <c r="K377" s="43"/>
      <c r="L377" s="43"/>
      <c r="M377" s="43"/>
      <c r="N377" s="43"/>
      <c r="O377" s="43"/>
      <c r="P377" s="43"/>
      <c r="Q377" s="43"/>
      <c r="R377" s="43"/>
      <c r="S377" s="43"/>
      <c r="T377" s="43"/>
      <c r="U377" s="43"/>
      <c r="V377" s="43"/>
      <c r="W377" s="43"/>
      <c r="X377" s="43"/>
      <c r="Y377" s="43"/>
    </row>
    <row r="378" ht="13.2" spans="1:25">
      <c r="A378" s="42">
        <v>377</v>
      </c>
      <c r="B378" s="43" t="s">
        <v>728</v>
      </c>
      <c r="C378" s="43"/>
      <c r="D378" s="43"/>
      <c r="E378" s="43"/>
      <c r="F378" s="43"/>
      <c r="G378" s="43"/>
      <c r="H378" s="43"/>
      <c r="I378" s="43"/>
      <c r="J378" s="43"/>
      <c r="K378" s="43"/>
      <c r="L378" s="43"/>
      <c r="M378" s="43"/>
      <c r="N378" s="43"/>
      <c r="O378" s="43"/>
      <c r="P378" s="43"/>
      <c r="Q378" s="43"/>
      <c r="R378" s="43"/>
      <c r="S378" s="43"/>
      <c r="T378" s="43"/>
      <c r="U378" s="43"/>
      <c r="V378" s="43"/>
      <c r="W378" s="43"/>
      <c r="X378" s="43"/>
      <c r="Y378" s="43"/>
    </row>
    <row r="379" ht="13.2" spans="1:25">
      <c r="A379" s="42">
        <v>378</v>
      </c>
      <c r="B379" s="43" t="s">
        <v>729</v>
      </c>
      <c r="C379" s="43"/>
      <c r="D379" s="43"/>
      <c r="E379" s="43"/>
      <c r="F379" s="43"/>
      <c r="G379" s="43"/>
      <c r="H379" s="43"/>
      <c r="I379" s="43"/>
      <c r="J379" s="43"/>
      <c r="K379" s="43"/>
      <c r="L379" s="43"/>
      <c r="M379" s="43"/>
      <c r="N379" s="43"/>
      <c r="O379" s="43"/>
      <c r="P379" s="43"/>
      <c r="Q379" s="43"/>
      <c r="R379" s="43"/>
      <c r="S379" s="43"/>
      <c r="T379" s="43"/>
      <c r="U379" s="43"/>
      <c r="V379" s="43"/>
      <c r="W379" s="43"/>
      <c r="X379" s="43"/>
      <c r="Y379" s="43"/>
    </row>
    <row r="380" ht="13.2" spans="1:25">
      <c r="A380" s="42">
        <v>379</v>
      </c>
      <c r="B380" s="43" t="s">
        <v>730</v>
      </c>
      <c r="C380" s="43"/>
      <c r="D380" s="43"/>
      <c r="E380" s="43"/>
      <c r="F380" s="43"/>
      <c r="G380" s="43"/>
      <c r="H380" s="43"/>
      <c r="I380" s="43"/>
      <c r="J380" s="43"/>
      <c r="K380" s="43"/>
      <c r="L380" s="43"/>
      <c r="M380" s="43"/>
      <c r="N380" s="43"/>
      <c r="O380" s="43"/>
      <c r="P380" s="43"/>
      <c r="Q380" s="43"/>
      <c r="R380" s="43"/>
      <c r="S380" s="43"/>
      <c r="T380" s="43"/>
      <c r="U380" s="43"/>
      <c r="V380" s="43"/>
      <c r="W380" s="43"/>
      <c r="X380" s="43"/>
      <c r="Y380" s="43"/>
    </row>
    <row r="381" ht="13.2" spans="1:25">
      <c r="A381" s="42">
        <v>380</v>
      </c>
      <c r="B381" s="43" t="s">
        <v>731</v>
      </c>
      <c r="C381" s="43"/>
      <c r="D381" s="43"/>
      <c r="E381" s="43"/>
      <c r="F381" s="43"/>
      <c r="G381" s="43"/>
      <c r="H381" s="43"/>
      <c r="I381" s="43"/>
      <c r="J381" s="43"/>
      <c r="K381" s="43"/>
      <c r="L381" s="43"/>
      <c r="M381" s="43"/>
      <c r="N381" s="43"/>
      <c r="O381" s="43"/>
      <c r="P381" s="43"/>
      <c r="Q381" s="43"/>
      <c r="R381" s="43"/>
      <c r="S381" s="43"/>
      <c r="T381" s="43"/>
      <c r="U381" s="43"/>
      <c r="V381" s="43"/>
      <c r="W381" s="43"/>
      <c r="X381" s="43"/>
      <c r="Y381" s="43"/>
    </row>
    <row r="382" ht="13.2" spans="1:25">
      <c r="A382" s="42">
        <v>381</v>
      </c>
      <c r="B382" s="43" t="s">
        <v>732</v>
      </c>
      <c r="C382" s="43"/>
      <c r="D382" s="43"/>
      <c r="E382" s="43"/>
      <c r="F382" s="43"/>
      <c r="G382" s="43"/>
      <c r="H382" s="43"/>
      <c r="I382" s="43"/>
      <c r="J382" s="43"/>
      <c r="K382" s="43"/>
      <c r="L382" s="43"/>
      <c r="M382" s="43"/>
      <c r="N382" s="43"/>
      <c r="O382" s="43"/>
      <c r="P382" s="43"/>
      <c r="Q382" s="43"/>
      <c r="R382" s="43"/>
      <c r="S382" s="43"/>
      <c r="T382" s="43"/>
      <c r="U382" s="43"/>
      <c r="V382" s="43"/>
      <c r="W382" s="43"/>
      <c r="X382" s="43"/>
      <c r="Y382" s="43"/>
    </row>
    <row r="383" ht="13.2" spans="1:25">
      <c r="A383" s="42">
        <v>382</v>
      </c>
      <c r="B383" s="43" t="s">
        <v>733</v>
      </c>
      <c r="C383" s="43"/>
      <c r="D383" s="43"/>
      <c r="E383" s="43"/>
      <c r="F383" s="43"/>
      <c r="G383" s="43"/>
      <c r="H383" s="43"/>
      <c r="I383" s="43"/>
      <c r="J383" s="43"/>
      <c r="K383" s="43"/>
      <c r="L383" s="43"/>
      <c r="M383" s="43"/>
      <c r="N383" s="43"/>
      <c r="O383" s="43"/>
      <c r="P383" s="43"/>
      <c r="Q383" s="43"/>
      <c r="R383" s="43"/>
      <c r="S383" s="43"/>
      <c r="T383" s="43"/>
      <c r="U383" s="43"/>
      <c r="V383" s="43"/>
      <c r="W383" s="43"/>
      <c r="X383" s="43"/>
      <c r="Y383" s="43"/>
    </row>
    <row r="384" ht="13.2" spans="1:25">
      <c r="A384" s="42">
        <v>383</v>
      </c>
      <c r="B384" s="43" t="s">
        <v>734</v>
      </c>
      <c r="C384" s="43"/>
      <c r="D384" s="43"/>
      <c r="E384" s="43"/>
      <c r="F384" s="43"/>
      <c r="G384" s="43"/>
      <c r="H384" s="43"/>
      <c r="I384" s="43"/>
      <c r="J384" s="43"/>
      <c r="K384" s="43"/>
      <c r="L384" s="43"/>
      <c r="M384" s="43"/>
      <c r="N384" s="43"/>
      <c r="O384" s="43"/>
      <c r="P384" s="43"/>
      <c r="Q384" s="43"/>
      <c r="R384" s="43"/>
      <c r="S384" s="43"/>
      <c r="T384" s="43"/>
      <c r="U384" s="43"/>
      <c r="V384" s="43"/>
      <c r="W384" s="43"/>
      <c r="X384" s="43"/>
      <c r="Y384" s="43"/>
    </row>
    <row r="385" ht="13.2" spans="1:25">
      <c r="A385" s="42">
        <v>384</v>
      </c>
      <c r="B385" s="43" t="s">
        <v>735</v>
      </c>
      <c r="C385" s="43"/>
      <c r="D385" s="43"/>
      <c r="E385" s="43"/>
      <c r="F385" s="43"/>
      <c r="G385" s="43"/>
      <c r="H385" s="43"/>
      <c r="I385" s="43"/>
      <c r="J385" s="43"/>
      <c r="K385" s="43"/>
      <c r="L385" s="43"/>
      <c r="M385" s="43"/>
      <c r="N385" s="43"/>
      <c r="O385" s="43"/>
      <c r="P385" s="43"/>
      <c r="Q385" s="43"/>
      <c r="R385" s="43"/>
      <c r="S385" s="43"/>
      <c r="T385" s="43"/>
      <c r="U385" s="43"/>
      <c r="V385" s="43"/>
      <c r="W385" s="43"/>
      <c r="X385" s="43"/>
      <c r="Y385" s="43"/>
    </row>
    <row r="386" ht="13.2" spans="1:25">
      <c r="A386" s="42">
        <v>385</v>
      </c>
      <c r="B386" s="43" t="s">
        <v>736</v>
      </c>
      <c r="C386" s="43"/>
      <c r="D386" s="43"/>
      <c r="E386" s="43"/>
      <c r="F386" s="43"/>
      <c r="G386" s="43"/>
      <c r="H386" s="43"/>
      <c r="I386" s="43"/>
      <c r="J386" s="43"/>
      <c r="K386" s="43"/>
      <c r="L386" s="43"/>
      <c r="M386" s="43"/>
      <c r="N386" s="43"/>
      <c r="O386" s="43"/>
      <c r="P386" s="43"/>
      <c r="Q386" s="43"/>
      <c r="R386" s="43"/>
      <c r="S386" s="43"/>
      <c r="T386" s="43"/>
      <c r="U386" s="43"/>
      <c r="V386" s="43"/>
      <c r="W386" s="43"/>
      <c r="X386" s="43"/>
      <c r="Y386" s="43"/>
    </row>
    <row r="387" ht="13.2" spans="1:25">
      <c r="A387" s="42">
        <v>386</v>
      </c>
      <c r="B387" s="43" t="s">
        <v>737</v>
      </c>
      <c r="C387" s="43"/>
      <c r="D387" s="43"/>
      <c r="E387" s="43"/>
      <c r="F387" s="43"/>
      <c r="G387" s="43"/>
      <c r="H387" s="43"/>
      <c r="I387" s="43"/>
      <c r="J387" s="43"/>
      <c r="K387" s="43"/>
      <c r="L387" s="43"/>
      <c r="M387" s="43"/>
      <c r="N387" s="43"/>
      <c r="O387" s="43"/>
      <c r="P387" s="43"/>
      <c r="Q387" s="43"/>
      <c r="R387" s="43"/>
      <c r="S387" s="43"/>
      <c r="T387" s="43"/>
      <c r="U387" s="43"/>
      <c r="V387" s="43"/>
      <c r="W387" s="43"/>
      <c r="X387" s="43"/>
      <c r="Y387" s="43"/>
    </row>
    <row r="388" ht="13.2" spans="1:25">
      <c r="A388" s="42">
        <v>387</v>
      </c>
      <c r="B388" s="43" t="s">
        <v>738</v>
      </c>
      <c r="C388" s="43"/>
      <c r="D388" s="43"/>
      <c r="E388" s="43"/>
      <c r="F388" s="43"/>
      <c r="G388" s="43"/>
      <c r="H388" s="43"/>
      <c r="I388" s="43"/>
      <c r="J388" s="43"/>
      <c r="K388" s="43"/>
      <c r="L388" s="43"/>
      <c r="M388" s="43"/>
      <c r="N388" s="43"/>
      <c r="O388" s="43"/>
      <c r="P388" s="43"/>
      <c r="Q388" s="43"/>
      <c r="R388" s="43"/>
      <c r="S388" s="43"/>
      <c r="T388" s="43"/>
      <c r="U388" s="43"/>
      <c r="V388" s="43"/>
      <c r="W388" s="43"/>
      <c r="X388" s="43"/>
      <c r="Y388" s="43"/>
    </row>
    <row r="389" ht="13.2" spans="1:25">
      <c r="A389" s="42">
        <v>388</v>
      </c>
      <c r="B389" s="43" t="s">
        <v>739</v>
      </c>
      <c r="C389" s="43"/>
      <c r="D389" s="43"/>
      <c r="E389" s="43"/>
      <c r="F389" s="43"/>
      <c r="G389" s="43"/>
      <c r="H389" s="43"/>
      <c r="I389" s="43"/>
      <c r="J389" s="43"/>
      <c r="K389" s="43"/>
      <c r="L389" s="43"/>
      <c r="M389" s="43"/>
      <c r="N389" s="43"/>
      <c r="O389" s="43"/>
      <c r="P389" s="43"/>
      <c r="Q389" s="43"/>
      <c r="R389" s="43"/>
      <c r="S389" s="43"/>
      <c r="T389" s="43"/>
      <c r="U389" s="43"/>
      <c r="V389" s="43"/>
      <c r="W389" s="43"/>
      <c r="X389" s="43"/>
      <c r="Y389" s="43"/>
    </row>
    <row r="390" ht="13.2" spans="1:25">
      <c r="A390" s="42">
        <v>389</v>
      </c>
      <c r="B390" s="43" t="s">
        <v>740</v>
      </c>
      <c r="C390" s="43"/>
      <c r="D390" s="43"/>
      <c r="E390" s="43"/>
      <c r="F390" s="43"/>
      <c r="G390" s="43"/>
      <c r="H390" s="43"/>
      <c r="I390" s="43"/>
      <c r="J390" s="43"/>
      <c r="K390" s="43"/>
      <c r="L390" s="43"/>
      <c r="M390" s="43"/>
      <c r="N390" s="43"/>
      <c r="O390" s="43"/>
      <c r="P390" s="43"/>
      <c r="Q390" s="43"/>
      <c r="R390" s="43"/>
      <c r="S390" s="43"/>
      <c r="T390" s="43"/>
      <c r="U390" s="43"/>
      <c r="V390" s="43"/>
      <c r="W390" s="43"/>
      <c r="X390" s="43"/>
      <c r="Y390" s="43"/>
    </row>
    <row r="391" ht="13.2" spans="1:25">
      <c r="A391" s="42">
        <v>390</v>
      </c>
      <c r="B391" s="43" t="s">
        <v>741</v>
      </c>
      <c r="C391" s="43"/>
      <c r="D391" s="43"/>
      <c r="E391" s="43"/>
      <c r="F391" s="43"/>
      <c r="G391" s="43"/>
      <c r="H391" s="43"/>
      <c r="I391" s="43"/>
      <c r="J391" s="43"/>
      <c r="K391" s="43"/>
      <c r="L391" s="43"/>
      <c r="M391" s="43"/>
      <c r="N391" s="43"/>
      <c r="O391" s="43"/>
      <c r="P391" s="43"/>
      <c r="Q391" s="43"/>
      <c r="R391" s="43"/>
      <c r="S391" s="43"/>
      <c r="T391" s="43"/>
      <c r="U391" s="43"/>
      <c r="V391" s="43"/>
      <c r="W391" s="43"/>
      <c r="X391" s="43"/>
      <c r="Y391" s="43"/>
    </row>
    <row r="392" ht="13.2" spans="1:25">
      <c r="A392" s="42">
        <v>391</v>
      </c>
      <c r="B392" s="43" t="s">
        <v>742</v>
      </c>
      <c r="C392" s="43"/>
      <c r="D392" s="43"/>
      <c r="E392" s="43"/>
      <c r="F392" s="43"/>
      <c r="G392" s="43"/>
      <c r="H392" s="43"/>
      <c r="I392" s="43"/>
      <c r="J392" s="43"/>
      <c r="K392" s="43"/>
      <c r="L392" s="43"/>
      <c r="M392" s="43"/>
      <c r="N392" s="43"/>
      <c r="O392" s="43"/>
      <c r="P392" s="43"/>
      <c r="Q392" s="43"/>
      <c r="R392" s="43"/>
      <c r="S392" s="43"/>
      <c r="T392" s="43"/>
      <c r="U392" s="43"/>
      <c r="V392" s="43"/>
      <c r="W392" s="43"/>
      <c r="X392" s="43"/>
      <c r="Y392" s="43"/>
    </row>
    <row r="393" ht="13.2" spans="1:25">
      <c r="A393" s="42">
        <v>392</v>
      </c>
      <c r="B393" s="43" t="s">
        <v>743</v>
      </c>
      <c r="C393" s="43"/>
      <c r="D393" s="43"/>
      <c r="E393" s="43"/>
      <c r="F393" s="43"/>
      <c r="G393" s="43"/>
      <c r="H393" s="43"/>
      <c r="I393" s="43"/>
      <c r="J393" s="43"/>
      <c r="K393" s="43"/>
      <c r="L393" s="43"/>
      <c r="M393" s="43"/>
      <c r="N393" s="43"/>
      <c r="O393" s="43"/>
      <c r="P393" s="43"/>
      <c r="Q393" s="43"/>
      <c r="R393" s="43"/>
      <c r="S393" s="43"/>
      <c r="T393" s="43"/>
      <c r="U393" s="43"/>
      <c r="V393" s="43"/>
      <c r="W393" s="43"/>
      <c r="X393" s="43"/>
      <c r="Y393" s="43"/>
    </row>
    <row r="394" ht="13.2" spans="1:25">
      <c r="A394" s="42">
        <v>393</v>
      </c>
      <c r="B394" s="43" t="s">
        <v>744</v>
      </c>
      <c r="C394" s="43"/>
      <c r="D394" s="43"/>
      <c r="E394" s="43"/>
      <c r="F394" s="43"/>
      <c r="G394" s="43"/>
      <c r="H394" s="43"/>
      <c r="I394" s="43"/>
      <c r="J394" s="43"/>
      <c r="K394" s="43"/>
      <c r="L394" s="43"/>
      <c r="M394" s="43"/>
      <c r="N394" s="43"/>
      <c r="O394" s="43"/>
      <c r="P394" s="43"/>
      <c r="Q394" s="43"/>
      <c r="R394" s="43"/>
      <c r="S394" s="43"/>
      <c r="T394" s="43"/>
      <c r="U394" s="43"/>
      <c r="V394" s="43"/>
      <c r="W394" s="43"/>
      <c r="X394" s="43"/>
      <c r="Y394" s="43"/>
    </row>
    <row r="395" ht="13.2" spans="1:25">
      <c r="A395" s="42">
        <v>394</v>
      </c>
      <c r="B395" s="43" t="s">
        <v>745</v>
      </c>
      <c r="C395" s="43"/>
      <c r="D395" s="43"/>
      <c r="E395" s="43"/>
      <c r="F395" s="43"/>
      <c r="G395" s="43"/>
      <c r="H395" s="43"/>
      <c r="I395" s="43"/>
      <c r="J395" s="43"/>
      <c r="K395" s="43"/>
      <c r="L395" s="43"/>
      <c r="M395" s="43"/>
      <c r="N395" s="43"/>
      <c r="O395" s="43"/>
      <c r="P395" s="43"/>
      <c r="Q395" s="43"/>
      <c r="R395" s="43"/>
      <c r="S395" s="43"/>
      <c r="T395" s="43"/>
      <c r="U395" s="43"/>
      <c r="V395" s="43"/>
      <c r="W395" s="43"/>
      <c r="X395" s="43"/>
      <c r="Y395" s="43"/>
    </row>
    <row r="396" ht="13.2" spans="1:25">
      <c r="A396" s="42">
        <v>395</v>
      </c>
      <c r="B396" s="43" t="s">
        <v>117</v>
      </c>
      <c r="C396" s="43"/>
      <c r="D396" s="43"/>
      <c r="E396" s="43"/>
      <c r="F396" s="43"/>
      <c r="G396" s="43"/>
      <c r="H396" s="43"/>
      <c r="I396" s="43"/>
      <c r="J396" s="43"/>
      <c r="K396" s="43"/>
      <c r="L396" s="43"/>
      <c r="M396" s="43"/>
      <c r="N396" s="43"/>
      <c r="O396" s="43"/>
      <c r="P396" s="43"/>
      <c r="Q396" s="43"/>
      <c r="R396" s="43"/>
      <c r="S396" s="43"/>
      <c r="T396" s="43"/>
      <c r="U396" s="43"/>
      <c r="V396" s="43"/>
      <c r="W396" s="43"/>
      <c r="X396" s="43"/>
      <c r="Y396" s="43"/>
    </row>
    <row r="397" ht="13.2" spans="1:25">
      <c r="A397" s="42">
        <v>396</v>
      </c>
      <c r="B397" s="43" t="s">
        <v>746</v>
      </c>
      <c r="C397" s="43"/>
      <c r="D397" s="43"/>
      <c r="E397" s="43"/>
      <c r="F397" s="43"/>
      <c r="G397" s="43"/>
      <c r="H397" s="43"/>
      <c r="I397" s="43"/>
      <c r="J397" s="43"/>
      <c r="K397" s="43"/>
      <c r="L397" s="43"/>
      <c r="M397" s="43"/>
      <c r="N397" s="43"/>
      <c r="O397" s="43"/>
      <c r="P397" s="43"/>
      <c r="Q397" s="43"/>
      <c r="R397" s="43"/>
      <c r="S397" s="43"/>
      <c r="T397" s="43"/>
      <c r="U397" s="43"/>
      <c r="V397" s="43"/>
      <c r="W397" s="43"/>
      <c r="X397" s="43"/>
      <c r="Y397" s="43"/>
    </row>
    <row r="398" ht="13.2" spans="1:25">
      <c r="A398" s="42">
        <v>397</v>
      </c>
      <c r="B398" s="43" t="s">
        <v>747</v>
      </c>
      <c r="C398" s="43"/>
      <c r="D398" s="43"/>
      <c r="E398" s="43"/>
      <c r="F398" s="43"/>
      <c r="G398" s="43"/>
      <c r="H398" s="43"/>
      <c r="I398" s="43"/>
      <c r="J398" s="43"/>
      <c r="K398" s="43"/>
      <c r="L398" s="43"/>
      <c r="M398" s="43"/>
      <c r="N398" s="43"/>
      <c r="O398" s="43"/>
      <c r="P398" s="43"/>
      <c r="Q398" s="43"/>
      <c r="R398" s="43"/>
      <c r="S398" s="43"/>
      <c r="T398" s="43"/>
      <c r="U398" s="43"/>
      <c r="V398" s="43"/>
      <c r="W398" s="43"/>
      <c r="X398" s="43"/>
      <c r="Y398" s="43"/>
    </row>
    <row r="399" ht="13.2" spans="1:25">
      <c r="A399" s="42">
        <v>398</v>
      </c>
      <c r="B399" s="43" t="s">
        <v>748</v>
      </c>
      <c r="C399" s="43"/>
      <c r="D399" s="43"/>
      <c r="E399" s="43"/>
      <c r="F399" s="43"/>
      <c r="G399" s="43"/>
      <c r="H399" s="43"/>
      <c r="I399" s="43"/>
      <c r="J399" s="43"/>
      <c r="K399" s="43"/>
      <c r="L399" s="43"/>
      <c r="M399" s="43"/>
      <c r="N399" s="43"/>
      <c r="O399" s="43"/>
      <c r="P399" s="43"/>
      <c r="Q399" s="43"/>
      <c r="R399" s="43"/>
      <c r="S399" s="43"/>
      <c r="T399" s="43"/>
      <c r="U399" s="43"/>
      <c r="V399" s="43"/>
      <c r="W399" s="43"/>
      <c r="X399" s="43"/>
      <c r="Y399" s="43"/>
    </row>
    <row r="400" ht="13.2" spans="1:25">
      <c r="A400" s="42">
        <v>399</v>
      </c>
      <c r="B400" s="43" t="s">
        <v>749</v>
      </c>
      <c r="C400" s="43"/>
      <c r="D400" s="43"/>
      <c r="E400" s="43"/>
      <c r="F400" s="43"/>
      <c r="G400" s="43"/>
      <c r="H400" s="43"/>
      <c r="I400" s="43"/>
      <c r="J400" s="43"/>
      <c r="K400" s="43"/>
      <c r="L400" s="43"/>
      <c r="M400" s="43"/>
      <c r="N400" s="43"/>
      <c r="O400" s="43"/>
      <c r="P400" s="43"/>
      <c r="Q400" s="43"/>
      <c r="R400" s="43"/>
      <c r="S400" s="43"/>
      <c r="T400" s="43"/>
      <c r="U400" s="43"/>
      <c r="V400" s="43"/>
      <c r="W400" s="43"/>
      <c r="X400" s="43"/>
      <c r="Y400" s="43"/>
    </row>
    <row r="401" ht="13.2" spans="1:25">
      <c r="A401" s="42">
        <v>400</v>
      </c>
      <c r="B401" s="43" t="s">
        <v>750</v>
      </c>
      <c r="C401" s="43"/>
      <c r="D401" s="43"/>
      <c r="E401" s="43"/>
      <c r="F401" s="43"/>
      <c r="G401" s="43"/>
      <c r="H401" s="43"/>
      <c r="I401" s="43"/>
      <c r="J401" s="43"/>
      <c r="K401" s="43"/>
      <c r="L401" s="43"/>
      <c r="M401" s="43"/>
      <c r="N401" s="43"/>
      <c r="O401" s="43"/>
      <c r="P401" s="43"/>
      <c r="Q401" s="43"/>
      <c r="R401" s="43"/>
      <c r="S401" s="43"/>
      <c r="T401" s="43"/>
      <c r="U401" s="43"/>
      <c r="V401" s="43"/>
      <c r="W401" s="43"/>
      <c r="X401" s="43"/>
      <c r="Y401" s="43"/>
    </row>
    <row r="402" ht="13.2" spans="1:25">
      <c r="A402" s="42">
        <v>401</v>
      </c>
      <c r="B402" s="43" t="s">
        <v>751</v>
      </c>
      <c r="C402" s="43"/>
      <c r="D402" s="43"/>
      <c r="E402" s="43"/>
      <c r="F402" s="43"/>
      <c r="G402" s="43"/>
      <c r="H402" s="43"/>
      <c r="I402" s="43"/>
      <c r="J402" s="43"/>
      <c r="K402" s="43"/>
      <c r="L402" s="43"/>
      <c r="M402" s="43"/>
      <c r="N402" s="43"/>
      <c r="O402" s="43"/>
      <c r="P402" s="43"/>
      <c r="Q402" s="43"/>
      <c r="R402" s="43"/>
      <c r="S402" s="43"/>
      <c r="T402" s="43"/>
      <c r="U402" s="43"/>
      <c r="V402" s="43"/>
      <c r="W402" s="43"/>
      <c r="X402" s="43"/>
      <c r="Y402" s="43"/>
    </row>
    <row r="403" ht="13.2" spans="1:25">
      <c r="A403" s="42">
        <v>402</v>
      </c>
      <c r="B403" s="43" t="s">
        <v>752</v>
      </c>
      <c r="C403" s="43"/>
      <c r="D403" s="43"/>
      <c r="E403" s="43"/>
      <c r="F403" s="43"/>
      <c r="G403" s="43"/>
      <c r="H403" s="43"/>
      <c r="I403" s="43"/>
      <c r="J403" s="43"/>
      <c r="K403" s="43"/>
      <c r="L403" s="43"/>
      <c r="M403" s="43"/>
      <c r="N403" s="43"/>
      <c r="O403" s="43"/>
      <c r="P403" s="43"/>
      <c r="Q403" s="43"/>
      <c r="R403" s="43"/>
      <c r="S403" s="43"/>
      <c r="T403" s="43"/>
      <c r="U403" s="43"/>
      <c r="V403" s="43"/>
      <c r="W403" s="43"/>
      <c r="X403" s="43"/>
      <c r="Y403" s="43"/>
    </row>
    <row r="404" ht="13.2" spans="1:25">
      <c r="A404" s="42">
        <v>403</v>
      </c>
      <c r="B404" s="43" t="s">
        <v>753</v>
      </c>
      <c r="C404" s="43"/>
      <c r="D404" s="43"/>
      <c r="E404" s="43"/>
      <c r="F404" s="43"/>
      <c r="G404" s="43"/>
      <c r="H404" s="43"/>
      <c r="I404" s="43"/>
      <c r="J404" s="43"/>
      <c r="K404" s="43"/>
      <c r="L404" s="43"/>
      <c r="M404" s="43"/>
      <c r="N404" s="43"/>
      <c r="O404" s="43"/>
      <c r="P404" s="43"/>
      <c r="Q404" s="43"/>
      <c r="R404" s="43"/>
      <c r="S404" s="43"/>
      <c r="T404" s="43"/>
      <c r="U404" s="43"/>
      <c r="V404" s="43"/>
      <c r="W404" s="43"/>
      <c r="X404" s="43"/>
      <c r="Y404" s="43"/>
    </row>
    <row r="405" ht="13.2" spans="1:25">
      <c r="A405" s="42">
        <v>404</v>
      </c>
      <c r="B405" s="43" t="s">
        <v>754</v>
      </c>
      <c r="C405" s="43"/>
      <c r="D405" s="43"/>
      <c r="E405" s="43"/>
      <c r="F405" s="43"/>
      <c r="G405" s="43"/>
      <c r="H405" s="43"/>
      <c r="I405" s="43"/>
      <c r="J405" s="43"/>
      <c r="K405" s="43"/>
      <c r="L405" s="43"/>
      <c r="M405" s="43"/>
      <c r="N405" s="43"/>
      <c r="O405" s="43"/>
      <c r="P405" s="43"/>
      <c r="Q405" s="43"/>
      <c r="R405" s="43"/>
      <c r="S405" s="43"/>
      <c r="T405" s="43"/>
      <c r="U405" s="43"/>
      <c r="V405" s="43"/>
      <c r="W405" s="43"/>
      <c r="X405" s="43"/>
      <c r="Y405" s="43"/>
    </row>
    <row r="406" ht="13.2" spans="1:25">
      <c r="A406" s="42">
        <v>405</v>
      </c>
      <c r="B406" s="43" t="s">
        <v>755</v>
      </c>
      <c r="C406" s="43"/>
      <c r="D406" s="43"/>
      <c r="E406" s="43"/>
      <c r="F406" s="43"/>
      <c r="G406" s="43"/>
      <c r="H406" s="43"/>
      <c r="I406" s="43"/>
      <c r="J406" s="43"/>
      <c r="K406" s="43"/>
      <c r="L406" s="43"/>
      <c r="M406" s="43"/>
      <c r="N406" s="43"/>
      <c r="O406" s="43"/>
      <c r="P406" s="43"/>
      <c r="Q406" s="43"/>
      <c r="R406" s="43"/>
      <c r="S406" s="43"/>
      <c r="T406" s="43"/>
      <c r="U406" s="43"/>
      <c r="V406" s="43"/>
      <c r="W406" s="43"/>
      <c r="X406" s="43"/>
      <c r="Y406" s="43"/>
    </row>
    <row r="407" ht="13.2" spans="1:25">
      <c r="A407" s="42">
        <v>406</v>
      </c>
      <c r="B407" s="42" t="s">
        <v>756</v>
      </c>
      <c r="C407" s="43"/>
      <c r="D407" s="43"/>
      <c r="E407" s="43"/>
      <c r="F407" s="43"/>
      <c r="G407" s="43"/>
      <c r="H407" s="43"/>
      <c r="I407" s="43"/>
      <c r="J407" s="43"/>
      <c r="K407" s="43"/>
      <c r="L407" s="43"/>
      <c r="M407" s="43"/>
      <c r="N407" s="43"/>
      <c r="O407" s="43"/>
      <c r="P407" s="43"/>
      <c r="Q407" s="43"/>
      <c r="R407" s="43"/>
      <c r="S407" s="43"/>
      <c r="T407" s="43"/>
      <c r="U407" s="43"/>
      <c r="V407" s="43"/>
      <c r="W407" s="43"/>
      <c r="X407" s="43"/>
      <c r="Y407" s="43"/>
    </row>
    <row r="408" ht="13.2" spans="1:25">
      <c r="A408" s="42">
        <v>407</v>
      </c>
      <c r="B408" s="43" t="s">
        <v>757</v>
      </c>
      <c r="C408" s="43"/>
      <c r="D408" s="43"/>
      <c r="E408" s="43"/>
      <c r="F408" s="43"/>
      <c r="G408" s="43"/>
      <c r="H408" s="43"/>
      <c r="I408" s="43"/>
      <c r="J408" s="43"/>
      <c r="K408" s="43"/>
      <c r="L408" s="43"/>
      <c r="M408" s="43"/>
      <c r="N408" s="43"/>
      <c r="O408" s="43"/>
      <c r="P408" s="43"/>
      <c r="Q408" s="43"/>
      <c r="R408" s="43"/>
      <c r="S408" s="43"/>
      <c r="T408" s="43"/>
      <c r="U408" s="43"/>
      <c r="V408" s="43"/>
      <c r="W408" s="43"/>
      <c r="X408" s="43"/>
      <c r="Y408" s="43"/>
    </row>
    <row r="409" ht="13.2" spans="1:25">
      <c r="A409" s="42">
        <v>408</v>
      </c>
      <c r="B409" s="43" t="s">
        <v>758</v>
      </c>
      <c r="C409" s="43"/>
      <c r="D409" s="43"/>
      <c r="E409" s="43"/>
      <c r="F409" s="43"/>
      <c r="G409" s="43"/>
      <c r="H409" s="43"/>
      <c r="I409" s="43"/>
      <c r="J409" s="43"/>
      <c r="K409" s="43"/>
      <c r="L409" s="43"/>
      <c r="M409" s="43"/>
      <c r="N409" s="43"/>
      <c r="O409" s="43"/>
      <c r="P409" s="43"/>
      <c r="Q409" s="43"/>
      <c r="R409" s="43"/>
      <c r="S409" s="43"/>
      <c r="T409" s="43"/>
      <c r="U409" s="43"/>
      <c r="V409" s="43"/>
      <c r="W409" s="43"/>
      <c r="X409" s="43"/>
      <c r="Y409" s="43"/>
    </row>
    <row r="410" ht="13.2" spans="1:25">
      <c r="A410" s="42">
        <v>409</v>
      </c>
      <c r="B410" s="43" t="s">
        <v>759</v>
      </c>
      <c r="C410" s="43"/>
      <c r="D410" s="43"/>
      <c r="E410" s="43"/>
      <c r="F410" s="43"/>
      <c r="G410" s="43"/>
      <c r="H410" s="43"/>
      <c r="I410" s="43"/>
      <c r="J410" s="43"/>
      <c r="K410" s="43"/>
      <c r="L410" s="43"/>
      <c r="M410" s="43"/>
      <c r="N410" s="43"/>
      <c r="O410" s="43"/>
      <c r="P410" s="43"/>
      <c r="Q410" s="43"/>
      <c r="R410" s="43"/>
      <c r="S410" s="43"/>
      <c r="T410" s="43"/>
      <c r="U410" s="43"/>
      <c r="V410" s="43"/>
      <c r="W410" s="43"/>
      <c r="X410" s="43"/>
      <c r="Y410" s="43"/>
    </row>
    <row r="411" ht="13.2" spans="1:25">
      <c r="A411" s="42">
        <v>410</v>
      </c>
      <c r="B411" s="43" t="s">
        <v>760</v>
      </c>
      <c r="C411" s="43"/>
      <c r="D411" s="43"/>
      <c r="E411" s="43"/>
      <c r="F411" s="43"/>
      <c r="G411" s="43"/>
      <c r="H411" s="43"/>
      <c r="I411" s="43"/>
      <c r="J411" s="43"/>
      <c r="K411" s="43"/>
      <c r="L411" s="43"/>
      <c r="M411" s="43"/>
      <c r="N411" s="43"/>
      <c r="O411" s="43"/>
      <c r="P411" s="43"/>
      <c r="Q411" s="43"/>
      <c r="R411" s="43"/>
      <c r="S411" s="43"/>
      <c r="T411" s="43"/>
      <c r="U411" s="43"/>
      <c r="V411" s="43"/>
      <c r="W411" s="43"/>
      <c r="X411" s="43"/>
      <c r="Y411" s="43"/>
    </row>
    <row r="412" ht="13.2" spans="1:25">
      <c r="A412" s="42">
        <v>411</v>
      </c>
      <c r="B412" s="43" t="s">
        <v>761</v>
      </c>
      <c r="C412" s="43"/>
      <c r="D412" s="43"/>
      <c r="E412" s="43"/>
      <c r="F412" s="43"/>
      <c r="G412" s="43"/>
      <c r="H412" s="43"/>
      <c r="I412" s="43"/>
      <c r="J412" s="43"/>
      <c r="K412" s="43"/>
      <c r="L412" s="43"/>
      <c r="M412" s="43"/>
      <c r="N412" s="43"/>
      <c r="O412" s="43"/>
      <c r="P412" s="43"/>
      <c r="Q412" s="43"/>
      <c r="R412" s="43"/>
      <c r="S412" s="43"/>
      <c r="T412" s="43"/>
      <c r="U412" s="43"/>
      <c r="V412" s="43"/>
      <c r="W412" s="43"/>
      <c r="X412" s="43"/>
      <c r="Y412" s="43"/>
    </row>
    <row r="413" ht="13.2" spans="1:25">
      <c r="A413" s="42">
        <v>412</v>
      </c>
      <c r="B413" s="43" t="s">
        <v>762</v>
      </c>
      <c r="C413" s="43"/>
      <c r="D413" s="43"/>
      <c r="E413" s="43"/>
      <c r="F413" s="43"/>
      <c r="G413" s="43"/>
      <c r="H413" s="43"/>
      <c r="I413" s="43"/>
      <c r="J413" s="43"/>
      <c r="K413" s="43"/>
      <c r="L413" s="43"/>
      <c r="M413" s="43"/>
      <c r="N413" s="43"/>
      <c r="O413" s="43"/>
      <c r="P413" s="43"/>
      <c r="Q413" s="43"/>
      <c r="R413" s="43"/>
      <c r="S413" s="43"/>
      <c r="T413" s="43"/>
      <c r="U413" s="43"/>
      <c r="V413" s="43"/>
      <c r="W413" s="43"/>
      <c r="X413" s="43"/>
      <c r="Y413" s="43"/>
    </row>
    <row r="414" ht="13.2" spans="1:25">
      <c r="A414" s="42">
        <v>413</v>
      </c>
      <c r="B414" s="43" t="s">
        <v>763</v>
      </c>
      <c r="C414" s="43"/>
      <c r="D414" s="43"/>
      <c r="E414" s="43"/>
      <c r="F414" s="43"/>
      <c r="G414" s="43"/>
      <c r="H414" s="43"/>
      <c r="I414" s="43"/>
      <c r="J414" s="43"/>
      <c r="K414" s="43"/>
      <c r="L414" s="43"/>
      <c r="M414" s="43"/>
      <c r="N414" s="43"/>
      <c r="O414" s="43"/>
      <c r="P414" s="43"/>
      <c r="Q414" s="43"/>
      <c r="R414" s="43"/>
      <c r="S414" s="43"/>
      <c r="T414" s="43"/>
      <c r="U414" s="43"/>
      <c r="V414" s="43"/>
      <c r="W414" s="43"/>
      <c r="X414" s="43"/>
      <c r="Y414" s="43"/>
    </row>
    <row r="415" ht="13.2" spans="1:25">
      <c r="A415" s="42">
        <v>414</v>
      </c>
      <c r="B415" s="43" t="s">
        <v>764</v>
      </c>
      <c r="C415" s="43"/>
      <c r="D415" s="43"/>
      <c r="E415" s="43"/>
      <c r="F415" s="43"/>
      <c r="G415" s="43"/>
      <c r="H415" s="43"/>
      <c r="I415" s="43"/>
      <c r="J415" s="43"/>
      <c r="K415" s="43"/>
      <c r="L415" s="43"/>
      <c r="M415" s="43"/>
      <c r="N415" s="43"/>
      <c r="O415" s="43"/>
      <c r="P415" s="43"/>
      <c r="Q415" s="43"/>
      <c r="R415" s="43"/>
      <c r="S415" s="43"/>
      <c r="T415" s="43"/>
      <c r="U415" s="43"/>
      <c r="V415" s="43"/>
      <c r="W415" s="43"/>
      <c r="X415" s="43"/>
      <c r="Y415" s="43"/>
    </row>
    <row r="416" ht="13.2" spans="1:25">
      <c r="A416" s="42">
        <v>415</v>
      </c>
      <c r="B416" s="43" t="s">
        <v>765</v>
      </c>
      <c r="C416" s="43"/>
      <c r="D416" s="43"/>
      <c r="E416" s="43"/>
      <c r="F416" s="43"/>
      <c r="G416" s="43"/>
      <c r="H416" s="43"/>
      <c r="I416" s="43"/>
      <c r="J416" s="43"/>
      <c r="K416" s="43"/>
      <c r="L416" s="43"/>
      <c r="M416" s="43"/>
      <c r="N416" s="43"/>
      <c r="O416" s="43"/>
      <c r="P416" s="43"/>
      <c r="Q416" s="43"/>
      <c r="R416" s="43"/>
      <c r="S416" s="43"/>
      <c r="T416" s="43"/>
      <c r="U416" s="43"/>
      <c r="V416" s="43"/>
      <c r="W416" s="43"/>
      <c r="X416" s="43"/>
      <c r="Y416" s="43"/>
    </row>
    <row r="417" ht="13.2" spans="1:25">
      <c r="A417" s="42">
        <v>416</v>
      </c>
      <c r="B417" s="43" t="s">
        <v>766</v>
      </c>
      <c r="C417" s="43"/>
      <c r="D417" s="43"/>
      <c r="E417" s="43"/>
      <c r="F417" s="43"/>
      <c r="G417" s="43"/>
      <c r="H417" s="43"/>
      <c r="I417" s="43"/>
      <c r="J417" s="43"/>
      <c r="K417" s="43"/>
      <c r="L417" s="43"/>
      <c r="M417" s="43"/>
      <c r="N417" s="43"/>
      <c r="O417" s="43"/>
      <c r="P417" s="43"/>
      <c r="Q417" s="43"/>
      <c r="R417" s="43"/>
      <c r="S417" s="43"/>
      <c r="T417" s="43"/>
      <c r="U417" s="43"/>
      <c r="V417" s="43"/>
      <c r="W417" s="43"/>
      <c r="X417" s="43"/>
      <c r="Y417" s="43"/>
    </row>
    <row r="418" ht="13.2" spans="1:25">
      <c r="A418" s="42">
        <v>417</v>
      </c>
      <c r="B418" s="43" t="s">
        <v>767</v>
      </c>
      <c r="C418" s="43"/>
      <c r="D418" s="43"/>
      <c r="E418" s="43"/>
      <c r="F418" s="43"/>
      <c r="G418" s="43"/>
      <c r="H418" s="43"/>
      <c r="I418" s="43"/>
      <c r="J418" s="43"/>
      <c r="K418" s="43"/>
      <c r="L418" s="43"/>
      <c r="M418" s="43"/>
      <c r="N418" s="43"/>
      <c r="O418" s="43"/>
      <c r="P418" s="43"/>
      <c r="Q418" s="43"/>
      <c r="R418" s="43"/>
      <c r="S418" s="43"/>
      <c r="T418" s="43"/>
      <c r="U418" s="43"/>
      <c r="V418" s="43"/>
      <c r="W418" s="43"/>
      <c r="X418" s="43"/>
      <c r="Y418" s="43"/>
    </row>
    <row r="419" ht="13.2" spans="1:25">
      <c r="A419" s="42">
        <v>418</v>
      </c>
      <c r="B419" s="43" t="s">
        <v>768</v>
      </c>
      <c r="C419" s="43"/>
      <c r="D419" s="43"/>
      <c r="E419" s="43"/>
      <c r="F419" s="43"/>
      <c r="G419" s="43"/>
      <c r="H419" s="43"/>
      <c r="I419" s="43"/>
      <c r="J419" s="43"/>
      <c r="K419" s="43"/>
      <c r="L419" s="43"/>
      <c r="M419" s="43"/>
      <c r="N419" s="43"/>
      <c r="O419" s="43"/>
      <c r="P419" s="43"/>
      <c r="Q419" s="43"/>
      <c r="R419" s="43"/>
      <c r="S419" s="43"/>
      <c r="T419" s="43"/>
      <c r="U419" s="43"/>
      <c r="V419" s="43"/>
      <c r="W419" s="43"/>
      <c r="X419" s="43"/>
      <c r="Y419" s="43"/>
    </row>
    <row r="420" ht="13.2" spans="1:25">
      <c r="A420" s="42">
        <v>419</v>
      </c>
      <c r="B420" s="43" t="s">
        <v>769</v>
      </c>
      <c r="C420" s="43"/>
      <c r="D420" s="43"/>
      <c r="E420" s="43"/>
      <c r="F420" s="43"/>
      <c r="G420" s="43"/>
      <c r="H420" s="43"/>
      <c r="I420" s="43"/>
      <c r="J420" s="43"/>
      <c r="K420" s="43"/>
      <c r="L420" s="43"/>
      <c r="M420" s="43"/>
      <c r="N420" s="43"/>
      <c r="O420" s="43"/>
      <c r="P420" s="43"/>
      <c r="Q420" s="43"/>
      <c r="R420" s="43"/>
      <c r="S420" s="43"/>
      <c r="T420" s="43"/>
      <c r="U420" s="43"/>
      <c r="V420" s="43"/>
      <c r="W420" s="43"/>
      <c r="X420" s="43"/>
      <c r="Y420" s="43"/>
    </row>
    <row r="421" ht="13.2" spans="1:25">
      <c r="A421" s="42">
        <v>420</v>
      </c>
      <c r="B421" s="43" t="s">
        <v>770</v>
      </c>
      <c r="C421" s="43"/>
      <c r="D421" s="43"/>
      <c r="E421" s="43"/>
      <c r="F421" s="43"/>
      <c r="G421" s="43"/>
      <c r="H421" s="43"/>
      <c r="I421" s="43"/>
      <c r="J421" s="43"/>
      <c r="K421" s="43"/>
      <c r="L421" s="43"/>
      <c r="M421" s="43"/>
      <c r="N421" s="43"/>
      <c r="O421" s="43"/>
      <c r="P421" s="43"/>
      <c r="Q421" s="43"/>
      <c r="R421" s="43"/>
      <c r="S421" s="43"/>
      <c r="T421" s="43"/>
      <c r="U421" s="43"/>
      <c r="V421" s="43"/>
      <c r="W421" s="43"/>
      <c r="X421" s="43"/>
      <c r="Y421" s="43"/>
    </row>
    <row r="422" ht="13.2" spans="1:25">
      <c r="A422" s="42">
        <v>421</v>
      </c>
      <c r="B422" s="43" t="s">
        <v>771</v>
      </c>
      <c r="C422" s="43"/>
      <c r="D422" s="43"/>
      <c r="E422" s="43"/>
      <c r="F422" s="43"/>
      <c r="G422" s="43"/>
      <c r="H422" s="43"/>
      <c r="I422" s="43"/>
      <c r="J422" s="43"/>
      <c r="K422" s="43"/>
      <c r="L422" s="43"/>
      <c r="M422" s="43"/>
      <c r="N422" s="43"/>
      <c r="O422" s="43"/>
      <c r="P422" s="43"/>
      <c r="Q422" s="43"/>
      <c r="R422" s="43"/>
      <c r="S422" s="43"/>
      <c r="T422" s="43"/>
      <c r="U422" s="43"/>
      <c r="V422" s="43"/>
      <c r="W422" s="43"/>
      <c r="X422" s="43"/>
      <c r="Y422" s="43"/>
    </row>
    <row r="423" ht="13.2" spans="1:25">
      <c r="A423" s="42">
        <v>422</v>
      </c>
      <c r="B423" s="43" t="s">
        <v>772</v>
      </c>
      <c r="C423" s="43"/>
      <c r="D423" s="43"/>
      <c r="E423" s="43"/>
      <c r="F423" s="43"/>
      <c r="G423" s="43"/>
      <c r="H423" s="43"/>
      <c r="I423" s="43"/>
      <c r="J423" s="43"/>
      <c r="K423" s="43"/>
      <c r="L423" s="43"/>
      <c r="M423" s="43"/>
      <c r="N423" s="43"/>
      <c r="O423" s="43"/>
      <c r="P423" s="43"/>
      <c r="Q423" s="43"/>
      <c r="R423" s="43"/>
      <c r="S423" s="43"/>
      <c r="T423" s="43"/>
      <c r="U423" s="43"/>
      <c r="V423" s="43"/>
      <c r="W423" s="43"/>
      <c r="X423" s="43"/>
      <c r="Y423" s="43"/>
    </row>
    <row r="424" ht="13.2" spans="1:25">
      <c r="A424" s="42">
        <v>423</v>
      </c>
      <c r="B424" s="43" t="s">
        <v>773</v>
      </c>
      <c r="C424" s="43"/>
      <c r="D424" s="43"/>
      <c r="E424" s="43"/>
      <c r="F424" s="43"/>
      <c r="G424" s="43"/>
      <c r="H424" s="43"/>
      <c r="I424" s="43"/>
      <c r="J424" s="43"/>
      <c r="K424" s="43"/>
      <c r="L424" s="43"/>
      <c r="M424" s="43"/>
      <c r="N424" s="43"/>
      <c r="O424" s="43"/>
      <c r="P424" s="43"/>
      <c r="Q424" s="43"/>
      <c r="R424" s="43"/>
      <c r="S424" s="43"/>
      <c r="T424" s="43"/>
      <c r="U424" s="43"/>
      <c r="V424" s="43"/>
      <c r="W424" s="43"/>
      <c r="X424" s="43"/>
      <c r="Y424" s="43"/>
    </row>
    <row r="425" ht="13.2" spans="1:25">
      <c r="A425" s="42">
        <v>424</v>
      </c>
      <c r="B425" s="43" t="s">
        <v>774</v>
      </c>
      <c r="C425" s="43"/>
      <c r="D425" s="43"/>
      <c r="E425" s="43"/>
      <c r="F425" s="43"/>
      <c r="G425" s="43"/>
      <c r="H425" s="43"/>
      <c r="I425" s="43"/>
      <c r="J425" s="43"/>
      <c r="K425" s="43"/>
      <c r="L425" s="43"/>
      <c r="M425" s="43"/>
      <c r="N425" s="43"/>
      <c r="O425" s="43"/>
      <c r="P425" s="43"/>
      <c r="Q425" s="43"/>
      <c r="R425" s="43"/>
      <c r="S425" s="43"/>
      <c r="T425" s="43"/>
      <c r="U425" s="43"/>
      <c r="V425" s="43"/>
      <c r="W425" s="43"/>
      <c r="X425" s="43"/>
      <c r="Y425" s="43"/>
    </row>
    <row r="426" ht="13.2" spans="1:25">
      <c r="A426" s="42">
        <v>425</v>
      </c>
      <c r="B426" s="43" t="s">
        <v>775</v>
      </c>
      <c r="C426" s="43"/>
      <c r="D426" s="43"/>
      <c r="E426" s="43"/>
      <c r="F426" s="43"/>
      <c r="G426" s="43"/>
      <c r="H426" s="43"/>
      <c r="I426" s="43"/>
      <c r="J426" s="43"/>
      <c r="K426" s="43"/>
      <c r="L426" s="43"/>
      <c r="M426" s="43"/>
      <c r="N426" s="43"/>
      <c r="O426" s="43"/>
      <c r="P426" s="43"/>
      <c r="Q426" s="43"/>
      <c r="R426" s="43"/>
      <c r="S426" s="43"/>
      <c r="T426" s="43"/>
      <c r="U426" s="43"/>
      <c r="V426" s="43"/>
      <c r="W426" s="43"/>
      <c r="X426" s="43"/>
      <c r="Y426" s="43"/>
    </row>
    <row r="427" ht="13.2" spans="1:25">
      <c r="A427" s="42">
        <v>426</v>
      </c>
      <c r="B427" s="43" t="s">
        <v>776</v>
      </c>
      <c r="C427" s="43"/>
      <c r="D427" s="43"/>
      <c r="E427" s="43"/>
      <c r="F427" s="43"/>
      <c r="G427" s="43"/>
      <c r="H427" s="43"/>
      <c r="I427" s="43"/>
      <c r="J427" s="43"/>
      <c r="K427" s="43"/>
      <c r="L427" s="43"/>
      <c r="M427" s="43"/>
      <c r="N427" s="43"/>
      <c r="O427" s="43"/>
      <c r="P427" s="43"/>
      <c r="Q427" s="43"/>
      <c r="R427" s="43"/>
      <c r="S427" s="43"/>
      <c r="T427" s="43"/>
      <c r="U427" s="43"/>
      <c r="V427" s="43"/>
      <c r="W427" s="43"/>
      <c r="X427" s="43"/>
      <c r="Y427" s="43"/>
    </row>
    <row r="428" ht="13.2" spans="1:25">
      <c r="A428" s="42">
        <v>427</v>
      </c>
      <c r="B428" s="43" t="s">
        <v>777</v>
      </c>
      <c r="C428" s="43"/>
      <c r="D428" s="43"/>
      <c r="E428" s="43"/>
      <c r="F428" s="43"/>
      <c r="G428" s="43"/>
      <c r="H428" s="43"/>
      <c r="I428" s="43"/>
      <c r="J428" s="43"/>
      <c r="K428" s="43"/>
      <c r="L428" s="43"/>
      <c r="M428" s="43"/>
      <c r="N428" s="43"/>
      <c r="O428" s="43"/>
      <c r="P428" s="43"/>
      <c r="Q428" s="43"/>
      <c r="R428" s="43"/>
      <c r="S428" s="43"/>
      <c r="T428" s="43"/>
      <c r="U428" s="43"/>
      <c r="V428" s="43"/>
      <c r="W428" s="43"/>
      <c r="X428" s="43"/>
      <c r="Y428" s="43"/>
    </row>
    <row r="429" ht="13.2" spans="1:25">
      <c r="A429" s="42">
        <v>428</v>
      </c>
      <c r="B429" s="43" t="s">
        <v>778</v>
      </c>
      <c r="C429" s="43"/>
      <c r="D429" s="43"/>
      <c r="E429" s="43"/>
      <c r="F429" s="43"/>
      <c r="G429" s="43"/>
      <c r="H429" s="43"/>
      <c r="I429" s="43"/>
      <c r="J429" s="43"/>
      <c r="K429" s="43"/>
      <c r="L429" s="43"/>
      <c r="M429" s="43"/>
      <c r="N429" s="43"/>
      <c r="O429" s="43"/>
      <c r="P429" s="43"/>
      <c r="Q429" s="43"/>
      <c r="R429" s="43"/>
      <c r="S429" s="43"/>
      <c r="T429" s="43"/>
      <c r="U429" s="43"/>
      <c r="V429" s="43"/>
      <c r="W429" s="43"/>
      <c r="X429" s="43"/>
      <c r="Y429" s="43"/>
    </row>
    <row r="430" ht="13.2" spans="1:25">
      <c r="A430" s="42">
        <v>429</v>
      </c>
      <c r="B430" s="43" t="s">
        <v>779</v>
      </c>
      <c r="C430" s="43"/>
      <c r="D430" s="43"/>
      <c r="E430" s="43"/>
      <c r="F430" s="43"/>
      <c r="G430" s="43"/>
      <c r="H430" s="43"/>
      <c r="I430" s="43"/>
      <c r="J430" s="43"/>
      <c r="K430" s="43"/>
      <c r="L430" s="43"/>
      <c r="M430" s="43"/>
      <c r="N430" s="43"/>
      <c r="O430" s="43"/>
      <c r="P430" s="43"/>
      <c r="Q430" s="43"/>
      <c r="R430" s="43"/>
      <c r="S430" s="43"/>
      <c r="T430" s="43"/>
      <c r="U430" s="43"/>
      <c r="V430" s="43"/>
      <c r="W430" s="43"/>
      <c r="X430" s="43"/>
      <c r="Y430" s="43"/>
    </row>
    <row r="431" ht="13.2" spans="1:25">
      <c r="A431" s="42">
        <v>430</v>
      </c>
      <c r="B431" s="43" t="s">
        <v>780</v>
      </c>
      <c r="C431" s="43"/>
      <c r="D431" s="43"/>
      <c r="E431" s="43"/>
      <c r="F431" s="43"/>
      <c r="G431" s="43"/>
      <c r="H431" s="43"/>
      <c r="I431" s="43"/>
      <c r="J431" s="43"/>
      <c r="K431" s="43"/>
      <c r="L431" s="43"/>
      <c r="M431" s="43"/>
      <c r="N431" s="43"/>
      <c r="O431" s="43"/>
      <c r="P431" s="43"/>
      <c r="Q431" s="43"/>
      <c r="R431" s="43"/>
      <c r="S431" s="43"/>
      <c r="T431" s="43"/>
      <c r="U431" s="43"/>
      <c r="V431" s="43"/>
      <c r="W431" s="43"/>
      <c r="X431" s="43"/>
      <c r="Y431" s="43"/>
    </row>
    <row r="432" ht="13.2" spans="1:25">
      <c r="A432" s="42">
        <v>431</v>
      </c>
      <c r="B432" s="43" t="s">
        <v>781</v>
      </c>
      <c r="C432" s="43"/>
      <c r="D432" s="43"/>
      <c r="E432" s="43"/>
      <c r="F432" s="43"/>
      <c r="G432" s="43"/>
      <c r="H432" s="43"/>
      <c r="I432" s="43"/>
      <c r="J432" s="43"/>
      <c r="K432" s="43"/>
      <c r="L432" s="43"/>
      <c r="M432" s="43"/>
      <c r="N432" s="43"/>
      <c r="O432" s="43"/>
      <c r="P432" s="43"/>
      <c r="Q432" s="43"/>
      <c r="R432" s="43"/>
      <c r="S432" s="43"/>
      <c r="T432" s="43"/>
      <c r="U432" s="43"/>
      <c r="V432" s="43"/>
      <c r="W432" s="43"/>
      <c r="X432" s="43"/>
      <c r="Y432" s="43"/>
    </row>
    <row r="433" ht="13.2" spans="1:25">
      <c r="A433" s="42">
        <v>432</v>
      </c>
      <c r="B433" s="43" t="s">
        <v>782</v>
      </c>
      <c r="C433" s="43"/>
      <c r="D433" s="43"/>
      <c r="E433" s="43"/>
      <c r="F433" s="43"/>
      <c r="G433" s="43"/>
      <c r="H433" s="43"/>
      <c r="I433" s="43"/>
      <c r="J433" s="43"/>
      <c r="K433" s="43"/>
      <c r="L433" s="43"/>
      <c r="M433" s="43"/>
      <c r="N433" s="43"/>
      <c r="O433" s="43"/>
      <c r="P433" s="43"/>
      <c r="Q433" s="43"/>
      <c r="R433" s="43"/>
      <c r="S433" s="43"/>
      <c r="T433" s="43"/>
      <c r="U433" s="43"/>
      <c r="V433" s="43"/>
      <c r="W433" s="43"/>
      <c r="X433" s="43"/>
      <c r="Y433" s="43"/>
    </row>
    <row r="434" ht="13.2" spans="1:25">
      <c r="A434" s="42">
        <v>433</v>
      </c>
      <c r="B434" s="43" t="s">
        <v>783</v>
      </c>
      <c r="C434" s="43"/>
      <c r="D434" s="43"/>
      <c r="E434" s="43"/>
      <c r="F434" s="43"/>
      <c r="G434" s="43"/>
      <c r="H434" s="43"/>
      <c r="I434" s="43"/>
      <c r="J434" s="43"/>
      <c r="K434" s="43"/>
      <c r="L434" s="43"/>
      <c r="M434" s="43"/>
      <c r="N434" s="43"/>
      <c r="O434" s="43"/>
      <c r="P434" s="43"/>
      <c r="Q434" s="43"/>
      <c r="R434" s="43"/>
      <c r="S434" s="43"/>
      <c r="T434" s="43"/>
      <c r="U434" s="43"/>
      <c r="V434" s="43"/>
      <c r="W434" s="43"/>
      <c r="X434" s="43"/>
      <c r="Y434" s="43"/>
    </row>
    <row r="435" ht="13.2" spans="1:25">
      <c r="A435" s="42">
        <v>434</v>
      </c>
      <c r="B435" s="43" t="s">
        <v>784</v>
      </c>
      <c r="C435" s="43"/>
      <c r="D435" s="43"/>
      <c r="E435" s="43"/>
      <c r="F435" s="43"/>
      <c r="G435" s="43"/>
      <c r="H435" s="43"/>
      <c r="I435" s="43"/>
      <c r="J435" s="43"/>
      <c r="K435" s="43"/>
      <c r="L435" s="43"/>
      <c r="M435" s="43"/>
      <c r="N435" s="43"/>
      <c r="O435" s="43"/>
      <c r="P435" s="43"/>
      <c r="Q435" s="43"/>
      <c r="R435" s="43"/>
      <c r="S435" s="43"/>
      <c r="T435" s="43"/>
      <c r="U435" s="43"/>
      <c r="V435" s="43"/>
      <c r="W435" s="43"/>
      <c r="X435" s="43"/>
      <c r="Y435" s="43"/>
    </row>
    <row r="436" ht="13.2" spans="1:25">
      <c r="A436" s="42">
        <v>435</v>
      </c>
      <c r="B436" s="43" t="s">
        <v>785</v>
      </c>
      <c r="C436" s="43"/>
      <c r="D436" s="43"/>
      <c r="E436" s="43"/>
      <c r="F436" s="43"/>
      <c r="G436" s="43"/>
      <c r="H436" s="43"/>
      <c r="I436" s="43"/>
      <c r="J436" s="43"/>
      <c r="K436" s="43"/>
      <c r="L436" s="43"/>
      <c r="M436" s="43"/>
      <c r="N436" s="43"/>
      <c r="O436" s="43"/>
      <c r="P436" s="43"/>
      <c r="Q436" s="43"/>
      <c r="R436" s="43"/>
      <c r="S436" s="43"/>
      <c r="T436" s="43"/>
      <c r="U436" s="43"/>
      <c r="V436" s="43"/>
      <c r="W436" s="43"/>
      <c r="X436" s="43"/>
      <c r="Y436" s="43"/>
    </row>
    <row r="437" ht="13.2" spans="1:25">
      <c r="A437" s="42">
        <v>436</v>
      </c>
      <c r="B437" s="43" t="s">
        <v>786</v>
      </c>
      <c r="C437" s="43"/>
      <c r="D437" s="43"/>
      <c r="E437" s="43"/>
      <c r="F437" s="43"/>
      <c r="G437" s="43"/>
      <c r="H437" s="43"/>
      <c r="I437" s="43"/>
      <c r="J437" s="43"/>
      <c r="K437" s="43"/>
      <c r="L437" s="43"/>
      <c r="M437" s="43"/>
      <c r="N437" s="43"/>
      <c r="O437" s="43"/>
      <c r="P437" s="43"/>
      <c r="Q437" s="43"/>
      <c r="R437" s="43"/>
      <c r="S437" s="43"/>
      <c r="T437" s="43"/>
      <c r="U437" s="43"/>
      <c r="V437" s="43"/>
      <c r="W437" s="43"/>
      <c r="X437" s="43"/>
      <c r="Y437" s="43"/>
    </row>
    <row r="438" ht="13.2" spans="1:25">
      <c r="A438" s="42">
        <v>437</v>
      </c>
      <c r="B438" s="43" t="s">
        <v>787</v>
      </c>
      <c r="C438" s="43"/>
      <c r="D438" s="43"/>
      <c r="E438" s="43"/>
      <c r="F438" s="43"/>
      <c r="G438" s="43"/>
      <c r="H438" s="43"/>
      <c r="I438" s="43"/>
      <c r="J438" s="43"/>
      <c r="K438" s="43"/>
      <c r="L438" s="43"/>
      <c r="M438" s="43"/>
      <c r="N438" s="43"/>
      <c r="O438" s="43"/>
      <c r="P438" s="43"/>
      <c r="Q438" s="43"/>
      <c r="R438" s="43"/>
      <c r="S438" s="43"/>
      <c r="T438" s="43"/>
      <c r="U438" s="43"/>
      <c r="V438" s="43"/>
      <c r="W438" s="43"/>
      <c r="X438" s="43"/>
      <c r="Y438" s="43"/>
    </row>
    <row r="439" ht="13.2" spans="1:25">
      <c r="A439" s="42">
        <v>438</v>
      </c>
      <c r="B439" s="43" t="s">
        <v>788</v>
      </c>
      <c r="C439" s="43"/>
      <c r="D439" s="43"/>
      <c r="E439" s="43"/>
      <c r="F439" s="43"/>
      <c r="G439" s="43"/>
      <c r="H439" s="43"/>
      <c r="I439" s="43"/>
      <c r="J439" s="43"/>
      <c r="K439" s="43"/>
      <c r="L439" s="43"/>
      <c r="M439" s="43"/>
      <c r="N439" s="43"/>
      <c r="O439" s="43"/>
      <c r="P439" s="43"/>
      <c r="Q439" s="43"/>
      <c r="R439" s="43"/>
      <c r="S439" s="43"/>
      <c r="T439" s="43"/>
      <c r="U439" s="43"/>
      <c r="V439" s="43"/>
      <c r="W439" s="43"/>
      <c r="X439" s="43"/>
      <c r="Y439" s="43"/>
    </row>
    <row r="440" ht="13.2" spans="1:25">
      <c r="A440" s="42">
        <v>439</v>
      </c>
      <c r="B440" s="43" t="s">
        <v>789</v>
      </c>
      <c r="C440" s="43"/>
      <c r="D440" s="43"/>
      <c r="E440" s="43"/>
      <c r="F440" s="43"/>
      <c r="G440" s="43"/>
      <c r="H440" s="43"/>
      <c r="I440" s="43"/>
      <c r="J440" s="43"/>
      <c r="K440" s="43"/>
      <c r="L440" s="43"/>
      <c r="M440" s="43"/>
      <c r="N440" s="43"/>
      <c r="O440" s="43"/>
      <c r="P440" s="43"/>
      <c r="Q440" s="43"/>
      <c r="R440" s="43"/>
      <c r="S440" s="43"/>
      <c r="T440" s="43"/>
      <c r="U440" s="43"/>
      <c r="V440" s="43"/>
      <c r="W440" s="43"/>
      <c r="X440" s="43"/>
      <c r="Y440" s="43"/>
    </row>
    <row r="441" ht="13.2" spans="1:25">
      <c r="A441" s="42">
        <v>440</v>
      </c>
      <c r="B441" s="43" t="s">
        <v>790</v>
      </c>
      <c r="C441" s="43"/>
      <c r="D441" s="43"/>
      <c r="E441" s="43"/>
      <c r="F441" s="43"/>
      <c r="G441" s="43"/>
      <c r="H441" s="43"/>
      <c r="I441" s="43"/>
      <c r="J441" s="43"/>
      <c r="K441" s="43"/>
      <c r="L441" s="43"/>
      <c r="M441" s="43"/>
      <c r="N441" s="43"/>
      <c r="O441" s="43"/>
      <c r="P441" s="43"/>
      <c r="Q441" s="43"/>
      <c r="R441" s="43"/>
      <c r="S441" s="43"/>
      <c r="T441" s="43"/>
      <c r="U441" s="43"/>
      <c r="V441" s="43"/>
      <c r="W441" s="43"/>
      <c r="X441" s="43"/>
      <c r="Y441" s="43"/>
    </row>
    <row r="442" ht="13.2" spans="1:25">
      <c r="A442" s="42">
        <v>441</v>
      </c>
      <c r="B442" s="43" t="s">
        <v>791</v>
      </c>
      <c r="C442" s="43"/>
      <c r="D442" s="43"/>
      <c r="E442" s="43"/>
      <c r="F442" s="43"/>
      <c r="G442" s="43"/>
      <c r="H442" s="43"/>
      <c r="I442" s="43"/>
      <c r="J442" s="43"/>
      <c r="K442" s="43"/>
      <c r="L442" s="43"/>
      <c r="M442" s="43"/>
      <c r="N442" s="43"/>
      <c r="O442" s="43"/>
      <c r="P442" s="43"/>
      <c r="Q442" s="43"/>
      <c r="R442" s="43"/>
      <c r="S442" s="43"/>
      <c r="T442" s="43"/>
      <c r="U442" s="43"/>
      <c r="V442" s="43"/>
      <c r="W442" s="43"/>
      <c r="X442" s="43"/>
      <c r="Y442" s="43"/>
    </row>
    <row r="443" ht="13.2" spans="1:25">
      <c r="A443" s="42">
        <v>442</v>
      </c>
      <c r="B443" s="43" t="s">
        <v>792</v>
      </c>
      <c r="C443" s="43"/>
      <c r="D443" s="43"/>
      <c r="E443" s="43"/>
      <c r="F443" s="43"/>
      <c r="G443" s="43"/>
      <c r="H443" s="43"/>
      <c r="I443" s="43"/>
      <c r="J443" s="43"/>
      <c r="K443" s="43"/>
      <c r="L443" s="43"/>
      <c r="M443" s="43"/>
      <c r="N443" s="43"/>
      <c r="O443" s="43"/>
      <c r="P443" s="43"/>
      <c r="Q443" s="43"/>
      <c r="R443" s="43"/>
      <c r="S443" s="43"/>
      <c r="T443" s="43"/>
      <c r="U443" s="43"/>
      <c r="V443" s="43"/>
      <c r="W443" s="43"/>
      <c r="X443" s="43"/>
      <c r="Y443" s="43"/>
    </row>
    <row r="444" ht="13.2" spans="1:25">
      <c r="A444" s="42">
        <v>443</v>
      </c>
      <c r="B444" s="43" t="s">
        <v>793</v>
      </c>
      <c r="C444" s="43"/>
      <c r="D444" s="43"/>
      <c r="E444" s="43"/>
      <c r="F444" s="43"/>
      <c r="G444" s="43"/>
      <c r="H444" s="43"/>
      <c r="I444" s="43"/>
      <c r="J444" s="43"/>
      <c r="K444" s="43"/>
      <c r="L444" s="43"/>
      <c r="M444" s="43"/>
      <c r="N444" s="43"/>
      <c r="O444" s="43"/>
      <c r="P444" s="43"/>
      <c r="Q444" s="43"/>
      <c r="R444" s="43"/>
      <c r="S444" s="43"/>
      <c r="T444" s="43"/>
      <c r="U444" s="43"/>
      <c r="V444" s="43"/>
      <c r="W444" s="43"/>
      <c r="X444" s="43"/>
      <c r="Y444" s="43"/>
    </row>
    <row r="445" ht="13.2" spans="1:25">
      <c r="A445" s="42">
        <v>444</v>
      </c>
      <c r="B445" s="43" t="s">
        <v>794</v>
      </c>
      <c r="C445" s="43"/>
      <c r="D445" s="43"/>
      <c r="E445" s="43"/>
      <c r="F445" s="43"/>
      <c r="G445" s="43"/>
      <c r="H445" s="43"/>
      <c r="I445" s="43"/>
      <c r="J445" s="43"/>
      <c r="K445" s="43"/>
      <c r="L445" s="43"/>
      <c r="M445" s="43"/>
      <c r="N445" s="43"/>
      <c r="O445" s="43"/>
      <c r="P445" s="43"/>
      <c r="Q445" s="43"/>
      <c r="R445" s="43"/>
      <c r="S445" s="43"/>
      <c r="T445" s="43"/>
      <c r="U445" s="43"/>
      <c r="V445" s="43"/>
      <c r="W445" s="43"/>
      <c r="X445" s="43"/>
      <c r="Y445" s="43"/>
    </row>
    <row r="446" ht="13.2" spans="1:25">
      <c r="A446" s="42">
        <v>445</v>
      </c>
      <c r="B446" s="43" t="s">
        <v>795</v>
      </c>
      <c r="C446" s="43"/>
      <c r="D446" s="43"/>
      <c r="E446" s="43"/>
      <c r="F446" s="43"/>
      <c r="G446" s="43"/>
      <c r="H446" s="43"/>
      <c r="I446" s="43"/>
      <c r="J446" s="43"/>
      <c r="K446" s="43"/>
      <c r="L446" s="43"/>
      <c r="M446" s="43"/>
      <c r="N446" s="43"/>
      <c r="O446" s="43"/>
      <c r="P446" s="43"/>
      <c r="Q446" s="43"/>
      <c r="R446" s="43"/>
      <c r="S446" s="43"/>
      <c r="T446" s="43"/>
      <c r="U446" s="43"/>
      <c r="V446" s="43"/>
      <c r="W446" s="43"/>
      <c r="X446" s="43"/>
      <c r="Y446" s="43"/>
    </row>
    <row r="447" ht="13.2" spans="1:25">
      <c r="A447" s="42">
        <v>446</v>
      </c>
      <c r="B447" s="43" t="s">
        <v>796</v>
      </c>
      <c r="C447" s="43"/>
      <c r="D447" s="43"/>
      <c r="E447" s="43"/>
      <c r="F447" s="43"/>
      <c r="G447" s="43"/>
      <c r="H447" s="43"/>
      <c r="I447" s="43"/>
      <c r="J447" s="43"/>
      <c r="K447" s="43"/>
      <c r="L447" s="43"/>
      <c r="M447" s="43"/>
      <c r="N447" s="43"/>
      <c r="O447" s="43"/>
      <c r="P447" s="43"/>
      <c r="Q447" s="43"/>
      <c r="R447" s="43"/>
      <c r="S447" s="43"/>
      <c r="T447" s="43"/>
      <c r="U447" s="43"/>
      <c r="V447" s="43"/>
      <c r="W447" s="43"/>
      <c r="X447" s="43"/>
      <c r="Y447" s="43"/>
    </row>
    <row r="448" ht="13.2" spans="1:25">
      <c r="A448" s="42">
        <v>447</v>
      </c>
      <c r="B448" s="43" t="s">
        <v>797</v>
      </c>
      <c r="C448" s="43"/>
      <c r="D448" s="43"/>
      <c r="E448" s="43"/>
      <c r="F448" s="43"/>
      <c r="G448" s="43"/>
      <c r="H448" s="43"/>
      <c r="I448" s="43"/>
      <c r="J448" s="43"/>
      <c r="K448" s="43"/>
      <c r="L448" s="43"/>
      <c r="M448" s="43"/>
      <c r="N448" s="43"/>
      <c r="O448" s="43"/>
      <c r="P448" s="43"/>
      <c r="Q448" s="43"/>
      <c r="R448" s="43"/>
      <c r="S448" s="43"/>
      <c r="T448" s="43"/>
      <c r="U448" s="43"/>
      <c r="V448" s="43"/>
      <c r="W448" s="43"/>
      <c r="X448" s="43"/>
      <c r="Y448" s="43"/>
    </row>
    <row r="449" ht="13.2" spans="1:25">
      <c r="A449" s="42">
        <v>448</v>
      </c>
      <c r="B449" s="43" t="s">
        <v>798</v>
      </c>
      <c r="C449" s="43"/>
      <c r="D449" s="43"/>
      <c r="E449" s="43"/>
      <c r="F449" s="43"/>
      <c r="G449" s="43"/>
      <c r="H449" s="43"/>
      <c r="I449" s="43"/>
      <c r="J449" s="43"/>
      <c r="K449" s="43"/>
      <c r="L449" s="43"/>
      <c r="M449" s="43"/>
      <c r="N449" s="43"/>
      <c r="O449" s="43"/>
      <c r="P449" s="43"/>
      <c r="Q449" s="43"/>
      <c r="R449" s="43"/>
      <c r="S449" s="43"/>
      <c r="T449" s="43"/>
      <c r="U449" s="43"/>
      <c r="V449" s="43"/>
      <c r="W449" s="43"/>
      <c r="X449" s="43"/>
      <c r="Y449" s="43"/>
    </row>
    <row r="450" ht="13.2" spans="1:25">
      <c r="A450" s="42">
        <v>449</v>
      </c>
      <c r="B450" s="43" t="s">
        <v>799</v>
      </c>
      <c r="C450" s="43"/>
      <c r="D450" s="43"/>
      <c r="E450" s="43"/>
      <c r="F450" s="43"/>
      <c r="G450" s="43"/>
      <c r="H450" s="43"/>
      <c r="I450" s="43"/>
      <c r="J450" s="43"/>
      <c r="K450" s="43"/>
      <c r="L450" s="43"/>
      <c r="M450" s="43"/>
      <c r="N450" s="43"/>
      <c r="O450" s="43"/>
      <c r="P450" s="43"/>
      <c r="Q450" s="43"/>
      <c r="R450" s="43"/>
      <c r="S450" s="43"/>
      <c r="T450" s="43"/>
      <c r="U450" s="43"/>
      <c r="V450" s="43"/>
      <c r="W450" s="43"/>
      <c r="X450" s="43"/>
      <c r="Y450" s="43"/>
    </row>
    <row r="451" ht="13.2" spans="1:25">
      <c r="A451" s="42">
        <v>450</v>
      </c>
      <c r="B451" s="43" t="s">
        <v>800</v>
      </c>
      <c r="C451" s="43"/>
      <c r="D451" s="43"/>
      <c r="E451" s="43"/>
      <c r="F451" s="43"/>
      <c r="G451" s="43"/>
      <c r="H451" s="43"/>
      <c r="I451" s="43"/>
      <c r="J451" s="43"/>
      <c r="K451" s="43"/>
      <c r="L451" s="43"/>
      <c r="M451" s="43"/>
      <c r="N451" s="43"/>
      <c r="O451" s="43"/>
      <c r="P451" s="43"/>
      <c r="Q451" s="43"/>
      <c r="R451" s="43"/>
      <c r="S451" s="43"/>
      <c r="T451" s="43"/>
      <c r="U451" s="43"/>
      <c r="V451" s="43"/>
      <c r="W451" s="43"/>
      <c r="X451" s="43"/>
      <c r="Y451" s="43"/>
    </row>
    <row r="452" ht="13.2" spans="1:25">
      <c r="A452" s="42">
        <v>451</v>
      </c>
      <c r="B452" s="43" t="s">
        <v>801</v>
      </c>
      <c r="C452" s="43"/>
      <c r="D452" s="43"/>
      <c r="E452" s="43"/>
      <c r="F452" s="43"/>
      <c r="G452" s="43"/>
      <c r="H452" s="43"/>
      <c r="I452" s="43"/>
      <c r="J452" s="43"/>
      <c r="K452" s="43"/>
      <c r="L452" s="43"/>
      <c r="M452" s="43"/>
      <c r="N452" s="43"/>
      <c r="O452" s="43"/>
      <c r="P452" s="43"/>
      <c r="Q452" s="43"/>
      <c r="R452" s="43"/>
      <c r="S452" s="43"/>
      <c r="T452" s="43"/>
      <c r="U452" s="43"/>
      <c r="V452" s="43"/>
      <c r="W452" s="43"/>
      <c r="X452" s="43"/>
      <c r="Y452" s="43"/>
    </row>
    <row r="453" ht="13.2" spans="1:25">
      <c r="A453" s="42">
        <v>452</v>
      </c>
      <c r="B453" s="43" t="s">
        <v>802</v>
      </c>
      <c r="C453" s="43"/>
      <c r="D453" s="43"/>
      <c r="E453" s="43"/>
      <c r="F453" s="43"/>
      <c r="G453" s="43"/>
      <c r="H453" s="43"/>
      <c r="I453" s="43"/>
      <c r="J453" s="43"/>
      <c r="K453" s="43"/>
      <c r="L453" s="43"/>
      <c r="M453" s="43"/>
      <c r="N453" s="43"/>
      <c r="O453" s="43"/>
      <c r="P453" s="43"/>
      <c r="Q453" s="43"/>
      <c r="R453" s="43"/>
      <c r="S453" s="43"/>
      <c r="T453" s="43"/>
      <c r="U453" s="43"/>
      <c r="V453" s="43"/>
      <c r="W453" s="43"/>
      <c r="X453" s="43"/>
      <c r="Y453" s="43"/>
    </row>
    <row r="454" ht="13.2" spans="1:25">
      <c r="A454" s="42">
        <v>453</v>
      </c>
      <c r="B454" s="43" t="s">
        <v>803</v>
      </c>
      <c r="C454" s="43"/>
      <c r="D454" s="43"/>
      <c r="E454" s="43"/>
      <c r="F454" s="43"/>
      <c r="G454" s="43"/>
      <c r="H454" s="43"/>
      <c r="I454" s="43"/>
      <c r="J454" s="43"/>
      <c r="K454" s="43"/>
      <c r="L454" s="43"/>
      <c r="M454" s="43"/>
      <c r="N454" s="43"/>
      <c r="O454" s="43"/>
      <c r="P454" s="43"/>
      <c r="Q454" s="43"/>
      <c r="R454" s="43"/>
      <c r="S454" s="43"/>
      <c r="T454" s="43"/>
      <c r="U454" s="43"/>
      <c r="V454" s="43"/>
      <c r="W454" s="43"/>
      <c r="X454" s="43"/>
      <c r="Y454" s="43"/>
    </row>
    <row r="455" ht="13.2" spans="1:25">
      <c r="A455" s="42">
        <v>454</v>
      </c>
      <c r="B455" s="43" t="s">
        <v>804</v>
      </c>
      <c r="C455" s="43"/>
      <c r="D455" s="43"/>
      <c r="E455" s="43"/>
      <c r="F455" s="43"/>
      <c r="G455" s="43"/>
      <c r="H455" s="43"/>
      <c r="I455" s="43"/>
      <c r="J455" s="43"/>
      <c r="K455" s="43"/>
      <c r="L455" s="43"/>
      <c r="M455" s="43"/>
      <c r="N455" s="43"/>
      <c r="O455" s="43"/>
      <c r="P455" s="43"/>
      <c r="Q455" s="43"/>
      <c r="R455" s="43"/>
      <c r="S455" s="43"/>
      <c r="T455" s="43"/>
      <c r="U455" s="43"/>
      <c r="V455" s="43"/>
      <c r="W455" s="43"/>
      <c r="X455" s="43"/>
      <c r="Y455" s="43"/>
    </row>
    <row r="456" ht="13.2" spans="1:25">
      <c r="A456" s="42">
        <v>455</v>
      </c>
      <c r="B456" s="43" t="s">
        <v>805</v>
      </c>
      <c r="C456" s="43"/>
      <c r="D456" s="43"/>
      <c r="E456" s="43"/>
      <c r="F456" s="43"/>
      <c r="G456" s="43"/>
      <c r="H456" s="43"/>
      <c r="I456" s="43"/>
      <c r="J456" s="43"/>
      <c r="K456" s="43"/>
      <c r="L456" s="43"/>
      <c r="M456" s="43"/>
      <c r="N456" s="43"/>
      <c r="O456" s="43"/>
      <c r="P456" s="43"/>
      <c r="Q456" s="43"/>
      <c r="R456" s="43"/>
      <c r="S456" s="43"/>
      <c r="T456" s="43"/>
      <c r="U456" s="43"/>
      <c r="V456" s="43"/>
      <c r="W456" s="43"/>
      <c r="X456" s="43"/>
      <c r="Y456" s="43"/>
    </row>
    <row r="457" ht="13.2" spans="1:25">
      <c r="A457" s="42">
        <v>456</v>
      </c>
      <c r="B457" s="43" t="s">
        <v>806</v>
      </c>
      <c r="C457" s="43"/>
      <c r="D457" s="43"/>
      <c r="E457" s="43"/>
      <c r="F457" s="43"/>
      <c r="G457" s="43"/>
      <c r="H457" s="43"/>
      <c r="I457" s="43"/>
      <c r="J457" s="43"/>
      <c r="K457" s="43"/>
      <c r="L457" s="43"/>
      <c r="M457" s="43"/>
      <c r="N457" s="43"/>
      <c r="O457" s="43"/>
      <c r="P457" s="43"/>
      <c r="Q457" s="43"/>
      <c r="R457" s="43"/>
      <c r="S457" s="43"/>
      <c r="T457" s="43"/>
      <c r="U457" s="43"/>
      <c r="V457" s="43"/>
      <c r="W457" s="43"/>
      <c r="X457" s="43"/>
      <c r="Y457" s="43"/>
    </row>
    <row r="458" ht="13.2" spans="1:25">
      <c r="A458" s="42">
        <v>457</v>
      </c>
      <c r="B458" s="43" t="s">
        <v>807</v>
      </c>
      <c r="C458" s="43"/>
      <c r="D458" s="43"/>
      <c r="E458" s="43"/>
      <c r="F458" s="43"/>
      <c r="G458" s="43"/>
      <c r="H458" s="43"/>
      <c r="I458" s="43"/>
      <c r="J458" s="43"/>
      <c r="K458" s="43"/>
      <c r="L458" s="43"/>
      <c r="M458" s="43"/>
      <c r="N458" s="43"/>
      <c r="O458" s="43"/>
      <c r="P458" s="43"/>
      <c r="Q458" s="43"/>
      <c r="R458" s="43"/>
      <c r="S458" s="43"/>
      <c r="T458" s="43"/>
      <c r="U458" s="43"/>
      <c r="V458" s="43"/>
      <c r="W458" s="43"/>
      <c r="X458" s="43"/>
      <c r="Y458" s="43"/>
    </row>
    <row r="459" ht="13.2" spans="1:25">
      <c r="A459" s="42">
        <v>458</v>
      </c>
      <c r="B459" s="43" t="s">
        <v>808</v>
      </c>
      <c r="C459" s="43"/>
      <c r="D459" s="43"/>
      <c r="E459" s="43"/>
      <c r="F459" s="43"/>
      <c r="G459" s="43"/>
      <c r="H459" s="43"/>
      <c r="I459" s="43"/>
      <c r="J459" s="43"/>
      <c r="K459" s="43"/>
      <c r="L459" s="43"/>
      <c r="M459" s="43"/>
      <c r="N459" s="43"/>
      <c r="O459" s="43"/>
      <c r="P459" s="43"/>
      <c r="Q459" s="43"/>
      <c r="R459" s="43"/>
      <c r="S459" s="43"/>
      <c r="T459" s="43"/>
      <c r="U459" s="43"/>
      <c r="V459" s="43"/>
      <c r="W459" s="43"/>
      <c r="X459" s="43"/>
      <c r="Y459" s="43"/>
    </row>
    <row r="460" ht="13.2" spans="1:25">
      <c r="A460" s="42">
        <v>459</v>
      </c>
      <c r="B460" s="43" t="s">
        <v>809</v>
      </c>
      <c r="C460" s="43"/>
      <c r="D460" s="43"/>
      <c r="E460" s="43"/>
      <c r="F460" s="43"/>
      <c r="G460" s="43"/>
      <c r="H460" s="43"/>
      <c r="I460" s="43"/>
      <c r="J460" s="43"/>
      <c r="K460" s="43"/>
      <c r="L460" s="43"/>
      <c r="M460" s="43"/>
      <c r="N460" s="43"/>
      <c r="O460" s="43"/>
      <c r="P460" s="43"/>
      <c r="Q460" s="43"/>
      <c r="R460" s="43"/>
      <c r="S460" s="43"/>
      <c r="T460" s="43"/>
      <c r="U460" s="43"/>
      <c r="V460" s="43"/>
      <c r="W460" s="43"/>
      <c r="X460" s="43"/>
      <c r="Y460" s="43"/>
    </row>
    <row r="461" ht="13.2" spans="1:25">
      <c r="A461" s="42">
        <v>460</v>
      </c>
      <c r="B461" s="43" t="s">
        <v>810</v>
      </c>
      <c r="C461" s="43"/>
      <c r="D461" s="43"/>
      <c r="E461" s="43"/>
      <c r="F461" s="43"/>
      <c r="G461" s="43"/>
      <c r="H461" s="43"/>
      <c r="I461" s="43"/>
      <c r="J461" s="43"/>
      <c r="K461" s="43"/>
      <c r="L461" s="43"/>
      <c r="M461" s="43"/>
      <c r="N461" s="43"/>
      <c r="O461" s="43"/>
      <c r="P461" s="43"/>
      <c r="Q461" s="43"/>
      <c r="R461" s="43"/>
      <c r="S461" s="43"/>
      <c r="T461" s="43"/>
      <c r="U461" s="43"/>
      <c r="V461" s="43"/>
      <c r="W461" s="43"/>
      <c r="X461" s="43"/>
      <c r="Y461" s="43"/>
    </row>
    <row r="462" ht="13.2" spans="1:25">
      <c r="A462" s="42">
        <v>461</v>
      </c>
      <c r="B462" s="43" t="s">
        <v>811</v>
      </c>
      <c r="C462" s="43"/>
      <c r="D462" s="43"/>
      <c r="E462" s="43"/>
      <c r="F462" s="43"/>
      <c r="G462" s="43"/>
      <c r="H462" s="43"/>
      <c r="I462" s="43"/>
      <c r="J462" s="43"/>
      <c r="K462" s="43"/>
      <c r="L462" s="43"/>
      <c r="M462" s="43"/>
      <c r="N462" s="43"/>
      <c r="O462" s="43"/>
      <c r="P462" s="43"/>
      <c r="Q462" s="43"/>
      <c r="R462" s="43"/>
      <c r="S462" s="43"/>
      <c r="T462" s="43"/>
      <c r="U462" s="43"/>
      <c r="V462" s="43"/>
      <c r="W462" s="43"/>
      <c r="X462" s="43"/>
      <c r="Y462" s="43"/>
    </row>
    <row r="463" ht="13.2" spans="1:25">
      <c r="A463" s="42">
        <v>462</v>
      </c>
      <c r="B463" s="43" t="s">
        <v>812</v>
      </c>
      <c r="C463" s="43"/>
      <c r="D463" s="43"/>
      <c r="E463" s="43"/>
      <c r="F463" s="43"/>
      <c r="G463" s="43"/>
      <c r="H463" s="43"/>
      <c r="I463" s="43"/>
      <c r="J463" s="43"/>
      <c r="K463" s="43"/>
      <c r="L463" s="43"/>
      <c r="M463" s="43"/>
      <c r="N463" s="43"/>
      <c r="O463" s="43"/>
      <c r="P463" s="43"/>
      <c r="Q463" s="43"/>
      <c r="R463" s="43"/>
      <c r="S463" s="43"/>
      <c r="T463" s="43"/>
      <c r="U463" s="43"/>
      <c r="V463" s="43"/>
      <c r="W463" s="43"/>
      <c r="X463" s="43"/>
      <c r="Y463" s="43"/>
    </row>
    <row r="464" ht="13.2" spans="1:25">
      <c r="A464" s="42">
        <v>463</v>
      </c>
      <c r="B464" s="43" t="s">
        <v>813</v>
      </c>
      <c r="C464" s="43"/>
      <c r="D464" s="43"/>
      <c r="E464" s="43"/>
      <c r="F464" s="43"/>
      <c r="G464" s="43"/>
      <c r="H464" s="43"/>
      <c r="I464" s="43"/>
      <c r="J464" s="43"/>
      <c r="K464" s="43"/>
      <c r="L464" s="43"/>
      <c r="M464" s="43"/>
      <c r="N464" s="43"/>
      <c r="O464" s="43"/>
      <c r="P464" s="43"/>
      <c r="Q464" s="43"/>
      <c r="R464" s="43"/>
      <c r="S464" s="43"/>
      <c r="T464" s="43"/>
      <c r="U464" s="43"/>
      <c r="V464" s="43"/>
      <c r="W464" s="43"/>
      <c r="X464" s="43"/>
      <c r="Y464" s="43"/>
    </row>
    <row r="465" ht="13.2" spans="1:25">
      <c r="A465" s="42">
        <v>464</v>
      </c>
      <c r="B465" s="43" t="s">
        <v>814</v>
      </c>
      <c r="C465" s="43"/>
      <c r="D465" s="43"/>
      <c r="E465" s="43"/>
      <c r="F465" s="43"/>
      <c r="G465" s="43"/>
      <c r="H465" s="43"/>
      <c r="I465" s="43"/>
      <c r="J465" s="43"/>
      <c r="K465" s="43"/>
      <c r="L465" s="43"/>
      <c r="M465" s="43"/>
      <c r="N465" s="43"/>
      <c r="O465" s="43"/>
      <c r="P465" s="43"/>
      <c r="Q465" s="43"/>
      <c r="R465" s="43"/>
      <c r="S465" s="43"/>
      <c r="T465" s="43"/>
      <c r="U465" s="43"/>
      <c r="V465" s="43"/>
      <c r="W465" s="43"/>
      <c r="X465" s="43"/>
      <c r="Y465" s="43"/>
    </row>
    <row r="466" ht="13.2" spans="1:25">
      <c r="A466" s="42">
        <v>465</v>
      </c>
      <c r="B466" s="43" t="s">
        <v>815</v>
      </c>
      <c r="C466" s="43"/>
      <c r="D466" s="43"/>
      <c r="E466" s="43"/>
      <c r="F466" s="43"/>
      <c r="G466" s="43"/>
      <c r="H466" s="43"/>
      <c r="I466" s="43"/>
      <c r="J466" s="43"/>
      <c r="K466" s="43"/>
      <c r="L466" s="43"/>
      <c r="M466" s="43"/>
      <c r="N466" s="43"/>
      <c r="O466" s="43"/>
      <c r="P466" s="43"/>
      <c r="Q466" s="43"/>
      <c r="R466" s="43"/>
      <c r="S466" s="43"/>
      <c r="T466" s="43"/>
      <c r="U466" s="43"/>
      <c r="V466" s="43"/>
      <c r="W466" s="43"/>
      <c r="X466" s="43"/>
      <c r="Y466" s="43"/>
    </row>
    <row r="467" ht="13.2" spans="1:25">
      <c r="A467" s="42">
        <v>466</v>
      </c>
      <c r="B467" s="43" t="s">
        <v>816</v>
      </c>
      <c r="C467" s="43"/>
      <c r="D467" s="43"/>
      <c r="E467" s="43"/>
      <c r="F467" s="43"/>
      <c r="G467" s="43"/>
      <c r="H467" s="43"/>
      <c r="I467" s="43"/>
      <c r="J467" s="43"/>
      <c r="K467" s="43"/>
      <c r="L467" s="43"/>
      <c r="M467" s="43"/>
      <c r="N467" s="43"/>
      <c r="O467" s="43"/>
      <c r="P467" s="43"/>
      <c r="Q467" s="43"/>
      <c r="R467" s="43"/>
      <c r="S467" s="43"/>
      <c r="T467" s="43"/>
      <c r="U467" s="43"/>
      <c r="V467" s="43"/>
      <c r="W467" s="43"/>
      <c r="X467" s="43"/>
      <c r="Y467" s="43"/>
    </row>
    <row r="468" ht="13.2" spans="1:25">
      <c r="A468" s="42">
        <v>467</v>
      </c>
      <c r="B468" s="43" t="s">
        <v>817</v>
      </c>
      <c r="C468" s="43"/>
      <c r="D468" s="43"/>
      <c r="E468" s="43"/>
      <c r="F468" s="43"/>
      <c r="G468" s="43"/>
      <c r="H468" s="43"/>
      <c r="I468" s="43"/>
      <c r="J468" s="43"/>
      <c r="K468" s="43"/>
      <c r="L468" s="43"/>
      <c r="M468" s="43"/>
      <c r="N468" s="43"/>
      <c r="O468" s="43"/>
      <c r="P468" s="43"/>
      <c r="Q468" s="43"/>
      <c r="R468" s="43"/>
      <c r="S468" s="43"/>
      <c r="T468" s="43"/>
      <c r="U468" s="43"/>
      <c r="V468" s="43"/>
      <c r="W468" s="43"/>
      <c r="X468" s="43"/>
      <c r="Y468" s="43"/>
    </row>
    <row r="469" ht="13.2" spans="1:25">
      <c r="A469" s="42">
        <v>468</v>
      </c>
      <c r="B469" s="43" t="s">
        <v>818</v>
      </c>
      <c r="C469" s="43"/>
      <c r="D469" s="43"/>
      <c r="E469" s="43"/>
      <c r="F469" s="43"/>
      <c r="G469" s="43"/>
      <c r="H469" s="43"/>
      <c r="I469" s="43"/>
      <c r="J469" s="43"/>
      <c r="K469" s="43"/>
      <c r="L469" s="43"/>
      <c r="M469" s="43"/>
      <c r="N469" s="43"/>
      <c r="O469" s="43"/>
      <c r="P469" s="43"/>
      <c r="Q469" s="43"/>
      <c r="R469" s="43"/>
      <c r="S469" s="43"/>
      <c r="T469" s="43"/>
      <c r="U469" s="43"/>
      <c r="V469" s="43"/>
      <c r="W469" s="43"/>
      <c r="X469" s="43"/>
      <c r="Y469" s="43"/>
    </row>
    <row r="470" ht="13.2" spans="1:25">
      <c r="A470" s="42">
        <v>469</v>
      </c>
      <c r="B470" s="43" t="s">
        <v>819</v>
      </c>
      <c r="C470" s="43"/>
      <c r="D470" s="43"/>
      <c r="E470" s="43"/>
      <c r="F470" s="43"/>
      <c r="G470" s="43"/>
      <c r="H470" s="43"/>
      <c r="I470" s="43"/>
      <c r="J470" s="43"/>
      <c r="K470" s="43"/>
      <c r="L470" s="43"/>
      <c r="M470" s="43"/>
      <c r="N470" s="43"/>
      <c r="O470" s="43"/>
      <c r="P470" s="43"/>
      <c r="Q470" s="43"/>
      <c r="R470" s="43"/>
      <c r="S470" s="43"/>
      <c r="T470" s="43"/>
      <c r="U470" s="43"/>
      <c r="V470" s="43"/>
      <c r="W470" s="43"/>
      <c r="X470" s="43"/>
      <c r="Y470" s="43"/>
    </row>
    <row r="471" ht="13.2" spans="1:25">
      <c r="A471" s="42">
        <v>470</v>
      </c>
      <c r="B471" s="43" t="s">
        <v>820</v>
      </c>
      <c r="C471" s="43"/>
      <c r="D471" s="43"/>
      <c r="E471" s="43"/>
      <c r="F471" s="43"/>
      <c r="G471" s="43"/>
      <c r="H471" s="43"/>
      <c r="I471" s="43"/>
      <c r="J471" s="43"/>
      <c r="K471" s="43"/>
      <c r="L471" s="43"/>
      <c r="M471" s="43"/>
      <c r="N471" s="43"/>
      <c r="O471" s="43"/>
      <c r="P471" s="43"/>
      <c r="Q471" s="43"/>
      <c r="R471" s="43"/>
      <c r="S471" s="43"/>
      <c r="T471" s="43"/>
      <c r="U471" s="43"/>
      <c r="V471" s="43"/>
      <c r="W471" s="43"/>
      <c r="X471" s="43"/>
      <c r="Y471" s="43"/>
    </row>
    <row r="472" ht="13.2" spans="1:25">
      <c r="A472" s="42">
        <v>471</v>
      </c>
      <c r="B472" s="43" t="s">
        <v>821</v>
      </c>
      <c r="C472" s="43"/>
      <c r="D472" s="43"/>
      <c r="E472" s="43"/>
      <c r="F472" s="43"/>
      <c r="G472" s="43"/>
      <c r="H472" s="43"/>
      <c r="I472" s="43"/>
      <c r="J472" s="43"/>
      <c r="K472" s="43"/>
      <c r="L472" s="43"/>
      <c r="M472" s="43"/>
      <c r="N472" s="43"/>
      <c r="O472" s="43"/>
      <c r="P472" s="43"/>
      <c r="Q472" s="43"/>
      <c r="R472" s="43"/>
      <c r="S472" s="43"/>
      <c r="T472" s="43"/>
      <c r="U472" s="43"/>
      <c r="V472" s="43"/>
      <c r="W472" s="43"/>
      <c r="X472" s="43"/>
      <c r="Y472" s="43"/>
    </row>
    <row r="473" ht="13.2" spans="1:25">
      <c r="A473" s="42">
        <v>472</v>
      </c>
      <c r="B473" s="43" t="s">
        <v>822</v>
      </c>
      <c r="C473" s="43"/>
      <c r="D473" s="43"/>
      <c r="E473" s="43"/>
      <c r="F473" s="43"/>
      <c r="G473" s="43"/>
      <c r="H473" s="43"/>
      <c r="I473" s="43"/>
      <c r="J473" s="43"/>
      <c r="K473" s="43"/>
      <c r="L473" s="43"/>
      <c r="M473" s="43"/>
      <c r="N473" s="43"/>
      <c r="O473" s="43"/>
      <c r="P473" s="43"/>
      <c r="Q473" s="43"/>
      <c r="R473" s="43"/>
      <c r="S473" s="43"/>
      <c r="T473" s="43"/>
      <c r="U473" s="43"/>
      <c r="V473" s="43"/>
      <c r="W473" s="43"/>
      <c r="X473" s="43"/>
      <c r="Y473" s="43"/>
    </row>
    <row r="474" ht="13.2" spans="1:25">
      <c r="A474" s="42">
        <v>473</v>
      </c>
      <c r="B474" s="43" t="s">
        <v>823</v>
      </c>
      <c r="C474" s="43"/>
      <c r="D474" s="43"/>
      <c r="E474" s="43"/>
      <c r="F474" s="43"/>
      <c r="G474" s="43"/>
      <c r="H474" s="43"/>
      <c r="I474" s="43"/>
      <c r="J474" s="43"/>
      <c r="K474" s="43"/>
      <c r="L474" s="43"/>
      <c r="M474" s="43"/>
      <c r="N474" s="43"/>
      <c r="O474" s="43"/>
      <c r="P474" s="43"/>
      <c r="Q474" s="43"/>
      <c r="R474" s="43"/>
      <c r="S474" s="43"/>
      <c r="T474" s="43"/>
      <c r="U474" s="43"/>
      <c r="V474" s="43"/>
      <c r="W474" s="43"/>
      <c r="X474" s="43"/>
      <c r="Y474" s="43"/>
    </row>
    <row r="475" ht="13.2" spans="1:25">
      <c r="A475" s="42">
        <v>474</v>
      </c>
      <c r="B475" s="43" t="s">
        <v>824</v>
      </c>
      <c r="C475" s="43"/>
      <c r="D475" s="43"/>
      <c r="E475" s="43"/>
      <c r="F475" s="43"/>
      <c r="G475" s="43"/>
      <c r="H475" s="43"/>
      <c r="I475" s="43"/>
      <c r="J475" s="43"/>
      <c r="K475" s="43"/>
      <c r="L475" s="43"/>
      <c r="M475" s="43"/>
      <c r="N475" s="43"/>
      <c r="O475" s="43"/>
      <c r="P475" s="43"/>
      <c r="Q475" s="43"/>
      <c r="R475" s="43"/>
      <c r="S475" s="43"/>
      <c r="T475" s="43"/>
      <c r="U475" s="43"/>
      <c r="V475" s="43"/>
      <c r="W475" s="43"/>
      <c r="X475" s="43"/>
      <c r="Y475" s="43"/>
    </row>
    <row r="476" ht="13.2" spans="1:25">
      <c r="A476" s="42">
        <v>475</v>
      </c>
      <c r="B476" s="43" t="s">
        <v>825</v>
      </c>
      <c r="C476" s="43"/>
      <c r="D476" s="43"/>
      <c r="E476" s="43"/>
      <c r="F476" s="43"/>
      <c r="G476" s="43"/>
      <c r="H476" s="43"/>
      <c r="I476" s="43"/>
      <c r="J476" s="43"/>
      <c r="K476" s="43"/>
      <c r="L476" s="43"/>
      <c r="M476" s="43"/>
      <c r="N476" s="43"/>
      <c r="O476" s="43"/>
      <c r="P476" s="43"/>
      <c r="Q476" s="43"/>
      <c r="R476" s="43"/>
      <c r="S476" s="43"/>
      <c r="T476" s="43"/>
      <c r="U476" s="43"/>
      <c r="V476" s="43"/>
      <c r="W476" s="43"/>
      <c r="X476" s="43"/>
      <c r="Y476" s="43"/>
    </row>
    <row r="477" ht="13.2" spans="1:25">
      <c r="A477" s="42">
        <v>476</v>
      </c>
      <c r="B477" s="43" t="s">
        <v>826</v>
      </c>
      <c r="C477" s="43"/>
      <c r="D477" s="43"/>
      <c r="E477" s="43"/>
      <c r="F477" s="43"/>
      <c r="G477" s="43"/>
      <c r="H477" s="43"/>
      <c r="I477" s="43"/>
      <c r="J477" s="43"/>
      <c r="K477" s="43"/>
      <c r="L477" s="43"/>
      <c r="M477" s="43"/>
      <c r="N477" s="43"/>
      <c r="O477" s="43"/>
      <c r="P477" s="43"/>
      <c r="Q477" s="43"/>
      <c r="R477" s="43"/>
      <c r="S477" s="43"/>
      <c r="T477" s="43"/>
      <c r="U477" s="43"/>
      <c r="V477" s="43"/>
      <c r="W477" s="43"/>
      <c r="X477" s="43"/>
      <c r="Y477" s="43"/>
    </row>
    <row r="478" ht="13.2" spans="1:25">
      <c r="A478" s="42">
        <v>477</v>
      </c>
      <c r="B478" s="43" t="s">
        <v>827</v>
      </c>
      <c r="C478" s="43"/>
      <c r="D478" s="43"/>
      <c r="E478" s="43"/>
      <c r="F478" s="43"/>
      <c r="G478" s="43"/>
      <c r="H478" s="43"/>
      <c r="I478" s="43"/>
      <c r="J478" s="43"/>
      <c r="K478" s="43"/>
      <c r="L478" s="43"/>
      <c r="M478" s="43"/>
      <c r="N478" s="43"/>
      <c r="O478" s="43"/>
      <c r="P478" s="43"/>
      <c r="Q478" s="43"/>
      <c r="R478" s="43"/>
      <c r="S478" s="43"/>
      <c r="T478" s="43"/>
      <c r="U478" s="43"/>
      <c r="V478" s="43"/>
      <c r="W478" s="43"/>
      <c r="X478" s="43"/>
      <c r="Y478" s="43"/>
    </row>
    <row r="479" ht="13.2" spans="1:25">
      <c r="A479" s="42">
        <v>478</v>
      </c>
      <c r="B479" s="43" t="s">
        <v>828</v>
      </c>
      <c r="C479" s="43"/>
      <c r="D479" s="43"/>
      <c r="E479" s="43"/>
      <c r="F479" s="43"/>
      <c r="G479" s="43"/>
      <c r="H479" s="43"/>
      <c r="I479" s="43"/>
      <c r="J479" s="43"/>
      <c r="K479" s="43"/>
      <c r="L479" s="43"/>
      <c r="M479" s="43"/>
      <c r="N479" s="43"/>
      <c r="O479" s="43"/>
      <c r="P479" s="43"/>
      <c r="Q479" s="43"/>
      <c r="R479" s="43"/>
      <c r="S479" s="43"/>
      <c r="T479" s="43"/>
      <c r="U479" s="43"/>
      <c r="V479" s="43"/>
      <c r="W479" s="43"/>
      <c r="X479" s="43"/>
      <c r="Y479" s="43"/>
    </row>
    <row r="480" ht="13.2" spans="1:25">
      <c r="A480" s="42">
        <v>479</v>
      </c>
      <c r="B480" s="43" t="s">
        <v>829</v>
      </c>
      <c r="C480" s="43"/>
      <c r="D480" s="43"/>
      <c r="E480" s="43"/>
      <c r="F480" s="43"/>
      <c r="G480" s="43"/>
      <c r="H480" s="43"/>
      <c r="I480" s="43"/>
      <c r="J480" s="43"/>
      <c r="K480" s="43"/>
      <c r="L480" s="43"/>
      <c r="M480" s="43"/>
      <c r="N480" s="43"/>
      <c r="O480" s="43"/>
      <c r="P480" s="43"/>
      <c r="Q480" s="43"/>
      <c r="R480" s="43"/>
      <c r="S480" s="43"/>
      <c r="T480" s="43"/>
      <c r="U480" s="43"/>
      <c r="V480" s="43"/>
      <c r="W480" s="43"/>
      <c r="X480" s="43"/>
      <c r="Y480" s="43"/>
    </row>
    <row r="481" ht="13.2" spans="1:25">
      <c r="A481" s="42">
        <v>480</v>
      </c>
      <c r="B481" s="43" t="s">
        <v>830</v>
      </c>
      <c r="C481" s="43"/>
      <c r="D481" s="43"/>
      <c r="E481" s="43"/>
      <c r="F481" s="43"/>
      <c r="G481" s="43"/>
      <c r="H481" s="43"/>
      <c r="I481" s="43"/>
      <c r="J481" s="43"/>
      <c r="K481" s="43"/>
      <c r="L481" s="43"/>
      <c r="M481" s="43"/>
      <c r="N481" s="43"/>
      <c r="O481" s="43"/>
      <c r="P481" s="43"/>
      <c r="Q481" s="43"/>
      <c r="R481" s="43"/>
      <c r="S481" s="43"/>
      <c r="T481" s="43"/>
      <c r="U481" s="43"/>
      <c r="V481" s="43"/>
      <c r="W481" s="43"/>
      <c r="X481" s="43"/>
      <c r="Y481" s="43"/>
    </row>
    <row r="482" ht="13.2" spans="1:25">
      <c r="A482" s="42">
        <v>481</v>
      </c>
      <c r="B482" s="43" t="s">
        <v>831</v>
      </c>
      <c r="C482" s="43"/>
      <c r="D482" s="43"/>
      <c r="E482" s="43"/>
      <c r="F482" s="43"/>
      <c r="G482" s="43"/>
      <c r="H482" s="43"/>
      <c r="I482" s="43"/>
      <c r="J482" s="43"/>
      <c r="K482" s="43"/>
      <c r="L482" s="43"/>
      <c r="M482" s="43"/>
      <c r="N482" s="43"/>
      <c r="O482" s="43"/>
      <c r="P482" s="43"/>
      <c r="Q482" s="43"/>
      <c r="R482" s="43"/>
      <c r="S482" s="43"/>
      <c r="T482" s="43"/>
      <c r="U482" s="43"/>
      <c r="V482" s="43"/>
      <c r="W482" s="43"/>
      <c r="X482" s="43"/>
      <c r="Y482" s="43"/>
    </row>
    <row r="483" ht="13.2" spans="1:25">
      <c r="A483" s="42">
        <v>482</v>
      </c>
      <c r="B483" s="43" t="s">
        <v>832</v>
      </c>
      <c r="C483" s="43"/>
      <c r="D483" s="43"/>
      <c r="E483" s="43"/>
      <c r="F483" s="43"/>
      <c r="G483" s="43"/>
      <c r="H483" s="43"/>
      <c r="I483" s="43"/>
      <c r="J483" s="43"/>
      <c r="K483" s="43"/>
      <c r="L483" s="43"/>
      <c r="M483" s="43"/>
      <c r="N483" s="43"/>
      <c r="O483" s="43"/>
      <c r="P483" s="43"/>
      <c r="Q483" s="43"/>
      <c r="R483" s="43"/>
      <c r="S483" s="43"/>
      <c r="T483" s="43"/>
      <c r="U483" s="43"/>
      <c r="V483" s="43"/>
      <c r="W483" s="43"/>
      <c r="X483" s="43"/>
      <c r="Y483" s="43"/>
    </row>
    <row r="484" ht="13.2" spans="1:25">
      <c r="A484" s="42">
        <v>483</v>
      </c>
      <c r="B484" s="43" t="s">
        <v>833</v>
      </c>
      <c r="C484" s="43"/>
      <c r="D484" s="43"/>
      <c r="E484" s="43"/>
      <c r="F484" s="43"/>
      <c r="G484" s="43"/>
      <c r="H484" s="43"/>
      <c r="I484" s="43"/>
      <c r="J484" s="43"/>
      <c r="K484" s="43"/>
      <c r="L484" s="43"/>
      <c r="M484" s="43"/>
      <c r="N484" s="43"/>
      <c r="O484" s="43"/>
      <c r="P484" s="43"/>
      <c r="Q484" s="43"/>
      <c r="R484" s="43"/>
      <c r="S484" s="43"/>
      <c r="T484" s="43"/>
      <c r="U484" s="43"/>
      <c r="V484" s="43"/>
      <c r="W484" s="43"/>
      <c r="X484" s="43"/>
      <c r="Y484" s="43"/>
    </row>
    <row r="485" ht="13.2" spans="1:25">
      <c r="A485" s="42">
        <v>484</v>
      </c>
      <c r="B485" s="43" t="s">
        <v>834</v>
      </c>
      <c r="C485" s="43"/>
      <c r="D485" s="43"/>
      <c r="E485" s="43"/>
      <c r="F485" s="43"/>
      <c r="G485" s="43"/>
      <c r="H485" s="43"/>
      <c r="I485" s="43"/>
      <c r="J485" s="43"/>
      <c r="K485" s="43"/>
      <c r="L485" s="43"/>
      <c r="M485" s="43"/>
      <c r="N485" s="43"/>
      <c r="O485" s="43"/>
      <c r="P485" s="43"/>
      <c r="Q485" s="43"/>
      <c r="R485" s="43"/>
      <c r="S485" s="43"/>
      <c r="T485" s="43"/>
      <c r="U485" s="43"/>
      <c r="V485" s="43"/>
      <c r="W485" s="43"/>
      <c r="X485" s="43"/>
      <c r="Y485" s="43"/>
    </row>
    <row r="486" ht="13.2" spans="1:25">
      <c r="A486" s="42">
        <v>485</v>
      </c>
      <c r="B486" s="43" t="s">
        <v>835</v>
      </c>
      <c r="C486" s="43"/>
      <c r="D486" s="43"/>
      <c r="E486" s="43"/>
      <c r="F486" s="43"/>
      <c r="G486" s="43"/>
      <c r="H486" s="43"/>
      <c r="I486" s="43"/>
      <c r="J486" s="43"/>
      <c r="K486" s="43"/>
      <c r="L486" s="43"/>
      <c r="M486" s="43"/>
      <c r="N486" s="43"/>
      <c r="O486" s="43"/>
      <c r="P486" s="43"/>
      <c r="Q486" s="43"/>
      <c r="R486" s="43"/>
      <c r="S486" s="43"/>
      <c r="T486" s="43"/>
      <c r="U486" s="43"/>
      <c r="V486" s="43"/>
      <c r="W486" s="43"/>
      <c r="X486" s="43"/>
      <c r="Y486" s="43"/>
    </row>
    <row r="487" ht="13.2" spans="1:25">
      <c r="A487" s="42">
        <v>486</v>
      </c>
      <c r="B487" s="43" t="s">
        <v>836</v>
      </c>
      <c r="C487" s="43"/>
      <c r="D487" s="43"/>
      <c r="E487" s="43"/>
      <c r="F487" s="43"/>
      <c r="G487" s="43"/>
      <c r="H487" s="43"/>
      <c r="I487" s="43"/>
      <c r="J487" s="43"/>
      <c r="K487" s="43"/>
      <c r="L487" s="43"/>
      <c r="M487" s="43"/>
      <c r="N487" s="43"/>
      <c r="O487" s="43"/>
      <c r="P487" s="43"/>
      <c r="Q487" s="43"/>
      <c r="R487" s="43"/>
      <c r="S487" s="43"/>
      <c r="T487" s="43"/>
      <c r="U487" s="43"/>
      <c r="V487" s="43"/>
      <c r="W487" s="43"/>
      <c r="X487" s="43"/>
      <c r="Y487" s="43"/>
    </row>
    <row r="488" ht="13.2" spans="1:25">
      <c r="A488" s="42">
        <v>487</v>
      </c>
      <c r="B488" s="43" t="s">
        <v>837</v>
      </c>
      <c r="C488" s="43"/>
      <c r="D488" s="43"/>
      <c r="E488" s="43"/>
      <c r="F488" s="43"/>
      <c r="G488" s="43"/>
      <c r="H488" s="43"/>
      <c r="I488" s="43"/>
      <c r="J488" s="43"/>
      <c r="K488" s="43"/>
      <c r="L488" s="43"/>
      <c r="M488" s="43"/>
      <c r="N488" s="43"/>
      <c r="O488" s="43"/>
      <c r="P488" s="43"/>
      <c r="Q488" s="43"/>
      <c r="R488" s="43"/>
      <c r="S488" s="43"/>
      <c r="T488" s="43"/>
      <c r="U488" s="43"/>
      <c r="V488" s="43"/>
      <c r="W488" s="43"/>
      <c r="X488" s="43"/>
      <c r="Y488" s="43"/>
    </row>
    <row r="489" ht="13.2" spans="1:25">
      <c r="A489" s="42">
        <v>488</v>
      </c>
      <c r="B489" s="43" t="s">
        <v>838</v>
      </c>
      <c r="C489" s="43"/>
      <c r="D489" s="43"/>
      <c r="E489" s="43"/>
      <c r="F489" s="43"/>
      <c r="G489" s="43"/>
      <c r="H489" s="43"/>
      <c r="I489" s="43"/>
      <c r="J489" s="43"/>
      <c r="K489" s="43"/>
      <c r="L489" s="43"/>
      <c r="M489" s="43"/>
      <c r="N489" s="43"/>
      <c r="O489" s="43"/>
      <c r="P489" s="43"/>
      <c r="Q489" s="43"/>
      <c r="R489" s="43"/>
      <c r="S489" s="43"/>
      <c r="T489" s="43"/>
      <c r="U489" s="43"/>
      <c r="V489" s="43"/>
      <c r="W489" s="43"/>
      <c r="X489" s="43"/>
      <c r="Y489" s="43"/>
    </row>
    <row r="490" ht="13.2" spans="1:25">
      <c r="A490" s="42">
        <v>489</v>
      </c>
      <c r="B490" s="43" t="s">
        <v>839</v>
      </c>
      <c r="C490" s="43"/>
      <c r="D490" s="43"/>
      <c r="E490" s="43"/>
      <c r="F490" s="43"/>
      <c r="G490" s="43"/>
      <c r="H490" s="43"/>
      <c r="I490" s="43"/>
      <c r="J490" s="43"/>
      <c r="K490" s="43"/>
      <c r="L490" s="43"/>
      <c r="M490" s="43"/>
      <c r="N490" s="43"/>
      <c r="O490" s="43"/>
      <c r="P490" s="43"/>
      <c r="Q490" s="43"/>
      <c r="R490" s="43"/>
      <c r="S490" s="43"/>
      <c r="T490" s="43"/>
      <c r="U490" s="43"/>
      <c r="V490" s="43"/>
      <c r="W490" s="43"/>
      <c r="X490" s="43"/>
      <c r="Y490" s="43"/>
    </row>
    <row r="491" ht="13.2" spans="1:25">
      <c r="A491" s="42">
        <v>490</v>
      </c>
      <c r="B491" s="43" t="s">
        <v>840</v>
      </c>
      <c r="C491" s="43"/>
      <c r="D491" s="43"/>
      <c r="E491" s="43"/>
      <c r="F491" s="43"/>
      <c r="G491" s="43"/>
      <c r="H491" s="43"/>
      <c r="I491" s="43"/>
      <c r="J491" s="43"/>
      <c r="K491" s="43"/>
      <c r="L491" s="43"/>
      <c r="M491" s="43"/>
      <c r="N491" s="43"/>
      <c r="O491" s="43"/>
      <c r="P491" s="43"/>
      <c r="Q491" s="43"/>
      <c r="R491" s="43"/>
      <c r="S491" s="43"/>
      <c r="T491" s="43"/>
      <c r="U491" s="43"/>
      <c r="V491" s="43"/>
      <c r="W491" s="43"/>
      <c r="X491" s="43"/>
      <c r="Y491" s="43"/>
    </row>
    <row r="492" ht="13.2" spans="1:25">
      <c r="A492" s="42">
        <v>491</v>
      </c>
      <c r="B492" s="43" t="s">
        <v>841</v>
      </c>
      <c r="C492" s="43"/>
      <c r="D492" s="43"/>
      <c r="E492" s="43"/>
      <c r="F492" s="43"/>
      <c r="G492" s="43"/>
      <c r="H492" s="43"/>
      <c r="I492" s="43"/>
      <c r="J492" s="43"/>
      <c r="K492" s="43"/>
      <c r="L492" s="43"/>
      <c r="M492" s="43"/>
      <c r="N492" s="43"/>
      <c r="O492" s="43"/>
      <c r="P492" s="43"/>
      <c r="Q492" s="43"/>
      <c r="R492" s="43"/>
      <c r="S492" s="43"/>
      <c r="T492" s="43"/>
      <c r="U492" s="43"/>
      <c r="V492" s="43"/>
      <c r="W492" s="43"/>
      <c r="X492" s="43"/>
      <c r="Y492" s="43"/>
    </row>
    <row r="493" ht="13.2" spans="1:25">
      <c r="A493" s="42">
        <v>492</v>
      </c>
      <c r="B493" s="43" t="s">
        <v>842</v>
      </c>
      <c r="C493" s="43"/>
      <c r="D493" s="43"/>
      <c r="E493" s="43"/>
      <c r="F493" s="43"/>
      <c r="G493" s="43"/>
      <c r="H493" s="43"/>
      <c r="I493" s="43"/>
      <c r="J493" s="43"/>
      <c r="K493" s="43"/>
      <c r="L493" s="43"/>
      <c r="M493" s="43"/>
      <c r="N493" s="43"/>
      <c r="O493" s="43"/>
      <c r="P493" s="43"/>
      <c r="Q493" s="43"/>
      <c r="R493" s="43"/>
      <c r="S493" s="43"/>
      <c r="T493" s="43"/>
      <c r="U493" s="43"/>
      <c r="V493" s="43"/>
      <c r="W493" s="43"/>
      <c r="X493" s="43"/>
      <c r="Y493" s="43"/>
    </row>
    <row r="494" ht="13.2" spans="1:25">
      <c r="A494" s="42">
        <v>493</v>
      </c>
      <c r="B494" s="43" t="s">
        <v>843</v>
      </c>
      <c r="C494" s="43"/>
      <c r="D494" s="43"/>
      <c r="E494" s="43"/>
      <c r="F494" s="43"/>
      <c r="G494" s="43"/>
      <c r="H494" s="43"/>
      <c r="I494" s="43"/>
      <c r="J494" s="43"/>
      <c r="K494" s="43"/>
      <c r="L494" s="43"/>
      <c r="M494" s="43"/>
      <c r="N494" s="43"/>
      <c r="O494" s="43"/>
      <c r="P494" s="43"/>
      <c r="Q494" s="43"/>
      <c r="R494" s="43"/>
      <c r="S494" s="43"/>
      <c r="T494" s="43"/>
      <c r="U494" s="43"/>
      <c r="V494" s="43"/>
      <c r="W494" s="43"/>
      <c r="X494" s="43"/>
      <c r="Y494" s="43"/>
    </row>
    <row r="495" ht="13.2" spans="1:25">
      <c r="A495" s="42">
        <v>494</v>
      </c>
      <c r="B495" s="43" t="s">
        <v>844</v>
      </c>
      <c r="C495" s="43"/>
      <c r="D495" s="43"/>
      <c r="E495" s="43"/>
      <c r="F495" s="43"/>
      <c r="G495" s="43"/>
      <c r="H495" s="43"/>
      <c r="I495" s="43"/>
      <c r="J495" s="43"/>
      <c r="K495" s="43"/>
      <c r="L495" s="43"/>
      <c r="M495" s="43"/>
      <c r="N495" s="43"/>
      <c r="O495" s="43"/>
      <c r="P495" s="43"/>
      <c r="Q495" s="43"/>
      <c r="R495" s="43"/>
      <c r="S495" s="43"/>
      <c r="T495" s="43"/>
      <c r="U495" s="43"/>
      <c r="V495" s="43"/>
      <c r="W495" s="43"/>
      <c r="X495" s="43"/>
      <c r="Y495" s="43"/>
    </row>
    <row r="496" ht="13.2" spans="1:25">
      <c r="A496" s="42">
        <v>495</v>
      </c>
      <c r="B496" s="43" t="s">
        <v>845</v>
      </c>
      <c r="C496" s="43"/>
      <c r="D496" s="43"/>
      <c r="E496" s="43"/>
      <c r="F496" s="43"/>
      <c r="G496" s="43"/>
      <c r="H496" s="43"/>
      <c r="I496" s="43"/>
      <c r="J496" s="43"/>
      <c r="K496" s="43"/>
      <c r="L496" s="43"/>
      <c r="M496" s="43"/>
      <c r="N496" s="43"/>
      <c r="O496" s="43"/>
      <c r="P496" s="43"/>
      <c r="Q496" s="43"/>
      <c r="R496" s="43"/>
      <c r="S496" s="43"/>
      <c r="T496" s="43"/>
      <c r="U496" s="43"/>
      <c r="V496" s="43"/>
      <c r="W496" s="43"/>
      <c r="X496" s="43"/>
      <c r="Y496" s="43"/>
    </row>
    <row r="497" ht="13.2" spans="1:25">
      <c r="A497" s="42">
        <v>496</v>
      </c>
      <c r="B497" s="43" t="s">
        <v>846</v>
      </c>
      <c r="C497" s="43"/>
      <c r="D497" s="43"/>
      <c r="E497" s="43"/>
      <c r="F497" s="43"/>
      <c r="G497" s="43"/>
      <c r="H497" s="43"/>
      <c r="I497" s="43"/>
      <c r="J497" s="43"/>
      <c r="K497" s="43"/>
      <c r="L497" s="43"/>
      <c r="M497" s="43"/>
      <c r="N497" s="43"/>
      <c r="O497" s="43"/>
      <c r="P497" s="43"/>
      <c r="Q497" s="43"/>
      <c r="R497" s="43"/>
      <c r="S497" s="43"/>
      <c r="T497" s="43"/>
      <c r="U497" s="43"/>
      <c r="V497" s="43"/>
      <c r="W497" s="43"/>
      <c r="X497" s="43"/>
      <c r="Y497" s="43"/>
    </row>
    <row r="498" ht="13.2" spans="1:25">
      <c r="A498" s="42">
        <v>497</v>
      </c>
      <c r="B498" s="43" t="s">
        <v>847</v>
      </c>
      <c r="C498" s="43"/>
      <c r="D498" s="43"/>
      <c r="E498" s="43"/>
      <c r="F498" s="43"/>
      <c r="G498" s="43"/>
      <c r="H498" s="43"/>
      <c r="I498" s="43"/>
      <c r="J498" s="43"/>
      <c r="K498" s="43"/>
      <c r="L498" s="43"/>
      <c r="M498" s="43"/>
      <c r="N498" s="43"/>
      <c r="O498" s="43"/>
      <c r="P498" s="43"/>
      <c r="Q498" s="43"/>
      <c r="R498" s="43"/>
      <c r="S498" s="43"/>
      <c r="T498" s="43"/>
      <c r="U498" s="43"/>
      <c r="V498" s="43"/>
      <c r="W498" s="43"/>
      <c r="X498" s="43"/>
      <c r="Y498" s="43"/>
    </row>
    <row r="499" ht="13.2" spans="1:25">
      <c r="A499" s="42">
        <v>498</v>
      </c>
      <c r="B499" s="43" t="s">
        <v>848</v>
      </c>
      <c r="C499" s="43"/>
      <c r="D499" s="43"/>
      <c r="E499" s="43"/>
      <c r="F499" s="43"/>
      <c r="G499" s="43"/>
      <c r="H499" s="43"/>
      <c r="I499" s="43"/>
      <c r="J499" s="43"/>
      <c r="K499" s="43"/>
      <c r="L499" s="43"/>
      <c r="M499" s="43"/>
      <c r="N499" s="43"/>
      <c r="O499" s="43"/>
      <c r="P499" s="43"/>
      <c r="Q499" s="43"/>
      <c r="R499" s="43"/>
      <c r="S499" s="43"/>
      <c r="T499" s="43"/>
      <c r="U499" s="43"/>
      <c r="V499" s="43"/>
      <c r="W499" s="43"/>
      <c r="X499" s="43"/>
      <c r="Y499" s="43"/>
    </row>
    <row r="500" ht="13.2" spans="1:25">
      <c r="A500" s="42">
        <v>499</v>
      </c>
      <c r="B500" s="43" t="s">
        <v>849</v>
      </c>
      <c r="C500" s="43"/>
      <c r="D500" s="43"/>
      <c r="E500" s="43"/>
      <c r="F500" s="43"/>
      <c r="G500" s="43"/>
      <c r="H500" s="43"/>
      <c r="I500" s="43"/>
      <c r="J500" s="43"/>
      <c r="K500" s="43"/>
      <c r="L500" s="43"/>
      <c r="M500" s="43"/>
      <c r="N500" s="43"/>
      <c r="O500" s="43"/>
      <c r="P500" s="43"/>
      <c r="Q500" s="43"/>
      <c r="R500" s="43"/>
      <c r="S500" s="43"/>
      <c r="T500" s="43"/>
      <c r="U500" s="43"/>
      <c r="V500" s="43"/>
      <c r="W500" s="43"/>
      <c r="X500" s="43"/>
      <c r="Y500" s="43"/>
    </row>
    <row r="501" ht="13.2" spans="1:25">
      <c r="A501" s="42">
        <v>500</v>
      </c>
      <c r="B501" s="43" t="s">
        <v>850</v>
      </c>
      <c r="C501" s="43"/>
      <c r="D501" s="43"/>
      <c r="E501" s="43"/>
      <c r="F501" s="43"/>
      <c r="G501" s="43"/>
      <c r="H501" s="43"/>
      <c r="I501" s="43"/>
      <c r="J501" s="43"/>
      <c r="K501" s="43"/>
      <c r="L501" s="43"/>
      <c r="M501" s="43"/>
      <c r="N501" s="43"/>
      <c r="O501" s="43"/>
      <c r="P501" s="43"/>
      <c r="Q501" s="43"/>
      <c r="R501" s="43"/>
      <c r="S501" s="43"/>
      <c r="T501" s="43"/>
      <c r="U501" s="43"/>
      <c r="V501" s="43"/>
      <c r="W501" s="43"/>
      <c r="X501" s="43"/>
      <c r="Y501" s="43"/>
    </row>
    <row r="502" ht="13.2" spans="1:25">
      <c r="A502" s="42">
        <v>501</v>
      </c>
      <c r="B502" s="43" t="s">
        <v>851</v>
      </c>
      <c r="C502" s="43"/>
      <c r="D502" s="43"/>
      <c r="E502" s="43"/>
      <c r="F502" s="43"/>
      <c r="G502" s="43"/>
      <c r="H502" s="43"/>
      <c r="I502" s="43"/>
      <c r="J502" s="43"/>
      <c r="K502" s="43"/>
      <c r="L502" s="43"/>
      <c r="M502" s="43"/>
      <c r="N502" s="43"/>
      <c r="O502" s="43"/>
      <c r="P502" s="43"/>
      <c r="Q502" s="43"/>
      <c r="R502" s="43"/>
      <c r="S502" s="43"/>
      <c r="T502" s="43"/>
      <c r="U502" s="43"/>
      <c r="V502" s="43"/>
      <c r="W502" s="43"/>
      <c r="X502" s="43"/>
      <c r="Y502" s="43"/>
    </row>
    <row r="503" ht="13.2" spans="1:25">
      <c r="A503" s="42">
        <v>502</v>
      </c>
      <c r="B503" s="43" t="s">
        <v>852</v>
      </c>
      <c r="C503" s="43"/>
      <c r="D503" s="43"/>
      <c r="E503" s="43"/>
      <c r="F503" s="43"/>
      <c r="G503" s="43"/>
      <c r="H503" s="43"/>
      <c r="I503" s="43"/>
      <c r="J503" s="43"/>
      <c r="K503" s="43"/>
      <c r="L503" s="43"/>
      <c r="M503" s="43"/>
      <c r="N503" s="43"/>
      <c r="O503" s="43"/>
      <c r="P503" s="43"/>
      <c r="Q503" s="43"/>
      <c r="R503" s="43"/>
      <c r="S503" s="43"/>
      <c r="T503" s="43"/>
      <c r="U503" s="43"/>
      <c r="V503" s="43"/>
      <c r="W503" s="43"/>
      <c r="X503" s="43"/>
      <c r="Y503" s="43"/>
    </row>
    <row r="504" ht="13.2" spans="1:25">
      <c r="A504" s="42">
        <v>503</v>
      </c>
      <c r="B504" s="43" t="s">
        <v>853</v>
      </c>
      <c r="C504" s="43"/>
      <c r="D504" s="43"/>
      <c r="E504" s="43"/>
      <c r="F504" s="43"/>
      <c r="G504" s="43"/>
      <c r="H504" s="43"/>
      <c r="I504" s="43"/>
      <c r="J504" s="43"/>
      <c r="K504" s="43"/>
      <c r="L504" s="43"/>
      <c r="M504" s="43"/>
      <c r="N504" s="43"/>
      <c r="O504" s="43"/>
      <c r="P504" s="43"/>
      <c r="Q504" s="43"/>
      <c r="R504" s="43"/>
      <c r="S504" s="43"/>
      <c r="T504" s="43"/>
      <c r="U504" s="43"/>
      <c r="V504" s="43"/>
      <c r="W504" s="43"/>
      <c r="X504" s="43"/>
      <c r="Y504" s="43"/>
    </row>
    <row r="505" ht="13.2" spans="1:25">
      <c r="A505" s="42">
        <v>504</v>
      </c>
      <c r="B505" s="43" t="s">
        <v>854</v>
      </c>
      <c r="C505" s="43"/>
      <c r="D505" s="43"/>
      <c r="E505" s="43"/>
      <c r="F505" s="43"/>
      <c r="G505" s="43"/>
      <c r="H505" s="43"/>
      <c r="I505" s="43"/>
      <c r="J505" s="43"/>
      <c r="K505" s="43"/>
      <c r="L505" s="43"/>
      <c r="M505" s="43"/>
      <c r="N505" s="43"/>
      <c r="O505" s="43"/>
      <c r="P505" s="43"/>
      <c r="Q505" s="43"/>
      <c r="R505" s="43"/>
      <c r="S505" s="43"/>
      <c r="T505" s="43"/>
      <c r="U505" s="43"/>
      <c r="V505" s="43"/>
      <c r="W505" s="43"/>
      <c r="X505" s="43"/>
      <c r="Y505" s="43"/>
    </row>
    <row r="506" ht="13.2" spans="1:25">
      <c r="A506" s="42">
        <v>505</v>
      </c>
      <c r="B506" s="43" t="s">
        <v>855</v>
      </c>
      <c r="C506" s="43"/>
      <c r="D506" s="43"/>
      <c r="E506" s="43"/>
      <c r="F506" s="43"/>
      <c r="G506" s="43"/>
      <c r="H506" s="43"/>
      <c r="I506" s="43"/>
      <c r="J506" s="43"/>
      <c r="K506" s="43"/>
      <c r="L506" s="43"/>
      <c r="M506" s="43"/>
      <c r="N506" s="43"/>
      <c r="O506" s="43"/>
      <c r="P506" s="43"/>
      <c r="Q506" s="43"/>
      <c r="R506" s="43"/>
      <c r="S506" s="43"/>
      <c r="T506" s="43"/>
      <c r="U506" s="43"/>
      <c r="V506" s="43"/>
      <c r="W506" s="43"/>
      <c r="X506" s="43"/>
      <c r="Y506" s="43"/>
    </row>
    <row r="507" ht="13.2" spans="1:25">
      <c r="A507" s="42">
        <v>506</v>
      </c>
      <c r="B507" s="43" t="s">
        <v>856</v>
      </c>
      <c r="C507" s="43"/>
      <c r="D507" s="43"/>
      <c r="E507" s="43"/>
      <c r="F507" s="43"/>
      <c r="G507" s="43"/>
      <c r="H507" s="43"/>
      <c r="I507" s="43"/>
      <c r="J507" s="43"/>
      <c r="K507" s="43"/>
      <c r="L507" s="43"/>
      <c r="M507" s="43"/>
      <c r="N507" s="43"/>
      <c r="O507" s="43"/>
      <c r="P507" s="43"/>
      <c r="Q507" s="43"/>
      <c r="R507" s="43"/>
      <c r="S507" s="43"/>
      <c r="T507" s="43"/>
      <c r="U507" s="43"/>
      <c r="V507" s="43"/>
      <c r="W507" s="43"/>
      <c r="X507" s="43"/>
      <c r="Y507" s="43"/>
    </row>
    <row r="508" ht="13.2" spans="1:25">
      <c r="A508" s="42">
        <v>507</v>
      </c>
      <c r="B508" s="43" t="s">
        <v>857</v>
      </c>
      <c r="C508" s="43"/>
      <c r="D508" s="43"/>
      <c r="E508" s="43"/>
      <c r="F508" s="43"/>
      <c r="G508" s="43"/>
      <c r="H508" s="43"/>
      <c r="I508" s="43"/>
      <c r="J508" s="43"/>
      <c r="K508" s="43"/>
      <c r="L508" s="43"/>
      <c r="M508" s="43"/>
      <c r="N508" s="43"/>
      <c r="O508" s="43"/>
      <c r="P508" s="43"/>
      <c r="Q508" s="43"/>
      <c r="R508" s="43"/>
      <c r="S508" s="43"/>
      <c r="T508" s="43"/>
      <c r="U508" s="43"/>
      <c r="V508" s="43"/>
      <c r="W508" s="43"/>
      <c r="X508" s="43"/>
      <c r="Y508" s="43"/>
    </row>
    <row r="509" ht="13.2" spans="1:25">
      <c r="A509" s="42">
        <v>508</v>
      </c>
      <c r="B509" s="43" t="s">
        <v>858</v>
      </c>
      <c r="C509" s="43"/>
      <c r="D509" s="43"/>
      <c r="E509" s="43"/>
      <c r="F509" s="43"/>
      <c r="G509" s="43"/>
      <c r="H509" s="43"/>
      <c r="I509" s="43"/>
      <c r="J509" s="43"/>
      <c r="K509" s="43"/>
      <c r="L509" s="43"/>
      <c r="M509" s="43"/>
      <c r="N509" s="43"/>
      <c r="O509" s="43"/>
      <c r="P509" s="43"/>
      <c r="Q509" s="43"/>
      <c r="R509" s="43"/>
      <c r="S509" s="43"/>
      <c r="T509" s="43"/>
      <c r="U509" s="43"/>
      <c r="V509" s="43"/>
      <c r="W509" s="43"/>
      <c r="X509" s="43"/>
      <c r="Y509" s="43"/>
    </row>
    <row r="510" ht="13.2" spans="1:25">
      <c r="A510" s="42">
        <v>509</v>
      </c>
      <c r="B510" s="43" t="s">
        <v>859</v>
      </c>
      <c r="C510" s="43"/>
      <c r="D510" s="43"/>
      <c r="E510" s="43"/>
      <c r="F510" s="43"/>
      <c r="G510" s="43"/>
      <c r="H510" s="43"/>
      <c r="I510" s="43"/>
      <c r="J510" s="43"/>
      <c r="K510" s="43"/>
      <c r="L510" s="43"/>
      <c r="M510" s="43"/>
      <c r="N510" s="43"/>
      <c r="O510" s="43"/>
      <c r="P510" s="43"/>
      <c r="Q510" s="43"/>
      <c r="R510" s="43"/>
      <c r="S510" s="43"/>
      <c r="T510" s="43"/>
      <c r="U510" s="43"/>
      <c r="V510" s="43"/>
      <c r="W510" s="43"/>
      <c r="X510" s="43"/>
      <c r="Y510" s="43"/>
    </row>
    <row r="511" ht="13.2" spans="1:25">
      <c r="A511" s="42">
        <v>510</v>
      </c>
      <c r="B511" s="43" t="s">
        <v>860</v>
      </c>
      <c r="C511" s="43"/>
      <c r="D511" s="43"/>
      <c r="E511" s="43"/>
      <c r="F511" s="43"/>
      <c r="G511" s="43"/>
      <c r="H511" s="43"/>
      <c r="I511" s="43"/>
      <c r="J511" s="43"/>
      <c r="K511" s="43"/>
      <c r="L511" s="43"/>
      <c r="M511" s="43"/>
      <c r="N511" s="43"/>
      <c r="O511" s="43"/>
      <c r="P511" s="43"/>
      <c r="Q511" s="43"/>
      <c r="R511" s="43"/>
      <c r="S511" s="43"/>
      <c r="T511" s="43"/>
      <c r="U511" s="43"/>
      <c r="V511" s="43"/>
      <c r="W511" s="43"/>
      <c r="X511" s="43"/>
      <c r="Y511" s="43"/>
    </row>
    <row r="512" ht="13.2" spans="1:25">
      <c r="A512" s="42">
        <v>511</v>
      </c>
      <c r="B512" s="43" t="s">
        <v>861</v>
      </c>
      <c r="C512" s="43"/>
      <c r="D512" s="43"/>
      <c r="E512" s="43"/>
      <c r="F512" s="43"/>
      <c r="G512" s="43"/>
      <c r="H512" s="43"/>
      <c r="I512" s="43"/>
      <c r="J512" s="43"/>
      <c r="K512" s="43"/>
      <c r="L512" s="43"/>
      <c r="M512" s="43"/>
      <c r="N512" s="43"/>
      <c r="O512" s="43"/>
      <c r="P512" s="43"/>
      <c r="Q512" s="43"/>
      <c r="R512" s="43"/>
      <c r="S512" s="43"/>
      <c r="T512" s="43"/>
      <c r="U512" s="43"/>
      <c r="V512" s="43"/>
      <c r="W512" s="43"/>
      <c r="X512" s="43"/>
      <c r="Y512" s="43"/>
    </row>
    <row r="513" ht="13.2" spans="1:25">
      <c r="A513" s="42">
        <v>512</v>
      </c>
      <c r="B513" s="43" t="s">
        <v>862</v>
      </c>
      <c r="C513" s="43"/>
      <c r="D513" s="43"/>
      <c r="E513" s="43"/>
      <c r="F513" s="43"/>
      <c r="G513" s="43"/>
      <c r="H513" s="43"/>
      <c r="I513" s="43"/>
      <c r="J513" s="43"/>
      <c r="K513" s="43"/>
      <c r="L513" s="43"/>
      <c r="M513" s="43"/>
      <c r="N513" s="43"/>
      <c r="O513" s="43"/>
      <c r="P513" s="43"/>
      <c r="Q513" s="43"/>
      <c r="R513" s="43"/>
      <c r="S513" s="43"/>
      <c r="T513" s="43"/>
      <c r="U513" s="43"/>
      <c r="V513" s="43"/>
      <c r="W513" s="43"/>
      <c r="X513" s="43"/>
      <c r="Y513" s="43"/>
    </row>
    <row r="514" ht="13.2" spans="1:25">
      <c r="A514" s="42">
        <v>513</v>
      </c>
      <c r="B514" s="43" t="s">
        <v>863</v>
      </c>
      <c r="C514" s="43"/>
      <c r="D514" s="43"/>
      <c r="E514" s="43"/>
      <c r="F514" s="43"/>
      <c r="G514" s="43"/>
      <c r="H514" s="43"/>
      <c r="I514" s="43"/>
      <c r="J514" s="43"/>
      <c r="K514" s="43"/>
      <c r="L514" s="43"/>
      <c r="M514" s="43"/>
      <c r="N514" s="43"/>
      <c r="O514" s="43"/>
      <c r="P514" s="43"/>
      <c r="Q514" s="43"/>
      <c r="R514" s="43"/>
      <c r="S514" s="43"/>
      <c r="T514" s="43"/>
      <c r="U514" s="43"/>
      <c r="V514" s="43"/>
      <c r="W514" s="43"/>
      <c r="X514" s="43"/>
      <c r="Y514" s="43"/>
    </row>
    <row r="515" ht="13.2" spans="1:25">
      <c r="A515" s="42">
        <v>514</v>
      </c>
      <c r="B515" s="43" t="s">
        <v>864</v>
      </c>
      <c r="C515" s="43"/>
      <c r="D515" s="43"/>
      <c r="E515" s="43"/>
      <c r="F515" s="43"/>
      <c r="G515" s="43"/>
      <c r="H515" s="43"/>
      <c r="I515" s="43"/>
      <c r="J515" s="43"/>
      <c r="K515" s="43"/>
      <c r="L515" s="43"/>
      <c r="M515" s="43"/>
      <c r="N515" s="43"/>
      <c r="O515" s="43"/>
      <c r="P515" s="43"/>
      <c r="Q515" s="43"/>
      <c r="R515" s="43"/>
      <c r="S515" s="43"/>
      <c r="T515" s="43"/>
      <c r="U515" s="43"/>
      <c r="V515" s="43"/>
      <c r="W515" s="43"/>
      <c r="X515" s="43"/>
      <c r="Y515" s="43"/>
    </row>
    <row r="516" ht="13.2" spans="1:25">
      <c r="A516" s="42">
        <v>515</v>
      </c>
      <c r="B516" s="43" t="s">
        <v>865</v>
      </c>
      <c r="C516" s="43"/>
      <c r="D516" s="43"/>
      <c r="E516" s="43"/>
      <c r="F516" s="43"/>
      <c r="G516" s="43"/>
      <c r="H516" s="43"/>
      <c r="I516" s="43"/>
      <c r="J516" s="43"/>
      <c r="K516" s="43"/>
      <c r="L516" s="43"/>
      <c r="M516" s="43"/>
      <c r="N516" s="43"/>
      <c r="O516" s="43"/>
      <c r="P516" s="43"/>
      <c r="Q516" s="43"/>
      <c r="R516" s="43"/>
      <c r="S516" s="43"/>
      <c r="T516" s="43"/>
      <c r="U516" s="43"/>
      <c r="V516" s="43"/>
      <c r="W516" s="43"/>
      <c r="X516" s="43"/>
      <c r="Y516" s="43"/>
    </row>
    <row r="517" ht="13.2" spans="1:25">
      <c r="A517" s="42">
        <v>516</v>
      </c>
      <c r="B517" s="43" t="s">
        <v>866</v>
      </c>
      <c r="C517" s="43"/>
      <c r="D517" s="43"/>
      <c r="E517" s="43"/>
      <c r="F517" s="43"/>
      <c r="G517" s="43"/>
      <c r="H517" s="43"/>
      <c r="I517" s="43"/>
      <c r="J517" s="43"/>
      <c r="K517" s="43"/>
      <c r="L517" s="43"/>
      <c r="M517" s="43"/>
      <c r="N517" s="43"/>
      <c r="O517" s="43"/>
      <c r="P517" s="43"/>
      <c r="Q517" s="43"/>
      <c r="R517" s="43"/>
      <c r="S517" s="43"/>
      <c r="T517" s="43"/>
      <c r="U517" s="43"/>
      <c r="V517" s="43"/>
      <c r="W517" s="43"/>
      <c r="X517" s="43"/>
      <c r="Y517" s="43"/>
    </row>
    <row r="518" ht="13.2" spans="1:25">
      <c r="A518" s="42">
        <v>517</v>
      </c>
      <c r="B518" s="43" t="s">
        <v>867</v>
      </c>
      <c r="C518" s="43"/>
      <c r="D518" s="43"/>
      <c r="E518" s="43"/>
      <c r="F518" s="43"/>
      <c r="G518" s="43"/>
      <c r="H518" s="43"/>
      <c r="I518" s="43"/>
      <c r="J518" s="43"/>
      <c r="K518" s="43"/>
      <c r="L518" s="43"/>
      <c r="M518" s="43"/>
      <c r="N518" s="43"/>
      <c r="O518" s="43"/>
      <c r="P518" s="43"/>
      <c r="Q518" s="43"/>
      <c r="R518" s="43"/>
      <c r="S518" s="43"/>
      <c r="T518" s="43"/>
      <c r="U518" s="43"/>
      <c r="V518" s="43"/>
      <c r="W518" s="43"/>
      <c r="X518" s="43"/>
      <c r="Y518" s="43"/>
    </row>
    <row r="519" ht="13.2" spans="1:25">
      <c r="A519" s="42">
        <v>518</v>
      </c>
      <c r="B519" s="43" t="s">
        <v>868</v>
      </c>
      <c r="C519" s="43"/>
      <c r="D519" s="43"/>
      <c r="E519" s="43"/>
      <c r="F519" s="43"/>
      <c r="G519" s="43"/>
      <c r="H519" s="43"/>
      <c r="I519" s="43"/>
      <c r="J519" s="43"/>
      <c r="K519" s="43"/>
      <c r="L519" s="43"/>
      <c r="M519" s="43"/>
      <c r="N519" s="43"/>
      <c r="O519" s="43"/>
      <c r="P519" s="43"/>
      <c r="Q519" s="43"/>
      <c r="R519" s="43"/>
      <c r="S519" s="43"/>
      <c r="T519" s="43"/>
      <c r="U519" s="43"/>
      <c r="V519" s="43"/>
      <c r="W519" s="43"/>
      <c r="X519" s="43"/>
      <c r="Y519" s="43"/>
    </row>
    <row r="520" ht="13.2" spans="1:25">
      <c r="A520" s="42">
        <v>519</v>
      </c>
      <c r="B520" s="43" t="s">
        <v>869</v>
      </c>
      <c r="C520" s="43"/>
      <c r="D520" s="43"/>
      <c r="E520" s="43"/>
      <c r="F520" s="43"/>
      <c r="G520" s="43"/>
      <c r="H520" s="43"/>
      <c r="I520" s="43"/>
      <c r="J520" s="43"/>
      <c r="K520" s="43"/>
      <c r="L520" s="43"/>
      <c r="M520" s="43"/>
      <c r="N520" s="43"/>
      <c r="O520" s="43"/>
      <c r="P520" s="43"/>
      <c r="Q520" s="43"/>
      <c r="R520" s="43"/>
      <c r="S520" s="43"/>
      <c r="T520" s="43"/>
      <c r="U520" s="43"/>
      <c r="V520" s="43"/>
      <c r="W520" s="43"/>
      <c r="X520" s="43"/>
      <c r="Y520" s="43"/>
    </row>
    <row r="521" ht="13.2" spans="1:25">
      <c r="A521" s="42">
        <v>520</v>
      </c>
      <c r="B521" s="43" t="s">
        <v>870</v>
      </c>
      <c r="C521" s="43"/>
      <c r="D521" s="43"/>
      <c r="E521" s="43"/>
      <c r="F521" s="43"/>
      <c r="G521" s="43"/>
      <c r="H521" s="43"/>
      <c r="I521" s="43"/>
      <c r="J521" s="43"/>
      <c r="K521" s="43"/>
      <c r="L521" s="43"/>
      <c r="M521" s="43"/>
      <c r="N521" s="43"/>
      <c r="O521" s="43"/>
      <c r="P521" s="43"/>
      <c r="Q521" s="43"/>
      <c r="R521" s="43"/>
      <c r="S521" s="43"/>
      <c r="T521" s="43"/>
      <c r="U521" s="43"/>
      <c r="V521" s="43"/>
      <c r="W521" s="43"/>
      <c r="X521" s="43"/>
      <c r="Y521" s="43"/>
    </row>
    <row r="522" ht="13.2" spans="1:25">
      <c r="A522" s="42">
        <v>521</v>
      </c>
      <c r="B522" s="43" t="s">
        <v>131</v>
      </c>
      <c r="C522" s="43"/>
      <c r="D522" s="43"/>
      <c r="E522" s="43"/>
      <c r="F522" s="43"/>
      <c r="G522" s="43"/>
      <c r="H522" s="43"/>
      <c r="I522" s="43"/>
      <c r="J522" s="43"/>
      <c r="K522" s="43"/>
      <c r="L522" s="43"/>
      <c r="M522" s="43"/>
      <c r="N522" s="43"/>
      <c r="O522" s="43"/>
      <c r="P522" s="43"/>
      <c r="Q522" s="43"/>
      <c r="R522" s="43"/>
      <c r="S522" s="43"/>
      <c r="T522" s="43"/>
      <c r="U522" s="43"/>
      <c r="V522" s="43"/>
      <c r="W522" s="43"/>
      <c r="X522" s="43"/>
      <c r="Y522" s="43"/>
    </row>
    <row r="523" ht="13.2" spans="1:25">
      <c r="A523" s="42">
        <v>522</v>
      </c>
      <c r="B523" s="43" t="s">
        <v>871</v>
      </c>
      <c r="C523" s="43"/>
      <c r="D523" s="43"/>
      <c r="E523" s="43"/>
      <c r="F523" s="43"/>
      <c r="G523" s="43"/>
      <c r="H523" s="43"/>
      <c r="I523" s="43"/>
      <c r="J523" s="43"/>
      <c r="K523" s="43"/>
      <c r="L523" s="43"/>
      <c r="M523" s="43"/>
      <c r="N523" s="43"/>
      <c r="O523" s="43"/>
      <c r="P523" s="43"/>
      <c r="Q523" s="43"/>
      <c r="R523" s="43"/>
      <c r="S523" s="43"/>
      <c r="T523" s="43"/>
      <c r="U523" s="43"/>
      <c r="V523" s="43"/>
      <c r="W523" s="43"/>
      <c r="X523" s="43"/>
      <c r="Y523" s="43"/>
    </row>
    <row r="524" ht="13.2" spans="1:25">
      <c r="A524" s="42">
        <v>523</v>
      </c>
      <c r="B524" s="43" t="s">
        <v>872</v>
      </c>
      <c r="C524" s="43"/>
      <c r="D524" s="43"/>
      <c r="E524" s="43"/>
      <c r="F524" s="43"/>
      <c r="G524" s="43"/>
      <c r="H524" s="43"/>
      <c r="I524" s="43"/>
      <c r="J524" s="43"/>
      <c r="K524" s="43"/>
      <c r="L524" s="43"/>
      <c r="M524" s="43"/>
      <c r="N524" s="43"/>
      <c r="O524" s="43"/>
      <c r="P524" s="43"/>
      <c r="Q524" s="43"/>
      <c r="R524" s="43"/>
      <c r="S524" s="43"/>
      <c r="T524" s="43"/>
      <c r="U524" s="43"/>
      <c r="V524" s="43"/>
      <c r="W524" s="43"/>
      <c r="X524" s="43"/>
      <c r="Y524" s="43"/>
    </row>
    <row r="525" ht="13.2" spans="1:25">
      <c r="A525" s="42">
        <v>524</v>
      </c>
      <c r="B525" s="43" t="s">
        <v>138</v>
      </c>
      <c r="C525" s="43"/>
      <c r="D525" s="43"/>
      <c r="E525" s="43"/>
      <c r="F525" s="43"/>
      <c r="G525" s="43"/>
      <c r="H525" s="43"/>
      <c r="I525" s="43"/>
      <c r="J525" s="43"/>
      <c r="K525" s="43"/>
      <c r="L525" s="43"/>
      <c r="M525" s="43"/>
      <c r="N525" s="43"/>
      <c r="O525" s="43"/>
      <c r="P525" s="43"/>
      <c r="Q525" s="43"/>
      <c r="R525" s="43"/>
      <c r="S525" s="43"/>
      <c r="T525" s="43"/>
      <c r="U525" s="43"/>
      <c r="V525" s="43"/>
      <c r="W525" s="43"/>
      <c r="X525" s="43"/>
      <c r="Y525" s="43"/>
    </row>
    <row r="526" ht="13.2" spans="1:25">
      <c r="A526" s="42">
        <v>525</v>
      </c>
      <c r="B526" s="43" t="s">
        <v>873</v>
      </c>
      <c r="C526" s="43"/>
      <c r="D526" s="43"/>
      <c r="E526" s="43"/>
      <c r="F526" s="43"/>
      <c r="G526" s="43"/>
      <c r="H526" s="43"/>
      <c r="I526" s="43"/>
      <c r="J526" s="43"/>
      <c r="K526" s="43"/>
      <c r="L526" s="43"/>
      <c r="M526" s="43"/>
      <c r="N526" s="43"/>
      <c r="O526" s="43"/>
      <c r="P526" s="43"/>
      <c r="Q526" s="43"/>
      <c r="R526" s="43"/>
      <c r="S526" s="43"/>
      <c r="T526" s="43"/>
      <c r="U526" s="43"/>
      <c r="V526" s="43"/>
      <c r="W526" s="43"/>
      <c r="X526" s="43"/>
      <c r="Y526" s="43"/>
    </row>
    <row r="527" ht="13.2" spans="1:25">
      <c r="A527" s="42">
        <v>526</v>
      </c>
      <c r="B527" s="43" t="s">
        <v>874</v>
      </c>
      <c r="C527" s="43"/>
      <c r="D527" s="43"/>
      <c r="E527" s="43"/>
      <c r="F527" s="43"/>
      <c r="G527" s="43"/>
      <c r="H527" s="43"/>
      <c r="I527" s="43"/>
      <c r="J527" s="43"/>
      <c r="K527" s="43"/>
      <c r="L527" s="43"/>
      <c r="M527" s="43"/>
      <c r="N527" s="43"/>
      <c r="O527" s="43"/>
      <c r="P527" s="43"/>
      <c r="Q527" s="43"/>
      <c r="R527" s="43"/>
      <c r="S527" s="43"/>
      <c r="T527" s="43"/>
      <c r="U527" s="43"/>
      <c r="V527" s="43"/>
      <c r="W527" s="43"/>
      <c r="X527" s="43"/>
      <c r="Y527" s="43"/>
    </row>
    <row r="528" ht="13.2" spans="1:25">
      <c r="A528" s="42">
        <v>527</v>
      </c>
      <c r="B528" s="43" t="s">
        <v>875</v>
      </c>
      <c r="C528" s="43"/>
      <c r="D528" s="43"/>
      <c r="E528" s="43"/>
      <c r="F528" s="43"/>
      <c r="G528" s="43"/>
      <c r="H528" s="43"/>
      <c r="I528" s="43"/>
      <c r="J528" s="43"/>
      <c r="K528" s="43"/>
      <c r="L528" s="43"/>
      <c r="M528" s="43"/>
      <c r="N528" s="43"/>
      <c r="O528" s="43"/>
      <c r="P528" s="43"/>
      <c r="Q528" s="43"/>
      <c r="R528" s="43"/>
      <c r="S528" s="43"/>
      <c r="T528" s="43"/>
      <c r="U528" s="43"/>
      <c r="V528" s="43"/>
      <c r="W528" s="43"/>
      <c r="X528" s="43"/>
      <c r="Y528" s="43"/>
    </row>
    <row r="529" ht="13.2" spans="1:25">
      <c r="A529" s="42">
        <v>528</v>
      </c>
      <c r="B529" s="43" t="s">
        <v>876</v>
      </c>
      <c r="C529" s="43"/>
      <c r="D529" s="43"/>
      <c r="E529" s="43"/>
      <c r="F529" s="43"/>
      <c r="G529" s="43"/>
      <c r="H529" s="43"/>
      <c r="I529" s="43"/>
      <c r="J529" s="43"/>
      <c r="K529" s="43"/>
      <c r="L529" s="43"/>
      <c r="M529" s="43"/>
      <c r="N529" s="43"/>
      <c r="O529" s="43"/>
      <c r="P529" s="43"/>
      <c r="Q529" s="43"/>
      <c r="R529" s="43"/>
      <c r="S529" s="43"/>
      <c r="T529" s="43"/>
      <c r="U529" s="43"/>
      <c r="V529" s="43"/>
      <c r="W529" s="43"/>
      <c r="X529" s="43"/>
      <c r="Y529" s="43"/>
    </row>
    <row r="530" ht="13.2" spans="1:25">
      <c r="A530" s="42">
        <v>529</v>
      </c>
      <c r="B530" s="43" t="s">
        <v>877</v>
      </c>
      <c r="C530" s="43"/>
      <c r="D530" s="43"/>
      <c r="E530" s="43"/>
      <c r="F530" s="43"/>
      <c r="G530" s="43"/>
      <c r="H530" s="43"/>
      <c r="I530" s="43"/>
      <c r="J530" s="43"/>
      <c r="K530" s="43"/>
      <c r="L530" s="43"/>
      <c r="M530" s="43"/>
      <c r="N530" s="43"/>
      <c r="O530" s="43"/>
      <c r="P530" s="43"/>
      <c r="Q530" s="43"/>
      <c r="R530" s="43"/>
      <c r="S530" s="43"/>
      <c r="T530" s="43"/>
      <c r="U530" s="43"/>
      <c r="V530" s="43"/>
      <c r="W530" s="43"/>
      <c r="X530" s="43"/>
      <c r="Y530" s="43"/>
    </row>
    <row r="531" ht="13.2" spans="1:25">
      <c r="A531" s="42">
        <v>530</v>
      </c>
      <c r="B531" s="43" t="s">
        <v>878</v>
      </c>
      <c r="C531" s="43"/>
      <c r="D531" s="43"/>
      <c r="E531" s="43"/>
      <c r="F531" s="43"/>
      <c r="G531" s="43"/>
      <c r="H531" s="43"/>
      <c r="I531" s="43"/>
      <c r="J531" s="43"/>
      <c r="K531" s="43"/>
      <c r="L531" s="43"/>
      <c r="M531" s="43"/>
      <c r="N531" s="43"/>
      <c r="O531" s="43"/>
      <c r="P531" s="43"/>
      <c r="Q531" s="43"/>
      <c r="R531" s="43"/>
      <c r="S531" s="43"/>
      <c r="T531" s="43"/>
      <c r="U531" s="43"/>
      <c r="V531" s="43"/>
      <c r="W531" s="43"/>
      <c r="X531" s="43"/>
      <c r="Y531" s="43"/>
    </row>
    <row r="532" ht="13.2" spans="1:25">
      <c r="A532" s="42">
        <v>531</v>
      </c>
      <c r="B532" s="43" t="s">
        <v>145</v>
      </c>
      <c r="C532" s="43"/>
      <c r="D532" s="43"/>
      <c r="E532" s="43"/>
      <c r="F532" s="43"/>
      <c r="G532" s="43"/>
      <c r="H532" s="43"/>
      <c r="I532" s="43"/>
      <c r="J532" s="43"/>
      <c r="K532" s="43"/>
      <c r="L532" s="43"/>
      <c r="M532" s="43"/>
      <c r="N532" s="43"/>
      <c r="O532" s="43"/>
      <c r="P532" s="43"/>
      <c r="Q532" s="43"/>
      <c r="R532" s="43"/>
      <c r="S532" s="43"/>
      <c r="T532" s="43"/>
      <c r="U532" s="43"/>
      <c r="V532" s="43"/>
      <c r="W532" s="43"/>
      <c r="X532" s="43"/>
      <c r="Y532" s="43"/>
    </row>
    <row r="533" ht="13.2" spans="1:25">
      <c r="A533" s="42">
        <v>532</v>
      </c>
      <c r="B533" s="43" t="s">
        <v>879</v>
      </c>
      <c r="C533" s="43"/>
      <c r="D533" s="43"/>
      <c r="E533" s="43"/>
      <c r="F533" s="43"/>
      <c r="G533" s="43"/>
      <c r="H533" s="43"/>
      <c r="I533" s="43"/>
      <c r="J533" s="43"/>
      <c r="K533" s="43"/>
      <c r="L533" s="43"/>
      <c r="M533" s="43"/>
      <c r="N533" s="43"/>
      <c r="O533" s="43"/>
      <c r="P533" s="43"/>
      <c r="Q533" s="43"/>
      <c r="R533" s="43"/>
      <c r="S533" s="43"/>
      <c r="T533" s="43"/>
      <c r="U533" s="43"/>
      <c r="V533" s="43"/>
      <c r="W533" s="43"/>
      <c r="X533" s="43"/>
      <c r="Y533" s="43"/>
    </row>
    <row r="534" ht="13.2" spans="1:25">
      <c r="A534" s="42">
        <v>533</v>
      </c>
      <c r="B534" s="43" t="s">
        <v>880</v>
      </c>
      <c r="C534" s="43"/>
      <c r="D534" s="43"/>
      <c r="E534" s="43"/>
      <c r="F534" s="43"/>
      <c r="G534" s="43"/>
      <c r="H534" s="43"/>
      <c r="I534" s="43"/>
      <c r="J534" s="43"/>
      <c r="K534" s="43"/>
      <c r="L534" s="43"/>
      <c r="M534" s="43"/>
      <c r="N534" s="43"/>
      <c r="O534" s="43"/>
      <c r="P534" s="43"/>
      <c r="Q534" s="43"/>
      <c r="R534" s="43"/>
      <c r="S534" s="43"/>
      <c r="T534" s="43"/>
      <c r="U534" s="43"/>
      <c r="V534" s="43"/>
      <c r="W534" s="43"/>
      <c r="X534" s="43"/>
      <c r="Y534" s="43"/>
    </row>
    <row r="535" ht="13.2" spans="1:25">
      <c r="A535" s="42">
        <v>534</v>
      </c>
      <c r="B535" s="43" t="s">
        <v>881</v>
      </c>
      <c r="C535" s="43"/>
      <c r="D535" s="43"/>
      <c r="E535" s="43"/>
      <c r="F535" s="43"/>
      <c r="G535" s="43"/>
      <c r="H535" s="43"/>
      <c r="I535" s="43"/>
      <c r="J535" s="43"/>
      <c r="K535" s="43"/>
      <c r="L535" s="43"/>
      <c r="M535" s="43"/>
      <c r="N535" s="43"/>
      <c r="O535" s="43"/>
      <c r="P535" s="43"/>
      <c r="Q535" s="43"/>
      <c r="R535" s="43"/>
      <c r="S535" s="43"/>
      <c r="T535" s="43"/>
      <c r="U535" s="43"/>
      <c r="V535" s="43"/>
      <c r="W535" s="43"/>
      <c r="X535" s="43"/>
      <c r="Y535" s="43"/>
    </row>
    <row r="536" ht="13.2" spans="1:25">
      <c r="A536" s="42">
        <v>535</v>
      </c>
      <c r="B536" s="43" t="s">
        <v>882</v>
      </c>
      <c r="C536" s="43"/>
      <c r="D536" s="43"/>
      <c r="E536" s="43"/>
      <c r="F536" s="43"/>
      <c r="G536" s="43"/>
      <c r="H536" s="43"/>
      <c r="I536" s="43"/>
      <c r="J536" s="43"/>
      <c r="K536" s="43"/>
      <c r="L536" s="43"/>
      <c r="M536" s="43"/>
      <c r="N536" s="43"/>
      <c r="O536" s="43"/>
      <c r="P536" s="43"/>
      <c r="Q536" s="43"/>
      <c r="R536" s="43"/>
      <c r="S536" s="43"/>
      <c r="T536" s="43"/>
      <c r="U536" s="43"/>
      <c r="V536" s="43"/>
      <c r="W536" s="43"/>
      <c r="X536" s="43"/>
      <c r="Y536" s="43"/>
    </row>
    <row r="537" ht="13.2" spans="1:25">
      <c r="A537" s="42">
        <v>536</v>
      </c>
      <c r="B537" s="43" t="s">
        <v>883</v>
      </c>
      <c r="C537" s="43"/>
      <c r="D537" s="43"/>
      <c r="E537" s="43"/>
      <c r="F537" s="43"/>
      <c r="G537" s="43"/>
      <c r="H537" s="43"/>
      <c r="I537" s="43"/>
      <c r="J537" s="43"/>
      <c r="K537" s="43"/>
      <c r="L537" s="43"/>
      <c r="M537" s="43"/>
      <c r="N537" s="43"/>
      <c r="O537" s="43"/>
      <c r="P537" s="43"/>
      <c r="Q537" s="43"/>
      <c r="R537" s="43"/>
      <c r="S537" s="43"/>
      <c r="T537" s="43"/>
      <c r="U537" s="43"/>
      <c r="V537" s="43"/>
      <c r="W537" s="43"/>
      <c r="X537" s="43"/>
      <c r="Y537" s="43"/>
    </row>
    <row r="538" ht="13.2" spans="1:25">
      <c r="A538" s="42">
        <v>537</v>
      </c>
      <c r="B538" s="43" t="s">
        <v>884</v>
      </c>
      <c r="C538" s="43"/>
      <c r="D538" s="43"/>
      <c r="E538" s="43"/>
      <c r="F538" s="43"/>
      <c r="G538" s="43"/>
      <c r="H538" s="43"/>
      <c r="I538" s="43"/>
      <c r="J538" s="43"/>
      <c r="K538" s="43"/>
      <c r="L538" s="43"/>
      <c r="M538" s="43"/>
      <c r="N538" s="43"/>
      <c r="O538" s="43"/>
      <c r="P538" s="43"/>
      <c r="Q538" s="43"/>
      <c r="R538" s="43"/>
      <c r="S538" s="43"/>
      <c r="T538" s="43"/>
      <c r="U538" s="43"/>
      <c r="V538" s="43"/>
      <c r="W538" s="43"/>
      <c r="X538" s="43"/>
      <c r="Y538" s="43"/>
    </row>
    <row r="539" ht="13.2" spans="1:25">
      <c r="A539" s="42">
        <v>538</v>
      </c>
      <c r="B539" s="43" t="s">
        <v>885</v>
      </c>
      <c r="C539" s="43"/>
      <c r="D539" s="43"/>
      <c r="E539" s="43"/>
      <c r="F539" s="43"/>
      <c r="G539" s="43"/>
      <c r="H539" s="43"/>
      <c r="I539" s="43"/>
      <c r="J539" s="43"/>
      <c r="K539" s="43"/>
      <c r="L539" s="43"/>
      <c r="M539" s="43"/>
      <c r="N539" s="43"/>
      <c r="O539" s="43"/>
      <c r="P539" s="43"/>
      <c r="Q539" s="43"/>
      <c r="R539" s="43"/>
      <c r="S539" s="43"/>
      <c r="T539" s="43"/>
      <c r="U539" s="43"/>
      <c r="V539" s="43"/>
      <c r="W539" s="43"/>
      <c r="X539" s="43"/>
      <c r="Y539" s="43"/>
    </row>
    <row r="540" ht="13.2" spans="1:25">
      <c r="A540" s="42">
        <v>539</v>
      </c>
      <c r="B540" s="43" t="s">
        <v>886</v>
      </c>
      <c r="C540" s="43"/>
      <c r="D540" s="43"/>
      <c r="E540" s="43"/>
      <c r="F540" s="43"/>
      <c r="G540" s="43"/>
      <c r="H540" s="43"/>
      <c r="I540" s="43"/>
      <c r="J540" s="43"/>
      <c r="K540" s="43"/>
      <c r="L540" s="43"/>
      <c r="M540" s="43"/>
      <c r="N540" s="43"/>
      <c r="O540" s="43"/>
      <c r="P540" s="43"/>
      <c r="Q540" s="43"/>
      <c r="R540" s="43"/>
      <c r="S540" s="43"/>
      <c r="T540" s="43"/>
      <c r="U540" s="43"/>
      <c r="V540" s="43"/>
      <c r="W540" s="43"/>
      <c r="X540" s="43"/>
      <c r="Y540" s="43"/>
    </row>
    <row r="541" ht="13.2" spans="1:25">
      <c r="A541" s="42">
        <v>540</v>
      </c>
      <c r="B541" s="43" t="s">
        <v>887</v>
      </c>
      <c r="C541" s="43"/>
      <c r="D541" s="43"/>
      <c r="E541" s="43"/>
      <c r="F541" s="43"/>
      <c r="G541" s="43"/>
      <c r="H541" s="43"/>
      <c r="I541" s="43"/>
      <c r="J541" s="43"/>
      <c r="K541" s="43"/>
      <c r="L541" s="43"/>
      <c r="M541" s="43"/>
      <c r="N541" s="43"/>
      <c r="O541" s="43"/>
      <c r="P541" s="43"/>
      <c r="Q541" s="43"/>
      <c r="R541" s="43"/>
      <c r="S541" s="43"/>
      <c r="T541" s="43"/>
      <c r="U541" s="43"/>
      <c r="V541" s="43"/>
      <c r="W541" s="43"/>
      <c r="X541" s="43"/>
      <c r="Y541" s="43"/>
    </row>
    <row r="542" ht="13.2" spans="1:25">
      <c r="A542" s="42">
        <v>541</v>
      </c>
      <c r="B542" s="43" t="s">
        <v>888</v>
      </c>
      <c r="C542" s="43"/>
      <c r="D542" s="43"/>
      <c r="E542" s="43"/>
      <c r="F542" s="43"/>
      <c r="G542" s="43"/>
      <c r="H542" s="43"/>
      <c r="I542" s="43"/>
      <c r="J542" s="43"/>
      <c r="K542" s="43"/>
      <c r="L542" s="43"/>
      <c r="M542" s="43"/>
      <c r="N542" s="43"/>
      <c r="O542" s="43"/>
      <c r="P542" s="43"/>
      <c r="Q542" s="43"/>
      <c r="R542" s="43"/>
      <c r="S542" s="43"/>
      <c r="T542" s="43"/>
      <c r="U542" s="43"/>
      <c r="V542" s="43"/>
      <c r="W542" s="43"/>
      <c r="X542" s="43"/>
      <c r="Y542" s="43"/>
    </row>
    <row r="543" ht="13.2" spans="1:25">
      <c r="A543" s="42">
        <v>542</v>
      </c>
      <c r="B543" s="43" t="s">
        <v>889</v>
      </c>
      <c r="C543" s="43"/>
      <c r="D543" s="43"/>
      <c r="E543" s="43"/>
      <c r="F543" s="43"/>
      <c r="G543" s="43"/>
      <c r="H543" s="43"/>
      <c r="I543" s="43"/>
      <c r="J543" s="43"/>
      <c r="K543" s="43"/>
      <c r="L543" s="43"/>
      <c r="M543" s="43"/>
      <c r="N543" s="43"/>
      <c r="O543" s="43"/>
      <c r="P543" s="43"/>
      <c r="Q543" s="43"/>
      <c r="R543" s="43"/>
      <c r="S543" s="43"/>
      <c r="T543" s="43"/>
      <c r="U543" s="43"/>
      <c r="V543" s="43"/>
      <c r="W543" s="43"/>
      <c r="X543" s="43"/>
      <c r="Y543" s="43"/>
    </row>
    <row r="544" ht="13.2" spans="1:25">
      <c r="A544" s="42">
        <v>543</v>
      </c>
      <c r="B544" s="43" t="s">
        <v>890</v>
      </c>
      <c r="C544" s="43"/>
      <c r="D544" s="43"/>
      <c r="E544" s="43"/>
      <c r="F544" s="43"/>
      <c r="G544" s="43"/>
      <c r="H544" s="43"/>
      <c r="I544" s="43"/>
      <c r="J544" s="43"/>
      <c r="K544" s="43"/>
      <c r="L544" s="43"/>
      <c r="M544" s="43"/>
      <c r="N544" s="43"/>
      <c r="O544" s="43"/>
      <c r="P544" s="43"/>
      <c r="Q544" s="43"/>
      <c r="R544" s="43"/>
      <c r="S544" s="43"/>
      <c r="T544" s="43"/>
      <c r="U544" s="43"/>
      <c r="V544" s="43"/>
      <c r="W544" s="43"/>
      <c r="X544" s="43"/>
      <c r="Y544" s="43"/>
    </row>
    <row r="545" ht="13.2" spans="1:25">
      <c r="A545" s="42">
        <v>544</v>
      </c>
      <c r="B545" s="43" t="s">
        <v>891</v>
      </c>
      <c r="C545" s="43"/>
      <c r="D545" s="43"/>
      <c r="E545" s="43"/>
      <c r="F545" s="43"/>
      <c r="G545" s="43"/>
      <c r="H545" s="43"/>
      <c r="I545" s="43"/>
      <c r="J545" s="43"/>
      <c r="K545" s="43"/>
      <c r="L545" s="43"/>
      <c r="M545" s="43"/>
      <c r="N545" s="43"/>
      <c r="O545" s="43"/>
      <c r="P545" s="43"/>
      <c r="Q545" s="43"/>
      <c r="R545" s="43"/>
      <c r="S545" s="43"/>
      <c r="T545" s="43"/>
      <c r="U545" s="43"/>
      <c r="V545" s="43"/>
      <c r="W545" s="43"/>
      <c r="X545" s="43"/>
      <c r="Y545" s="43"/>
    </row>
    <row r="546" ht="13.2" spans="1:25">
      <c r="A546" s="42">
        <v>545</v>
      </c>
      <c r="B546" s="43" t="s">
        <v>892</v>
      </c>
      <c r="C546" s="43"/>
      <c r="D546" s="43"/>
      <c r="E546" s="43"/>
      <c r="F546" s="43"/>
      <c r="G546" s="43"/>
      <c r="H546" s="43"/>
      <c r="I546" s="43"/>
      <c r="J546" s="43"/>
      <c r="K546" s="43"/>
      <c r="L546" s="43"/>
      <c r="M546" s="43"/>
      <c r="N546" s="43"/>
      <c r="O546" s="43"/>
      <c r="P546" s="43"/>
      <c r="Q546" s="43"/>
      <c r="R546" s="43"/>
      <c r="S546" s="43"/>
      <c r="T546" s="43"/>
      <c r="U546" s="43"/>
      <c r="V546" s="43"/>
      <c r="W546" s="43"/>
      <c r="X546" s="43"/>
      <c r="Y546" s="43"/>
    </row>
    <row r="547" ht="13.2" spans="1:25">
      <c r="A547" s="42">
        <v>546</v>
      </c>
      <c r="B547" s="43" t="s">
        <v>893</v>
      </c>
      <c r="C547" s="43"/>
      <c r="D547" s="43"/>
      <c r="E547" s="43"/>
      <c r="F547" s="43"/>
      <c r="G547" s="43"/>
      <c r="H547" s="43"/>
      <c r="I547" s="43"/>
      <c r="J547" s="43"/>
      <c r="K547" s="43"/>
      <c r="L547" s="43"/>
      <c r="M547" s="43"/>
      <c r="N547" s="43"/>
      <c r="O547" s="43"/>
      <c r="P547" s="43"/>
      <c r="Q547" s="43"/>
      <c r="R547" s="43"/>
      <c r="S547" s="43"/>
      <c r="T547" s="43"/>
      <c r="U547" s="43"/>
      <c r="V547" s="43"/>
      <c r="W547" s="43"/>
      <c r="X547" s="43"/>
      <c r="Y547" s="43"/>
    </row>
    <row r="548" ht="13.2" spans="1:25">
      <c r="A548" s="42">
        <v>547</v>
      </c>
      <c r="B548" s="43" t="s">
        <v>894</v>
      </c>
      <c r="C548" s="43"/>
      <c r="D548" s="43"/>
      <c r="E548" s="43"/>
      <c r="F548" s="43"/>
      <c r="G548" s="43"/>
      <c r="H548" s="43"/>
      <c r="I548" s="43"/>
      <c r="J548" s="43"/>
      <c r="K548" s="43"/>
      <c r="L548" s="43"/>
      <c r="M548" s="43"/>
      <c r="N548" s="43"/>
      <c r="O548" s="43"/>
      <c r="P548" s="43"/>
      <c r="Q548" s="43"/>
      <c r="R548" s="43"/>
      <c r="S548" s="43"/>
      <c r="T548" s="43"/>
      <c r="U548" s="43"/>
      <c r="V548" s="43"/>
      <c r="W548" s="43"/>
      <c r="X548" s="43"/>
      <c r="Y548" s="43"/>
    </row>
    <row r="549" ht="13.2" spans="1:25">
      <c r="A549" s="42">
        <v>548</v>
      </c>
      <c r="B549" s="43" t="s">
        <v>895</v>
      </c>
      <c r="C549" s="43"/>
      <c r="D549" s="43"/>
      <c r="E549" s="43"/>
      <c r="F549" s="43"/>
      <c r="G549" s="43"/>
      <c r="H549" s="43"/>
      <c r="I549" s="43"/>
      <c r="J549" s="43"/>
      <c r="K549" s="43"/>
      <c r="L549" s="43"/>
      <c r="M549" s="43"/>
      <c r="N549" s="43"/>
      <c r="O549" s="43"/>
      <c r="P549" s="43"/>
      <c r="Q549" s="43"/>
      <c r="R549" s="43"/>
      <c r="S549" s="43"/>
      <c r="T549" s="43"/>
      <c r="U549" s="43"/>
      <c r="V549" s="43"/>
      <c r="W549" s="43"/>
      <c r="X549" s="43"/>
      <c r="Y549" s="43"/>
    </row>
    <row r="550" ht="13.2" spans="1:25">
      <c r="A550" s="42">
        <v>549</v>
      </c>
      <c r="B550" s="43" t="s">
        <v>896</v>
      </c>
      <c r="C550" s="43"/>
      <c r="D550" s="43"/>
      <c r="E550" s="43"/>
      <c r="F550" s="43"/>
      <c r="G550" s="43"/>
      <c r="H550" s="43"/>
      <c r="I550" s="43"/>
      <c r="J550" s="43"/>
      <c r="K550" s="43"/>
      <c r="L550" s="43"/>
      <c r="M550" s="43"/>
      <c r="N550" s="43"/>
      <c r="O550" s="43"/>
      <c r="P550" s="43"/>
      <c r="Q550" s="43"/>
      <c r="R550" s="43"/>
      <c r="S550" s="43"/>
      <c r="T550" s="43"/>
      <c r="U550" s="43"/>
      <c r="V550" s="43"/>
      <c r="W550" s="43"/>
      <c r="X550" s="43"/>
      <c r="Y550" s="43"/>
    </row>
    <row r="551" ht="13.2" spans="1:25">
      <c r="A551" s="42">
        <v>550</v>
      </c>
      <c r="B551" s="43" t="s">
        <v>897</v>
      </c>
      <c r="C551" s="43"/>
      <c r="D551" s="43"/>
      <c r="E551" s="43"/>
      <c r="F551" s="43"/>
      <c r="G551" s="43"/>
      <c r="H551" s="43"/>
      <c r="I551" s="43"/>
      <c r="J551" s="43"/>
      <c r="K551" s="43"/>
      <c r="L551" s="43"/>
      <c r="M551" s="43"/>
      <c r="N551" s="43"/>
      <c r="O551" s="43"/>
      <c r="P551" s="43"/>
      <c r="Q551" s="43"/>
      <c r="R551" s="43"/>
      <c r="S551" s="43"/>
      <c r="T551" s="43"/>
      <c r="U551" s="43"/>
      <c r="V551" s="43"/>
      <c r="W551" s="43"/>
      <c r="X551" s="43"/>
      <c r="Y551" s="43"/>
    </row>
    <row r="552" ht="13.2" spans="1:25">
      <c r="A552" s="42">
        <v>551</v>
      </c>
      <c r="B552" s="43" t="s">
        <v>898</v>
      </c>
      <c r="C552" s="43"/>
      <c r="D552" s="43"/>
      <c r="E552" s="43"/>
      <c r="F552" s="43"/>
      <c r="G552" s="43"/>
      <c r="H552" s="43"/>
      <c r="I552" s="43"/>
      <c r="J552" s="43"/>
      <c r="K552" s="43"/>
      <c r="L552" s="43"/>
      <c r="M552" s="43"/>
      <c r="N552" s="43"/>
      <c r="O552" s="43"/>
      <c r="P552" s="43"/>
      <c r="Q552" s="43"/>
      <c r="R552" s="43"/>
      <c r="S552" s="43"/>
      <c r="T552" s="43"/>
      <c r="U552" s="43"/>
      <c r="V552" s="43"/>
      <c r="W552" s="43"/>
      <c r="X552" s="43"/>
      <c r="Y552" s="43"/>
    </row>
    <row r="553" ht="13.2" spans="1:25">
      <c r="A553" s="42">
        <v>552</v>
      </c>
      <c r="B553" s="43" t="s">
        <v>899</v>
      </c>
      <c r="C553" s="43"/>
      <c r="D553" s="43"/>
      <c r="E553" s="43"/>
      <c r="F553" s="43"/>
      <c r="G553" s="43"/>
      <c r="H553" s="43"/>
      <c r="I553" s="43"/>
      <c r="J553" s="43"/>
      <c r="K553" s="43"/>
      <c r="L553" s="43"/>
      <c r="M553" s="43"/>
      <c r="N553" s="43"/>
      <c r="O553" s="43"/>
      <c r="P553" s="43"/>
      <c r="Q553" s="43"/>
      <c r="R553" s="43"/>
      <c r="S553" s="43"/>
      <c r="T553" s="43"/>
      <c r="U553" s="43"/>
      <c r="V553" s="43"/>
      <c r="W553" s="43"/>
      <c r="X553" s="43"/>
      <c r="Y553" s="43"/>
    </row>
    <row r="554" ht="13.2" spans="1:25">
      <c r="A554" s="42">
        <v>553</v>
      </c>
      <c r="B554" s="43" t="s">
        <v>900</v>
      </c>
      <c r="C554" s="43"/>
      <c r="D554" s="43"/>
      <c r="E554" s="43"/>
      <c r="F554" s="43"/>
      <c r="G554" s="43"/>
      <c r="H554" s="43"/>
      <c r="I554" s="43"/>
      <c r="J554" s="43"/>
      <c r="K554" s="43"/>
      <c r="L554" s="43"/>
      <c r="M554" s="43"/>
      <c r="N554" s="43"/>
      <c r="O554" s="43"/>
      <c r="P554" s="43"/>
      <c r="Q554" s="43"/>
      <c r="R554" s="43"/>
      <c r="S554" s="43"/>
      <c r="T554" s="43"/>
      <c r="U554" s="43"/>
      <c r="V554" s="43"/>
      <c r="W554" s="43"/>
      <c r="X554" s="43"/>
      <c r="Y554" s="43"/>
    </row>
    <row r="555" ht="13.2" spans="1:25">
      <c r="A555" s="42">
        <v>554</v>
      </c>
      <c r="B555" s="43" t="s">
        <v>901</v>
      </c>
      <c r="C555" s="43"/>
      <c r="D555" s="43"/>
      <c r="E555" s="43"/>
      <c r="F555" s="43"/>
      <c r="G555" s="43"/>
      <c r="H555" s="43"/>
      <c r="I555" s="43"/>
      <c r="J555" s="43"/>
      <c r="K555" s="43"/>
      <c r="L555" s="43"/>
      <c r="M555" s="43"/>
      <c r="N555" s="43"/>
      <c r="O555" s="43"/>
      <c r="P555" s="43"/>
      <c r="Q555" s="43"/>
      <c r="R555" s="43"/>
      <c r="S555" s="43"/>
      <c r="T555" s="43"/>
      <c r="U555" s="43"/>
      <c r="V555" s="43"/>
      <c r="W555" s="43"/>
      <c r="X555" s="43"/>
      <c r="Y555" s="43"/>
    </row>
    <row r="556" ht="13.2" spans="1:25">
      <c r="A556" s="42">
        <v>555</v>
      </c>
      <c r="B556" s="43" t="s">
        <v>902</v>
      </c>
      <c r="C556" s="43"/>
      <c r="D556" s="43"/>
      <c r="E556" s="43"/>
      <c r="F556" s="43"/>
      <c r="G556" s="43"/>
      <c r="H556" s="43"/>
      <c r="I556" s="43"/>
      <c r="J556" s="43"/>
      <c r="K556" s="43"/>
      <c r="L556" s="43"/>
      <c r="M556" s="43"/>
      <c r="N556" s="43"/>
      <c r="O556" s="43"/>
      <c r="P556" s="43"/>
      <c r="Q556" s="43"/>
      <c r="R556" s="43"/>
      <c r="S556" s="43"/>
      <c r="T556" s="43"/>
      <c r="U556" s="43"/>
      <c r="V556" s="43"/>
      <c r="W556" s="43"/>
      <c r="X556" s="43"/>
      <c r="Y556" s="43"/>
    </row>
    <row r="557" ht="13.2" spans="1:25">
      <c r="A557" s="42">
        <v>556</v>
      </c>
      <c r="B557" s="43" t="s">
        <v>903</v>
      </c>
      <c r="C557" s="43"/>
      <c r="D557" s="43"/>
      <c r="E557" s="43"/>
      <c r="F557" s="43"/>
      <c r="G557" s="43"/>
      <c r="H557" s="43"/>
      <c r="I557" s="43"/>
      <c r="J557" s="43"/>
      <c r="K557" s="43"/>
      <c r="L557" s="43"/>
      <c r="M557" s="43"/>
      <c r="N557" s="43"/>
      <c r="O557" s="43"/>
      <c r="P557" s="43"/>
      <c r="Q557" s="43"/>
      <c r="R557" s="43"/>
      <c r="S557" s="43"/>
      <c r="T557" s="43"/>
      <c r="U557" s="43"/>
      <c r="V557" s="43"/>
      <c r="W557" s="43"/>
      <c r="X557" s="43"/>
      <c r="Y557" s="43"/>
    </row>
    <row r="558" ht="13.2" spans="1:25">
      <c r="A558" s="42">
        <v>557</v>
      </c>
      <c r="B558" s="43" t="s">
        <v>904</v>
      </c>
      <c r="C558" s="43"/>
      <c r="D558" s="43"/>
      <c r="E558" s="43"/>
      <c r="F558" s="43"/>
      <c r="G558" s="43"/>
      <c r="H558" s="43"/>
      <c r="I558" s="43"/>
      <c r="J558" s="43"/>
      <c r="K558" s="43"/>
      <c r="L558" s="43"/>
      <c r="M558" s="43"/>
      <c r="N558" s="43"/>
      <c r="O558" s="43"/>
      <c r="P558" s="43"/>
      <c r="Q558" s="43"/>
      <c r="R558" s="43"/>
      <c r="S558" s="43"/>
      <c r="T558" s="43"/>
      <c r="U558" s="43"/>
      <c r="V558" s="43"/>
      <c r="W558" s="43"/>
      <c r="X558" s="43"/>
      <c r="Y558" s="43"/>
    </row>
    <row r="559" ht="13.2" spans="1:25">
      <c r="A559" s="42">
        <v>558</v>
      </c>
      <c r="B559" s="43" t="s">
        <v>905</v>
      </c>
      <c r="C559" s="43"/>
      <c r="D559" s="43"/>
      <c r="E559" s="43"/>
      <c r="F559" s="43"/>
      <c r="G559" s="43"/>
      <c r="H559" s="43"/>
      <c r="I559" s="43"/>
      <c r="J559" s="43"/>
      <c r="K559" s="43"/>
      <c r="L559" s="43"/>
      <c r="M559" s="43"/>
      <c r="N559" s="43"/>
      <c r="O559" s="43"/>
      <c r="P559" s="43"/>
      <c r="Q559" s="43"/>
      <c r="R559" s="43"/>
      <c r="S559" s="43"/>
      <c r="T559" s="43"/>
      <c r="U559" s="43"/>
      <c r="V559" s="43"/>
      <c r="W559" s="43"/>
      <c r="X559" s="43"/>
      <c r="Y559" s="43"/>
    </row>
    <row r="560" ht="13.2" spans="1:25">
      <c r="A560" s="42">
        <v>559</v>
      </c>
      <c r="B560" s="43" t="s">
        <v>906</v>
      </c>
      <c r="C560" s="43"/>
      <c r="D560" s="43"/>
      <c r="E560" s="43"/>
      <c r="F560" s="43"/>
      <c r="G560" s="43"/>
      <c r="H560" s="43"/>
      <c r="I560" s="43"/>
      <c r="J560" s="43"/>
      <c r="K560" s="43"/>
      <c r="L560" s="43"/>
      <c r="M560" s="43"/>
      <c r="N560" s="43"/>
      <c r="O560" s="43"/>
      <c r="P560" s="43"/>
      <c r="Q560" s="43"/>
      <c r="R560" s="43"/>
      <c r="S560" s="43"/>
      <c r="T560" s="43"/>
      <c r="U560" s="43"/>
      <c r="V560" s="43"/>
      <c r="W560" s="43"/>
      <c r="X560" s="43"/>
      <c r="Y560" s="43"/>
    </row>
    <row r="561" ht="13.2" spans="1:25">
      <c r="A561" s="42">
        <v>560</v>
      </c>
      <c r="B561" s="43" t="s">
        <v>907</v>
      </c>
      <c r="C561" s="43"/>
      <c r="D561" s="43"/>
      <c r="E561" s="43"/>
      <c r="F561" s="43"/>
      <c r="G561" s="43"/>
      <c r="H561" s="43"/>
      <c r="I561" s="43"/>
      <c r="J561" s="43"/>
      <c r="K561" s="43"/>
      <c r="L561" s="43"/>
      <c r="M561" s="43"/>
      <c r="N561" s="43"/>
      <c r="O561" s="43"/>
      <c r="P561" s="43"/>
      <c r="Q561" s="43"/>
      <c r="R561" s="43"/>
      <c r="S561" s="43"/>
      <c r="T561" s="43"/>
      <c r="U561" s="43"/>
      <c r="V561" s="43"/>
      <c r="W561" s="43"/>
      <c r="X561" s="43"/>
      <c r="Y561" s="43"/>
    </row>
    <row r="562" ht="13.2" spans="1:25">
      <c r="A562" s="42">
        <v>561</v>
      </c>
      <c r="B562" s="43" t="s">
        <v>908</v>
      </c>
      <c r="C562" s="43"/>
      <c r="D562" s="43"/>
      <c r="E562" s="43"/>
      <c r="F562" s="43"/>
      <c r="G562" s="43"/>
      <c r="H562" s="43"/>
      <c r="I562" s="43"/>
      <c r="J562" s="43"/>
      <c r="K562" s="43"/>
      <c r="L562" s="43"/>
      <c r="M562" s="43"/>
      <c r="N562" s="43"/>
      <c r="O562" s="43"/>
      <c r="P562" s="43"/>
      <c r="Q562" s="43"/>
      <c r="R562" s="43"/>
      <c r="S562" s="43"/>
      <c r="T562" s="43"/>
      <c r="U562" s="43"/>
      <c r="V562" s="43"/>
      <c r="W562" s="43"/>
      <c r="X562" s="43"/>
      <c r="Y562" s="43"/>
    </row>
    <row r="563" ht="13.2" spans="1:25">
      <c r="A563" s="42">
        <v>562</v>
      </c>
      <c r="B563" s="43" t="s">
        <v>909</v>
      </c>
      <c r="C563" s="43"/>
      <c r="D563" s="43"/>
      <c r="E563" s="43"/>
      <c r="F563" s="43"/>
      <c r="G563" s="43"/>
      <c r="H563" s="43"/>
      <c r="I563" s="43"/>
      <c r="J563" s="43"/>
      <c r="K563" s="43"/>
      <c r="L563" s="43"/>
      <c r="M563" s="43"/>
      <c r="N563" s="43"/>
      <c r="O563" s="43"/>
      <c r="P563" s="43"/>
      <c r="Q563" s="43"/>
      <c r="R563" s="43"/>
      <c r="S563" s="43"/>
      <c r="T563" s="43"/>
      <c r="U563" s="43"/>
      <c r="V563" s="43"/>
      <c r="W563" s="43"/>
      <c r="X563" s="43"/>
      <c r="Y563" s="43"/>
    </row>
    <row r="564" ht="13.2" spans="1:25">
      <c r="A564" s="42">
        <v>563</v>
      </c>
      <c r="B564" s="43" t="s">
        <v>910</v>
      </c>
      <c r="C564" s="43"/>
      <c r="D564" s="43"/>
      <c r="E564" s="43"/>
      <c r="F564" s="43"/>
      <c r="G564" s="43"/>
      <c r="H564" s="43"/>
      <c r="I564" s="43"/>
      <c r="J564" s="43"/>
      <c r="K564" s="43"/>
      <c r="L564" s="43"/>
      <c r="M564" s="43"/>
      <c r="N564" s="43"/>
      <c r="O564" s="43"/>
      <c r="P564" s="43"/>
      <c r="Q564" s="43"/>
      <c r="R564" s="43"/>
      <c r="S564" s="43"/>
      <c r="T564" s="43"/>
      <c r="U564" s="43"/>
      <c r="V564" s="43"/>
      <c r="W564" s="43"/>
      <c r="X564" s="43"/>
      <c r="Y564" s="43"/>
    </row>
    <row r="565" ht="13.2" spans="1:25">
      <c r="A565" s="42">
        <v>564</v>
      </c>
      <c r="B565" s="43" t="s">
        <v>911</v>
      </c>
      <c r="C565" s="43"/>
      <c r="D565" s="43"/>
      <c r="E565" s="43"/>
      <c r="F565" s="43"/>
      <c r="G565" s="43"/>
      <c r="H565" s="43"/>
      <c r="I565" s="43"/>
      <c r="J565" s="43"/>
      <c r="K565" s="43"/>
      <c r="L565" s="43"/>
      <c r="M565" s="43"/>
      <c r="N565" s="43"/>
      <c r="O565" s="43"/>
      <c r="P565" s="43"/>
      <c r="Q565" s="43"/>
      <c r="R565" s="43"/>
      <c r="S565" s="43"/>
      <c r="T565" s="43"/>
      <c r="U565" s="43"/>
      <c r="V565" s="43"/>
      <c r="W565" s="43"/>
      <c r="X565" s="43"/>
      <c r="Y565" s="43"/>
    </row>
    <row r="566" ht="13.2" spans="1:25">
      <c r="A566" s="42">
        <v>565</v>
      </c>
      <c r="B566" s="43" t="s">
        <v>912</v>
      </c>
      <c r="C566" s="43"/>
      <c r="D566" s="43"/>
      <c r="E566" s="43"/>
      <c r="F566" s="43"/>
      <c r="G566" s="43"/>
      <c r="H566" s="43"/>
      <c r="I566" s="43"/>
      <c r="J566" s="43"/>
      <c r="K566" s="43"/>
      <c r="L566" s="43"/>
      <c r="M566" s="43"/>
      <c r="N566" s="43"/>
      <c r="O566" s="43"/>
      <c r="P566" s="43"/>
      <c r="Q566" s="43"/>
      <c r="R566" s="43"/>
      <c r="S566" s="43"/>
      <c r="T566" s="43"/>
      <c r="U566" s="43"/>
      <c r="V566" s="43"/>
      <c r="W566" s="43"/>
      <c r="X566" s="43"/>
      <c r="Y566" s="43"/>
    </row>
    <row r="567" ht="13.2" spans="1:25">
      <c r="A567" s="42">
        <v>566</v>
      </c>
      <c r="B567" s="43" t="s">
        <v>913</v>
      </c>
      <c r="C567" s="43"/>
      <c r="D567" s="43"/>
      <c r="E567" s="43"/>
      <c r="F567" s="43"/>
      <c r="G567" s="43"/>
      <c r="H567" s="43"/>
      <c r="I567" s="43"/>
      <c r="J567" s="43"/>
      <c r="K567" s="43"/>
      <c r="L567" s="43"/>
      <c r="M567" s="43"/>
      <c r="N567" s="43"/>
      <c r="O567" s="43"/>
      <c r="P567" s="43"/>
      <c r="Q567" s="43"/>
      <c r="R567" s="43"/>
      <c r="S567" s="43"/>
      <c r="T567" s="43"/>
      <c r="U567" s="43"/>
      <c r="V567" s="43"/>
      <c r="W567" s="43"/>
      <c r="X567" s="43"/>
      <c r="Y567" s="43"/>
    </row>
    <row r="568" ht="13.2" spans="1:25">
      <c r="A568" s="42">
        <v>567</v>
      </c>
      <c r="B568" s="43" t="s">
        <v>152</v>
      </c>
      <c r="C568" s="43"/>
      <c r="D568" s="43"/>
      <c r="E568" s="43"/>
      <c r="F568" s="43"/>
      <c r="G568" s="43"/>
      <c r="H568" s="43"/>
      <c r="I568" s="43"/>
      <c r="J568" s="43"/>
      <c r="K568" s="43"/>
      <c r="L568" s="43"/>
      <c r="M568" s="43"/>
      <c r="N568" s="43"/>
      <c r="O568" s="43"/>
      <c r="P568" s="43"/>
      <c r="Q568" s="43"/>
      <c r="R568" s="43"/>
      <c r="S568" s="43"/>
      <c r="T568" s="43"/>
      <c r="U568" s="43"/>
      <c r="V568" s="43"/>
      <c r="W568" s="43"/>
      <c r="X568" s="43"/>
      <c r="Y568" s="43"/>
    </row>
    <row r="569" ht="13.2" spans="1:25">
      <c r="A569" s="42">
        <v>568</v>
      </c>
      <c r="B569" s="43" t="s">
        <v>914</v>
      </c>
      <c r="C569" s="43"/>
      <c r="D569" s="43"/>
      <c r="E569" s="43"/>
      <c r="F569" s="43"/>
      <c r="G569" s="43"/>
      <c r="H569" s="43"/>
      <c r="I569" s="43"/>
      <c r="J569" s="43"/>
      <c r="K569" s="43"/>
      <c r="L569" s="43"/>
      <c r="M569" s="43"/>
      <c r="N569" s="43"/>
      <c r="O569" s="43"/>
      <c r="P569" s="43"/>
      <c r="Q569" s="43"/>
      <c r="R569" s="43"/>
      <c r="S569" s="43"/>
      <c r="T569" s="43"/>
      <c r="U569" s="43"/>
      <c r="V569" s="43"/>
      <c r="W569" s="43"/>
      <c r="X569" s="43"/>
      <c r="Y569" s="43"/>
    </row>
    <row r="570" ht="13.2" spans="1:25">
      <c r="A570" s="42">
        <v>569</v>
      </c>
      <c r="B570" s="43" t="s">
        <v>915</v>
      </c>
      <c r="C570" s="43"/>
      <c r="D570" s="43"/>
      <c r="E570" s="43"/>
      <c r="F570" s="43"/>
      <c r="G570" s="43"/>
      <c r="H570" s="43"/>
      <c r="I570" s="43"/>
      <c r="J570" s="43"/>
      <c r="K570" s="43"/>
      <c r="L570" s="43"/>
      <c r="M570" s="43"/>
      <c r="N570" s="43"/>
      <c r="O570" s="43"/>
      <c r="P570" s="43"/>
      <c r="Q570" s="43"/>
      <c r="R570" s="43"/>
      <c r="S570" s="43"/>
      <c r="T570" s="43"/>
      <c r="U570" s="43"/>
      <c r="V570" s="43"/>
      <c r="W570" s="43"/>
      <c r="X570" s="43"/>
      <c r="Y570" s="43"/>
    </row>
    <row r="571" ht="13.2" spans="1:25">
      <c r="A571" s="42">
        <v>570</v>
      </c>
      <c r="B571" s="43" t="s">
        <v>916</v>
      </c>
      <c r="C571" s="43"/>
      <c r="D571" s="43"/>
      <c r="E571" s="43"/>
      <c r="F571" s="43"/>
      <c r="G571" s="43"/>
      <c r="H571" s="43"/>
      <c r="I571" s="43"/>
      <c r="J571" s="43"/>
      <c r="K571" s="43"/>
      <c r="L571" s="43"/>
      <c r="M571" s="43"/>
      <c r="N571" s="43"/>
      <c r="O571" s="43"/>
      <c r="P571" s="43"/>
      <c r="Q571" s="43"/>
      <c r="R571" s="43"/>
      <c r="S571" s="43"/>
      <c r="T571" s="43"/>
      <c r="U571" s="43"/>
      <c r="V571" s="43"/>
      <c r="W571" s="43"/>
      <c r="X571" s="43"/>
      <c r="Y571" s="43"/>
    </row>
    <row r="572" ht="13.2" spans="1:25">
      <c r="A572" s="42">
        <v>571</v>
      </c>
      <c r="B572" s="43" t="s">
        <v>917</v>
      </c>
      <c r="C572" s="43"/>
      <c r="D572" s="43"/>
      <c r="E572" s="43"/>
      <c r="F572" s="43"/>
      <c r="G572" s="43"/>
      <c r="H572" s="43"/>
      <c r="I572" s="43"/>
      <c r="J572" s="43"/>
      <c r="K572" s="43"/>
      <c r="L572" s="43"/>
      <c r="M572" s="43"/>
      <c r="N572" s="43"/>
      <c r="O572" s="43"/>
      <c r="P572" s="43"/>
      <c r="Q572" s="43"/>
      <c r="R572" s="43"/>
      <c r="S572" s="43"/>
      <c r="T572" s="43"/>
      <c r="U572" s="43"/>
      <c r="V572" s="43"/>
      <c r="W572" s="43"/>
      <c r="X572" s="43"/>
      <c r="Y572" s="43"/>
    </row>
    <row r="573" ht="13.2" spans="1:25">
      <c r="A573" s="42">
        <v>572</v>
      </c>
      <c r="B573" s="43" t="s">
        <v>918</v>
      </c>
      <c r="C573" s="43"/>
      <c r="D573" s="43"/>
      <c r="E573" s="43"/>
      <c r="F573" s="43"/>
      <c r="G573" s="43"/>
      <c r="H573" s="43"/>
      <c r="I573" s="43"/>
      <c r="J573" s="43"/>
      <c r="K573" s="43"/>
      <c r="L573" s="43"/>
      <c r="M573" s="43"/>
      <c r="N573" s="43"/>
      <c r="O573" s="43"/>
      <c r="P573" s="43"/>
      <c r="Q573" s="43"/>
      <c r="R573" s="43"/>
      <c r="S573" s="43"/>
      <c r="T573" s="43"/>
      <c r="U573" s="43"/>
      <c r="V573" s="43"/>
      <c r="W573" s="43"/>
      <c r="X573" s="43"/>
      <c r="Y573" s="43"/>
    </row>
    <row r="574" ht="13.2" spans="1:25">
      <c r="A574" s="42">
        <v>573</v>
      </c>
      <c r="B574" s="43" t="s">
        <v>919</v>
      </c>
      <c r="C574" s="43"/>
      <c r="D574" s="43"/>
      <c r="E574" s="43"/>
      <c r="F574" s="43"/>
      <c r="G574" s="43"/>
      <c r="H574" s="43"/>
      <c r="I574" s="43"/>
      <c r="J574" s="43"/>
      <c r="K574" s="43"/>
      <c r="L574" s="43"/>
      <c r="M574" s="43"/>
      <c r="N574" s="43"/>
      <c r="O574" s="43"/>
      <c r="P574" s="43"/>
      <c r="Q574" s="43"/>
      <c r="R574" s="43"/>
      <c r="S574" s="43"/>
      <c r="T574" s="43"/>
      <c r="U574" s="43"/>
      <c r="V574" s="43"/>
      <c r="W574" s="43"/>
      <c r="X574" s="43"/>
      <c r="Y574" s="43"/>
    </row>
    <row r="575" ht="13.2" spans="1:25">
      <c r="A575" s="42">
        <v>574</v>
      </c>
      <c r="B575" s="43" t="s">
        <v>920</v>
      </c>
      <c r="C575" s="43"/>
      <c r="D575" s="43"/>
      <c r="E575" s="43"/>
      <c r="F575" s="43"/>
      <c r="G575" s="43"/>
      <c r="H575" s="43"/>
      <c r="I575" s="43"/>
      <c r="J575" s="43"/>
      <c r="K575" s="43"/>
      <c r="L575" s="43"/>
      <c r="M575" s="43"/>
      <c r="N575" s="43"/>
      <c r="O575" s="43"/>
      <c r="P575" s="43"/>
      <c r="Q575" s="43"/>
      <c r="R575" s="43"/>
      <c r="S575" s="43"/>
      <c r="T575" s="43"/>
      <c r="U575" s="43"/>
      <c r="V575" s="43"/>
      <c r="W575" s="43"/>
      <c r="X575" s="43"/>
      <c r="Y575" s="43"/>
    </row>
    <row r="576" ht="13.2" spans="1:25">
      <c r="A576" s="42">
        <v>575</v>
      </c>
      <c r="B576" s="43" t="s">
        <v>921</v>
      </c>
      <c r="C576" s="43"/>
      <c r="D576" s="43"/>
      <c r="E576" s="43"/>
      <c r="F576" s="43"/>
      <c r="G576" s="43"/>
      <c r="H576" s="43"/>
      <c r="I576" s="43"/>
      <c r="J576" s="43"/>
      <c r="K576" s="43"/>
      <c r="L576" s="43"/>
      <c r="M576" s="43"/>
      <c r="N576" s="43"/>
      <c r="O576" s="43"/>
      <c r="P576" s="43"/>
      <c r="Q576" s="43"/>
      <c r="R576" s="43"/>
      <c r="S576" s="43"/>
      <c r="T576" s="43"/>
      <c r="U576" s="43"/>
      <c r="V576" s="43"/>
      <c r="W576" s="43"/>
      <c r="X576" s="43"/>
      <c r="Y576" s="43"/>
    </row>
    <row r="577" ht="13.2" spans="1:25">
      <c r="A577" s="42">
        <v>576</v>
      </c>
      <c r="B577" s="43" t="s">
        <v>922</v>
      </c>
      <c r="C577" s="43"/>
      <c r="D577" s="43"/>
      <c r="E577" s="43"/>
      <c r="F577" s="43"/>
      <c r="G577" s="43"/>
      <c r="H577" s="43"/>
      <c r="I577" s="43"/>
      <c r="J577" s="43"/>
      <c r="K577" s="43"/>
      <c r="L577" s="43"/>
      <c r="M577" s="43"/>
      <c r="N577" s="43"/>
      <c r="O577" s="43"/>
      <c r="P577" s="43"/>
      <c r="Q577" s="43"/>
      <c r="R577" s="43"/>
      <c r="S577" s="43"/>
      <c r="T577" s="43"/>
      <c r="U577" s="43"/>
      <c r="V577" s="43"/>
      <c r="W577" s="43"/>
      <c r="X577" s="43"/>
      <c r="Y577" s="43"/>
    </row>
    <row r="578" ht="13.2" spans="1:25">
      <c r="A578" s="42">
        <v>577</v>
      </c>
      <c r="B578" s="43" t="s">
        <v>923</v>
      </c>
      <c r="C578" s="43"/>
      <c r="D578" s="43"/>
      <c r="E578" s="43"/>
      <c r="F578" s="43"/>
      <c r="G578" s="43"/>
      <c r="H578" s="43"/>
      <c r="I578" s="43"/>
      <c r="J578" s="43"/>
      <c r="K578" s="43"/>
      <c r="L578" s="43"/>
      <c r="M578" s="43"/>
      <c r="N578" s="43"/>
      <c r="O578" s="43"/>
      <c r="P578" s="43"/>
      <c r="Q578" s="43"/>
      <c r="R578" s="43"/>
      <c r="S578" s="43"/>
      <c r="T578" s="43"/>
      <c r="U578" s="43"/>
      <c r="V578" s="43"/>
      <c r="W578" s="43"/>
      <c r="X578" s="43"/>
      <c r="Y578" s="43"/>
    </row>
    <row r="579" ht="13.2" spans="1:25">
      <c r="A579" s="42">
        <v>578</v>
      </c>
      <c r="B579" s="43" t="s">
        <v>924</v>
      </c>
      <c r="C579" s="43"/>
      <c r="D579" s="43"/>
      <c r="E579" s="43"/>
      <c r="F579" s="43"/>
      <c r="G579" s="43"/>
      <c r="H579" s="43"/>
      <c r="I579" s="43"/>
      <c r="J579" s="43"/>
      <c r="K579" s="43"/>
      <c r="L579" s="43"/>
      <c r="M579" s="43"/>
      <c r="N579" s="43"/>
      <c r="O579" s="43"/>
      <c r="P579" s="43"/>
      <c r="Q579" s="43"/>
      <c r="R579" s="43"/>
      <c r="S579" s="43"/>
      <c r="T579" s="43"/>
      <c r="U579" s="43"/>
      <c r="V579" s="43"/>
      <c r="W579" s="43"/>
      <c r="X579" s="43"/>
      <c r="Y579" s="43"/>
    </row>
    <row r="580" ht="13.2" spans="1:25">
      <c r="A580" s="42">
        <v>579</v>
      </c>
      <c r="B580" s="43" t="s">
        <v>925</v>
      </c>
      <c r="C580" s="43"/>
      <c r="D580" s="43"/>
      <c r="E580" s="43"/>
      <c r="F580" s="43"/>
      <c r="G580" s="43"/>
      <c r="H580" s="43"/>
      <c r="I580" s="43"/>
      <c r="J580" s="43"/>
      <c r="K580" s="43"/>
      <c r="L580" s="43"/>
      <c r="M580" s="43"/>
      <c r="N580" s="43"/>
      <c r="O580" s="43"/>
      <c r="P580" s="43"/>
      <c r="Q580" s="43"/>
      <c r="R580" s="43"/>
      <c r="S580" s="43"/>
      <c r="T580" s="43"/>
      <c r="U580" s="43"/>
      <c r="V580" s="43"/>
      <c r="W580" s="43"/>
      <c r="X580" s="43"/>
      <c r="Y580" s="43"/>
    </row>
    <row r="581" ht="13.2" spans="1:25">
      <c r="A581" s="42">
        <v>580</v>
      </c>
      <c r="B581" s="43" t="s">
        <v>926</v>
      </c>
      <c r="C581" s="43"/>
      <c r="D581" s="43"/>
      <c r="E581" s="43"/>
      <c r="F581" s="43"/>
      <c r="G581" s="43"/>
      <c r="H581" s="43"/>
      <c r="I581" s="43"/>
      <c r="J581" s="43"/>
      <c r="K581" s="43"/>
      <c r="L581" s="43"/>
      <c r="M581" s="43"/>
      <c r="N581" s="43"/>
      <c r="O581" s="43"/>
      <c r="P581" s="43"/>
      <c r="Q581" s="43"/>
      <c r="R581" s="43"/>
      <c r="S581" s="43"/>
      <c r="T581" s="43"/>
      <c r="U581" s="43"/>
      <c r="V581" s="43"/>
      <c r="W581" s="43"/>
      <c r="X581" s="43"/>
      <c r="Y581" s="43"/>
    </row>
    <row r="582" ht="13.2" spans="1:25">
      <c r="A582" s="42">
        <v>581</v>
      </c>
      <c r="B582" s="43" t="s">
        <v>927</v>
      </c>
      <c r="C582" s="43"/>
      <c r="D582" s="43"/>
      <c r="E582" s="43"/>
      <c r="F582" s="43"/>
      <c r="G582" s="43"/>
      <c r="H582" s="43"/>
      <c r="I582" s="43"/>
      <c r="J582" s="43"/>
      <c r="K582" s="43"/>
      <c r="L582" s="43"/>
      <c r="M582" s="43"/>
      <c r="N582" s="43"/>
      <c r="O582" s="43"/>
      <c r="P582" s="43"/>
      <c r="Q582" s="43"/>
      <c r="R582" s="43"/>
      <c r="S582" s="43"/>
      <c r="T582" s="43"/>
      <c r="U582" s="43"/>
      <c r="V582" s="43"/>
      <c r="W582" s="43"/>
      <c r="X582" s="43"/>
      <c r="Y582" s="43"/>
    </row>
    <row r="583" ht="13.2" spans="1:25">
      <c r="A583" s="42">
        <v>582</v>
      </c>
      <c r="B583" s="43" t="s">
        <v>928</v>
      </c>
      <c r="C583" s="43"/>
      <c r="D583" s="43"/>
      <c r="E583" s="43"/>
      <c r="F583" s="43"/>
      <c r="G583" s="43"/>
      <c r="H583" s="43"/>
      <c r="I583" s="43"/>
      <c r="J583" s="43"/>
      <c r="K583" s="43"/>
      <c r="L583" s="43"/>
      <c r="M583" s="43"/>
      <c r="N583" s="43"/>
      <c r="O583" s="43"/>
      <c r="P583" s="43"/>
      <c r="Q583" s="43"/>
      <c r="R583" s="43"/>
      <c r="S583" s="43"/>
      <c r="T583" s="43"/>
      <c r="U583" s="43"/>
      <c r="V583" s="43"/>
      <c r="W583" s="43"/>
      <c r="X583" s="43"/>
      <c r="Y583" s="43"/>
    </row>
    <row r="584" ht="13.2" spans="1:25">
      <c r="A584" s="42">
        <v>583</v>
      </c>
      <c r="B584" s="43" t="s">
        <v>929</v>
      </c>
      <c r="C584" s="43"/>
      <c r="D584" s="43"/>
      <c r="E584" s="43"/>
      <c r="F584" s="43"/>
      <c r="G584" s="43"/>
      <c r="H584" s="43"/>
      <c r="I584" s="43"/>
      <c r="J584" s="43"/>
      <c r="K584" s="43"/>
      <c r="L584" s="43"/>
      <c r="M584" s="43"/>
      <c r="N584" s="43"/>
      <c r="O584" s="43"/>
      <c r="P584" s="43"/>
      <c r="Q584" s="43"/>
      <c r="R584" s="43"/>
      <c r="S584" s="43"/>
      <c r="T584" s="43"/>
      <c r="U584" s="43"/>
      <c r="V584" s="43"/>
      <c r="W584" s="43"/>
      <c r="X584" s="43"/>
      <c r="Y584" s="43"/>
    </row>
    <row r="585" ht="13.2" spans="1:25">
      <c r="A585" s="42">
        <v>584</v>
      </c>
      <c r="B585" s="43" t="s">
        <v>930</v>
      </c>
      <c r="C585" s="43"/>
      <c r="D585" s="43"/>
      <c r="E585" s="43"/>
      <c r="F585" s="43"/>
      <c r="G585" s="43"/>
      <c r="H585" s="43"/>
      <c r="I585" s="43"/>
      <c r="J585" s="43"/>
      <c r="K585" s="43"/>
      <c r="L585" s="43"/>
      <c r="M585" s="43"/>
      <c r="N585" s="43"/>
      <c r="O585" s="43"/>
      <c r="P585" s="43"/>
      <c r="Q585" s="43"/>
      <c r="R585" s="43"/>
      <c r="S585" s="43"/>
      <c r="T585" s="43"/>
      <c r="U585" s="43"/>
      <c r="V585" s="43"/>
      <c r="W585" s="43"/>
      <c r="X585" s="43"/>
      <c r="Y585" s="43"/>
    </row>
    <row r="586" ht="13.2" spans="1:25">
      <c r="A586" s="42">
        <v>585</v>
      </c>
      <c r="B586" s="43" t="s">
        <v>159</v>
      </c>
      <c r="C586" s="43"/>
      <c r="D586" s="43"/>
      <c r="E586" s="43"/>
      <c r="F586" s="43"/>
      <c r="G586" s="43"/>
      <c r="H586" s="43"/>
      <c r="I586" s="43"/>
      <c r="J586" s="43"/>
      <c r="K586" s="43"/>
      <c r="L586" s="43"/>
      <c r="M586" s="43"/>
      <c r="N586" s="43"/>
      <c r="O586" s="43"/>
      <c r="P586" s="43"/>
      <c r="Q586" s="43"/>
      <c r="R586" s="43"/>
      <c r="S586" s="43"/>
      <c r="T586" s="43"/>
      <c r="U586" s="43"/>
      <c r="V586" s="43"/>
      <c r="W586" s="43"/>
      <c r="X586" s="43"/>
      <c r="Y586" s="43"/>
    </row>
    <row r="587" ht="13.2" spans="1:25">
      <c r="A587" s="42">
        <v>586</v>
      </c>
      <c r="B587" s="43" t="s">
        <v>931</v>
      </c>
      <c r="C587" s="43"/>
      <c r="D587" s="43"/>
      <c r="E587" s="43"/>
      <c r="F587" s="43"/>
      <c r="G587" s="43"/>
      <c r="H587" s="43"/>
      <c r="I587" s="43"/>
      <c r="J587" s="43"/>
      <c r="K587" s="43"/>
      <c r="L587" s="43"/>
      <c r="M587" s="43"/>
      <c r="N587" s="43"/>
      <c r="O587" s="43"/>
      <c r="P587" s="43"/>
      <c r="Q587" s="43"/>
      <c r="R587" s="43"/>
      <c r="S587" s="43"/>
      <c r="T587" s="43"/>
      <c r="U587" s="43"/>
      <c r="V587" s="43"/>
      <c r="W587" s="43"/>
      <c r="X587" s="43"/>
      <c r="Y587" s="43"/>
    </row>
    <row r="588" ht="13.2" spans="1:25">
      <c r="A588" s="42">
        <v>587</v>
      </c>
      <c r="B588" s="43" t="s">
        <v>932</v>
      </c>
      <c r="C588" s="43"/>
      <c r="D588" s="43"/>
      <c r="E588" s="43"/>
      <c r="F588" s="43"/>
      <c r="G588" s="43"/>
      <c r="H588" s="43"/>
      <c r="I588" s="43"/>
      <c r="J588" s="43"/>
      <c r="K588" s="43"/>
      <c r="L588" s="43"/>
      <c r="M588" s="43"/>
      <c r="N588" s="43"/>
      <c r="O588" s="43"/>
      <c r="P588" s="43"/>
      <c r="Q588" s="43"/>
      <c r="R588" s="43"/>
      <c r="S588" s="43"/>
      <c r="T588" s="43"/>
      <c r="U588" s="43"/>
      <c r="V588" s="43"/>
      <c r="W588" s="43"/>
      <c r="X588" s="43"/>
      <c r="Y588" s="43"/>
    </row>
    <row r="589" ht="13.2" spans="1:25">
      <c r="A589" s="42">
        <v>588</v>
      </c>
      <c r="B589" s="43" t="s">
        <v>933</v>
      </c>
      <c r="C589" s="43"/>
      <c r="D589" s="43"/>
      <c r="E589" s="43"/>
      <c r="F589" s="43"/>
      <c r="G589" s="43"/>
      <c r="H589" s="43"/>
      <c r="I589" s="43"/>
      <c r="J589" s="43"/>
      <c r="K589" s="43"/>
      <c r="L589" s="43"/>
      <c r="M589" s="43"/>
      <c r="N589" s="43"/>
      <c r="O589" s="43"/>
      <c r="P589" s="43"/>
      <c r="Q589" s="43"/>
      <c r="R589" s="43"/>
      <c r="S589" s="43"/>
      <c r="T589" s="43"/>
      <c r="U589" s="43"/>
      <c r="V589" s="43"/>
      <c r="W589" s="43"/>
      <c r="X589" s="43"/>
      <c r="Y589" s="43"/>
    </row>
    <row r="590" ht="13.2" spans="1:25">
      <c r="A590" s="42">
        <v>589</v>
      </c>
      <c r="B590" s="43" t="s">
        <v>934</v>
      </c>
      <c r="C590" s="43"/>
      <c r="D590" s="43"/>
      <c r="E590" s="43"/>
      <c r="F590" s="43"/>
      <c r="G590" s="43"/>
      <c r="H590" s="43"/>
      <c r="I590" s="43"/>
      <c r="J590" s="43"/>
      <c r="K590" s="43"/>
      <c r="L590" s="43"/>
      <c r="M590" s="43"/>
      <c r="N590" s="43"/>
      <c r="O590" s="43"/>
      <c r="P590" s="43"/>
      <c r="Q590" s="43"/>
      <c r="R590" s="43"/>
      <c r="S590" s="43"/>
      <c r="T590" s="43"/>
      <c r="U590" s="43"/>
      <c r="V590" s="43"/>
      <c r="W590" s="43"/>
      <c r="X590" s="43"/>
      <c r="Y590" s="43"/>
    </row>
    <row r="591" ht="13.2" spans="1:25">
      <c r="A591" s="42">
        <v>590</v>
      </c>
      <c r="B591" s="43" t="s">
        <v>935</v>
      </c>
      <c r="C591" s="43"/>
      <c r="D591" s="43"/>
      <c r="E591" s="43"/>
      <c r="F591" s="43"/>
      <c r="G591" s="43"/>
      <c r="H591" s="43"/>
      <c r="I591" s="43"/>
      <c r="J591" s="43"/>
      <c r="K591" s="43"/>
      <c r="L591" s="43"/>
      <c r="M591" s="43"/>
      <c r="N591" s="43"/>
      <c r="O591" s="43"/>
      <c r="P591" s="43"/>
      <c r="Q591" s="43"/>
      <c r="R591" s="43"/>
      <c r="S591" s="43"/>
      <c r="T591" s="43"/>
      <c r="U591" s="43"/>
      <c r="V591" s="43"/>
      <c r="W591" s="43"/>
      <c r="X591" s="43"/>
      <c r="Y591" s="43"/>
    </row>
    <row r="592" ht="13.2" spans="1:25">
      <c r="A592" s="42">
        <v>591</v>
      </c>
      <c r="B592" s="43" t="s">
        <v>936</v>
      </c>
      <c r="C592" s="43"/>
      <c r="D592" s="43"/>
      <c r="E592" s="43"/>
      <c r="F592" s="43"/>
      <c r="G592" s="43"/>
      <c r="H592" s="43"/>
      <c r="I592" s="43"/>
      <c r="J592" s="43"/>
      <c r="K592" s="43"/>
      <c r="L592" s="43"/>
      <c r="M592" s="43"/>
      <c r="N592" s="43"/>
      <c r="O592" s="43"/>
      <c r="P592" s="43"/>
      <c r="Q592" s="43"/>
      <c r="R592" s="43"/>
      <c r="S592" s="43"/>
      <c r="T592" s="43"/>
      <c r="U592" s="43"/>
      <c r="V592" s="43"/>
      <c r="W592" s="43"/>
      <c r="X592" s="43"/>
      <c r="Y592" s="43"/>
    </row>
    <row r="593" ht="13.2" spans="1:25">
      <c r="A593" s="42">
        <v>592</v>
      </c>
      <c r="B593" s="43" t="s">
        <v>937</v>
      </c>
      <c r="C593" s="43"/>
      <c r="D593" s="43"/>
      <c r="E593" s="43"/>
      <c r="F593" s="43"/>
      <c r="G593" s="43"/>
      <c r="H593" s="43"/>
      <c r="I593" s="43"/>
      <c r="J593" s="43"/>
      <c r="K593" s="43"/>
      <c r="L593" s="43"/>
      <c r="M593" s="43"/>
      <c r="N593" s="43"/>
      <c r="O593" s="43"/>
      <c r="P593" s="43"/>
      <c r="Q593" s="43"/>
      <c r="R593" s="43"/>
      <c r="S593" s="43"/>
      <c r="T593" s="43"/>
      <c r="U593" s="43"/>
      <c r="V593" s="43"/>
      <c r="W593" s="43"/>
      <c r="X593" s="43"/>
      <c r="Y593" s="43"/>
    </row>
    <row r="594" ht="13.2" spans="1:25">
      <c r="A594" s="42">
        <v>593</v>
      </c>
      <c r="B594" s="43" t="s">
        <v>938</v>
      </c>
      <c r="C594" s="43"/>
      <c r="D594" s="43"/>
      <c r="E594" s="43"/>
      <c r="F594" s="43"/>
      <c r="G594" s="43"/>
      <c r="H594" s="43"/>
      <c r="I594" s="43"/>
      <c r="J594" s="43"/>
      <c r="K594" s="43"/>
      <c r="L594" s="43"/>
      <c r="M594" s="43"/>
      <c r="N594" s="43"/>
      <c r="O594" s="43"/>
      <c r="P594" s="43"/>
      <c r="Q594" s="43"/>
      <c r="R594" s="43"/>
      <c r="S594" s="43"/>
      <c r="T594" s="43"/>
      <c r="U594" s="43"/>
      <c r="V594" s="43"/>
      <c r="W594" s="43"/>
      <c r="X594" s="43"/>
      <c r="Y594" s="43"/>
    </row>
    <row r="595" ht="13.2" spans="1:25">
      <c r="A595" s="42">
        <v>594</v>
      </c>
      <c r="B595" s="43" t="s">
        <v>939</v>
      </c>
      <c r="C595" s="43"/>
      <c r="D595" s="43"/>
      <c r="E595" s="43"/>
      <c r="F595" s="43"/>
      <c r="G595" s="43"/>
      <c r="H595" s="43"/>
      <c r="I595" s="43"/>
      <c r="J595" s="43"/>
      <c r="K595" s="43"/>
      <c r="L595" s="43"/>
      <c r="M595" s="43"/>
      <c r="N595" s="43"/>
      <c r="O595" s="43"/>
      <c r="P595" s="43"/>
      <c r="Q595" s="43"/>
      <c r="R595" s="43"/>
      <c r="S595" s="43"/>
      <c r="T595" s="43"/>
      <c r="U595" s="43"/>
      <c r="V595" s="43"/>
      <c r="W595" s="43"/>
      <c r="X595" s="43"/>
      <c r="Y595" s="43"/>
    </row>
    <row r="596" ht="13.2" spans="1:25">
      <c r="A596" s="42">
        <v>595</v>
      </c>
      <c r="B596" s="43" t="s">
        <v>940</v>
      </c>
      <c r="C596" s="43"/>
      <c r="D596" s="43"/>
      <c r="E596" s="43"/>
      <c r="F596" s="43"/>
      <c r="G596" s="43"/>
      <c r="H596" s="43"/>
      <c r="I596" s="43"/>
      <c r="J596" s="43"/>
      <c r="K596" s="43"/>
      <c r="L596" s="43"/>
      <c r="M596" s="43"/>
      <c r="N596" s="43"/>
      <c r="O596" s="43"/>
      <c r="P596" s="43"/>
      <c r="Q596" s="43"/>
      <c r="R596" s="43"/>
      <c r="S596" s="43"/>
      <c r="T596" s="43"/>
      <c r="U596" s="43"/>
      <c r="V596" s="43"/>
      <c r="W596" s="43"/>
      <c r="X596" s="43"/>
      <c r="Y596" s="43"/>
    </row>
    <row r="597" ht="13.2" spans="1:25">
      <c r="A597" s="42">
        <v>596</v>
      </c>
      <c r="B597" s="43" t="s">
        <v>941</v>
      </c>
      <c r="C597" s="43"/>
      <c r="D597" s="43"/>
      <c r="E597" s="43"/>
      <c r="F597" s="43"/>
      <c r="G597" s="43"/>
      <c r="H597" s="43"/>
      <c r="I597" s="43"/>
      <c r="J597" s="43"/>
      <c r="K597" s="43"/>
      <c r="L597" s="43"/>
      <c r="M597" s="43"/>
      <c r="N597" s="43"/>
      <c r="O597" s="43"/>
      <c r="P597" s="43"/>
      <c r="Q597" s="43"/>
      <c r="R597" s="43"/>
      <c r="S597" s="43"/>
      <c r="T597" s="43"/>
      <c r="U597" s="43"/>
      <c r="V597" s="43"/>
      <c r="W597" s="43"/>
      <c r="X597" s="43"/>
      <c r="Y597" s="43"/>
    </row>
    <row r="598" ht="13.2" spans="1:25">
      <c r="A598" s="42">
        <v>597</v>
      </c>
      <c r="B598" s="43" t="s">
        <v>942</v>
      </c>
      <c r="C598" s="43"/>
      <c r="D598" s="43"/>
      <c r="E598" s="43"/>
      <c r="F598" s="43"/>
      <c r="G598" s="43"/>
      <c r="H598" s="43"/>
      <c r="I598" s="43"/>
      <c r="J598" s="43"/>
      <c r="K598" s="43"/>
      <c r="L598" s="43"/>
      <c r="M598" s="43"/>
      <c r="N598" s="43"/>
      <c r="O598" s="43"/>
      <c r="P598" s="43"/>
      <c r="Q598" s="43"/>
      <c r="R598" s="43"/>
      <c r="S598" s="43"/>
      <c r="T598" s="43"/>
      <c r="U598" s="43"/>
      <c r="V598" s="43"/>
      <c r="W598" s="43"/>
      <c r="X598" s="43"/>
      <c r="Y598" s="43"/>
    </row>
    <row r="599" ht="13.2" spans="1:25">
      <c r="A599" s="42">
        <v>598</v>
      </c>
      <c r="B599" s="43" t="s">
        <v>943</v>
      </c>
      <c r="C599" s="43"/>
      <c r="D599" s="43"/>
      <c r="E599" s="43"/>
      <c r="F599" s="43"/>
      <c r="G599" s="43"/>
      <c r="H599" s="43"/>
      <c r="I599" s="43"/>
      <c r="J599" s="43"/>
      <c r="K599" s="43"/>
      <c r="L599" s="43"/>
      <c r="M599" s="43"/>
      <c r="N599" s="43"/>
      <c r="O599" s="43"/>
      <c r="P599" s="43"/>
      <c r="Q599" s="43"/>
      <c r="R599" s="43"/>
      <c r="S599" s="43"/>
      <c r="T599" s="43"/>
      <c r="U599" s="43"/>
      <c r="V599" s="43"/>
      <c r="W599" s="43"/>
      <c r="X599" s="43"/>
      <c r="Y599" s="43"/>
    </row>
    <row r="600" ht="13.2" spans="1:25">
      <c r="A600" s="42">
        <v>599</v>
      </c>
      <c r="B600" s="43" t="s">
        <v>944</v>
      </c>
      <c r="C600" s="43"/>
      <c r="D600" s="43"/>
      <c r="E600" s="43"/>
      <c r="F600" s="43"/>
      <c r="G600" s="43"/>
      <c r="H600" s="43"/>
      <c r="I600" s="43"/>
      <c r="J600" s="43"/>
      <c r="K600" s="43"/>
      <c r="L600" s="43"/>
      <c r="M600" s="43"/>
      <c r="N600" s="43"/>
      <c r="O600" s="43"/>
      <c r="P600" s="43"/>
      <c r="Q600" s="43"/>
      <c r="R600" s="43"/>
      <c r="S600" s="43"/>
      <c r="T600" s="43"/>
      <c r="U600" s="43"/>
      <c r="V600" s="43"/>
      <c r="W600" s="43"/>
      <c r="X600" s="43"/>
      <c r="Y600" s="43"/>
    </row>
    <row r="601" ht="13.2" spans="1:25">
      <c r="A601" s="42">
        <v>600</v>
      </c>
      <c r="B601" s="43" t="s">
        <v>945</v>
      </c>
      <c r="C601" s="43"/>
      <c r="D601" s="43"/>
      <c r="E601" s="43"/>
      <c r="F601" s="43"/>
      <c r="G601" s="43"/>
      <c r="H601" s="43"/>
      <c r="I601" s="43"/>
      <c r="J601" s="43"/>
      <c r="K601" s="43"/>
      <c r="L601" s="43"/>
      <c r="M601" s="43"/>
      <c r="N601" s="43"/>
      <c r="O601" s="43"/>
      <c r="P601" s="43"/>
      <c r="Q601" s="43"/>
      <c r="R601" s="43"/>
      <c r="S601" s="43"/>
      <c r="T601" s="43"/>
      <c r="U601" s="43"/>
      <c r="V601" s="43"/>
      <c r="W601" s="43"/>
      <c r="X601" s="43"/>
      <c r="Y601" s="43"/>
    </row>
    <row r="602" ht="13.2" spans="1:25">
      <c r="A602" s="42">
        <v>601</v>
      </c>
      <c r="B602" s="43" t="s">
        <v>946</v>
      </c>
      <c r="C602" s="43"/>
      <c r="D602" s="43"/>
      <c r="E602" s="43"/>
      <c r="F602" s="43"/>
      <c r="G602" s="43"/>
      <c r="H602" s="43"/>
      <c r="I602" s="43"/>
      <c r="J602" s="43"/>
      <c r="K602" s="43"/>
      <c r="L602" s="43"/>
      <c r="M602" s="43"/>
      <c r="N602" s="43"/>
      <c r="O602" s="43"/>
      <c r="P602" s="43"/>
      <c r="Q602" s="43"/>
      <c r="R602" s="43"/>
      <c r="S602" s="43"/>
      <c r="T602" s="43"/>
      <c r="U602" s="43"/>
      <c r="V602" s="43"/>
      <c r="W602" s="43"/>
      <c r="X602" s="43"/>
      <c r="Y602" s="43"/>
    </row>
    <row r="603" ht="13.2" spans="1:25">
      <c r="A603" s="42">
        <v>602</v>
      </c>
      <c r="B603" s="43" t="s">
        <v>947</v>
      </c>
      <c r="C603" s="43"/>
      <c r="D603" s="43"/>
      <c r="E603" s="43"/>
      <c r="F603" s="43"/>
      <c r="G603" s="43"/>
      <c r="H603" s="43"/>
      <c r="I603" s="43"/>
      <c r="J603" s="43"/>
      <c r="K603" s="43"/>
      <c r="L603" s="43"/>
      <c r="M603" s="43"/>
      <c r="N603" s="43"/>
      <c r="O603" s="43"/>
      <c r="P603" s="43"/>
      <c r="Q603" s="43"/>
      <c r="R603" s="43"/>
      <c r="S603" s="43"/>
      <c r="T603" s="43"/>
      <c r="U603" s="43"/>
      <c r="V603" s="43"/>
      <c r="W603" s="43"/>
      <c r="X603" s="43"/>
      <c r="Y603" s="43"/>
    </row>
    <row r="604" ht="13.2" spans="1:25">
      <c r="A604" s="42">
        <v>603</v>
      </c>
      <c r="B604" s="43" t="s">
        <v>948</v>
      </c>
      <c r="C604" s="43"/>
      <c r="D604" s="43"/>
      <c r="E604" s="43"/>
      <c r="F604" s="43"/>
      <c r="G604" s="43"/>
      <c r="H604" s="43"/>
      <c r="I604" s="43"/>
      <c r="J604" s="43"/>
      <c r="K604" s="43"/>
      <c r="L604" s="43"/>
      <c r="M604" s="43"/>
      <c r="N604" s="43"/>
      <c r="O604" s="43"/>
      <c r="P604" s="43"/>
      <c r="Q604" s="43"/>
      <c r="R604" s="43"/>
      <c r="S604" s="43"/>
      <c r="T604" s="43"/>
      <c r="U604" s="43"/>
      <c r="V604" s="43"/>
      <c r="W604" s="43"/>
      <c r="X604" s="43"/>
      <c r="Y604" s="43"/>
    </row>
    <row r="605" ht="13.2" spans="1:25">
      <c r="A605" s="42">
        <v>604</v>
      </c>
      <c r="B605" s="43" t="s">
        <v>949</v>
      </c>
      <c r="C605" s="43"/>
      <c r="D605" s="43"/>
      <c r="E605" s="43"/>
      <c r="F605" s="43"/>
      <c r="G605" s="43"/>
      <c r="H605" s="43"/>
      <c r="I605" s="43"/>
      <c r="J605" s="43"/>
      <c r="K605" s="43"/>
      <c r="L605" s="43"/>
      <c r="M605" s="43"/>
      <c r="N605" s="43"/>
      <c r="O605" s="43"/>
      <c r="P605" s="43"/>
      <c r="Q605" s="43"/>
      <c r="R605" s="43"/>
      <c r="S605" s="43"/>
      <c r="T605" s="43"/>
      <c r="U605" s="43"/>
      <c r="V605" s="43"/>
      <c r="W605" s="43"/>
      <c r="X605" s="43"/>
      <c r="Y605" s="43"/>
    </row>
    <row r="606" ht="13.2" spans="1:25">
      <c r="A606" s="42">
        <v>605</v>
      </c>
      <c r="B606" s="43" t="s">
        <v>950</v>
      </c>
      <c r="C606" s="43"/>
      <c r="D606" s="43"/>
      <c r="E606" s="43"/>
      <c r="F606" s="43"/>
      <c r="G606" s="43"/>
      <c r="H606" s="43"/>
      <c r="I606" s="43"/>
      <c r="J606" s="43"/>
      <c r="K606" s="43"/>
      <c r="L606" s="43"/>
      <c r="M606" s="43"/>
      <c r="N606" s="43"/>
      <c r="O606" s="43"/>
      <c r="P606" s="43"/>
      <c r="Q606" s="43"/>
      <c r="R606" s="43"/>
      <c r="S606" s="43"/>
      <c r="T606" s="43"/>
      <c r="U606" s="43"/>
      <c r="V606" s="43"/>
      <c r="W606" s="43"/>
      <c r="X606" s="43"/>
      <c r="Y606" s="43"/>
    </row>
    <row r="607" ht="13.2" spans="1:25">
      <c r="A607" s="42">
        <v>606</v>
      </c>
      <c r="B607" s="43" t="s">
        <v>951</v>
      </c>
      <c r="C607" s="43"/>
      <c r="D607" s="43"/>
      <c r="E607" s="43"/>
      <c r="F607" s="43"/>
      <c r="G607" s="43"/>
      <c r="H607" s="43"/>
      <c r="I607" s="43"/>
      <c r="J607" s="43"/>
      <c r="K607" s="43"/>
      <c r="L607" s="43"/>
      <c r="M607" s="43"/>
      <c r="N607" s="43"/>
      <c r="O607" s="43"/>
      <c r="P607" s="43"/>
      <c r="Q607" s="43"/>
      <c r="R607" s="43"/>
      <c r="S607" s="43"/>
      <c r="T607" s="43"/>
      <c r="U607" s="43"/>
      <c r="V607" s="43"/>
      <c r="W607" s="43"/>
      <c r="X607" s="43"/>
      <c r="Y607" s="43"/>
    </row>
    <row r="608" ht="13.2" spans="1:25">
      <c r="A608" s="42">
        <v>607</v>
      </c>
      <c r="B608" s="43" t="s">
        <v>952</v>
      </c>
      <c r="C608" s="43"/>
      <c r="D608" s="43"/>
      <c r="E608" s="43"/>
      <c r="F608" s="43"/>
      <c r="G608" s="43"/>
      <c r="H608" s="43"/>
      <c r="I608" s="43"/>
      <c r="J608" s="43"/>
      <c r="K608" s="43"/>
      <c r="L608" s="43"/>
      <c r="M608" s="43"/>
      <c r="N608" s="43"/>
      <c r="O608" s="43"/>
      <c r="P608" s="43"/>
      <c r="Q608" s="43"/>
      <c r="R608" s="43"/>
      <c r="S608" s="43"/>
      <c r="T608" s="43"/>
      <c r="U608" s="43"/>
      <c r="V608" s="43"/>
      <c r="W608" s="43"/>
      <c r="X608" s="43"/>
      <c r="Y608" s="43"/>
    </row>
    <row r="609" ht="13.2" spans="1:25">
      <c r="A609" s="42">
        <v>608</v>
      </c>
      <c r="B609" s="43" t="s">
        <v>953</v>
      </c>
      <c r="C609" s="43"/>
      <c r="D609" s="43"/>
      <c r="E609" s="43"/>
      <c r="F609" s="43"/>
      <c r="G609" s="43"/>
      <c r="H609" s="43"/>
      <c r="I609" s="43"/>
      <c r="J609" s="43"/>
      <c r="K609" s="43"/>
      <c r="L609" s="43"/>
      <c r="M609" s="43"/>
      <c r="N609" s="43"/>
      <c r="O609" s="43"/>
      <c r="P609" s="43"/>
      <c r="Q609" s="43"/>
      <c r="R609" s="43"/>
      <c r="S609" s="43"/>
      <c r="T609" s="43"/>
      <c r="U609" s="43"/>
      <c r="V609" s="43"/>
      <c r="W609" s="43"/>
      <c r="X609" s="43"/>
      <c r="Y609" s="43"/>
    </row>
    <row r="610" ht="13.2" spans="1:25">
      <c r="A610" s="42">
        <v>609</v>
      </c>
      <c r="B610" s="43" t="s">
        <v>954</v>
      </c>
      <c r="C610" s="43"/>
      <c r="D610" s="43"/>
      <c r="E610" s="43"/>
      <c r="F610" s="43"/>
      <c r="G610" s="43"/>
      <c r="H610" s="43"/>
      <c r="I610" s="43"/>
      <c r="J610" s="43"/>
      <c r="K610" s="43"/>
      <c r="L610" s="43"/>
      <c r="M610" s="43"/>
      <c r="N610" s="43"/>
      <c r="O610" s="43"/>
      <c r="P610" s="43"/>
      <c r="Q610" s="43"/>
      <c r="R610" s="43"/>
      <c r="S610" s="43"/>
      <c r="T610" s="43"/>
      <c r="U610" s="43"/>
      <c r="V610" s="43"/>
      <c r="W610" s="43"/>
      <c r="X610" s="43"/>
      <c r="Y610" s="43"/>
    </row>
    <row r="611" ht="13.2" spans="1:25">
      <c r="A611" s="42">
        <v>610</v>
      </c>
      <c r="B611" s="43" t="s">
        <v>955</v>
      </c>
      <c r="C611" s="43"/>
      <c r="D611" s="43"/>
      <c r="E611" s="43"/>
      <c r="F611" s="43"/>
      <c r="G611" s="43"/>
      <c r="H611" s="43"/>
      <c r="I611" s="43"/>
      <c r="J611" s="43"/>
      <c r="K611" s="43"/>
      <c r="L611" s="43"/>
      <c r="M611" s="43"/>
      <c r="N611" s="43"/>
      <c r="O611" s="43"/>
      <c r="P611" s="43"/>
      <c r="Q611" s="43"/>
      <c r="R611" s="43"/>
      <c r="S611" s="43"/>
      <c r="T611" s="43"/>
      <c r="U611" s="43"/>
      <c r="V611" s="43"/>
      <c r="W611" s="43"/>
      <c r="X611" s="43"/>
      <c r="Y611" s="43"/>
    </row>
    <row r="612" ht="13.2" spans="1:25">
      <c r="A612" s="42">
        <v>611</v>
      </c>
      <c r="B612" s="43" t="s">
        <v>956</v>
      </c>
      <c r="C612" s="43"/>
      <c r="D612" s="43"/>
      <c r="E612" s="43"/>
      <c r="F612" s="43"/>
      <c r="G612" s="43"/>
      <c r="H612" s="43"/>
      <c r="I612" s="43"/>
      <c r="J612" s="43"/>
      <c r="K612" s="43"/>
      <c r="L612" s="43"/>
      <c r="M612" s="43"/>
      <c r="N612" s="43"/>
      <c r="O612" s="43"/>
      <c r="P612" s="43"/>
      <c r="Q612" s="43"/>
      <c r="R612" s="43"/>
      <c r="S612" s="43"/>
      <c r="T612" s="43"/>
      <c r="U612" s="43"/>
      <c r="V612" s="43"/>
      <c r="W612" s="43"/>
      <c r="X612" s="43"/>
      <c r="Y612" s="43"/>
    </row>
    <row r="613" ht="13.2" spans="1:25">
      <c r="A613" s="42">
        <v>612</v>
      </c>
      <c r="B613" s="43" t="s">
        <v>957</v>
      </c>
      <c r="C613" s="43"/>
      <c r="D613" s="43"/>
      <c r="E613" s="43"/>
      <c r="F613" s="43"/>
      <c r="G613" s="43"/>
      <c r="H613" s="43"/>
      <c r="I613" s="43"/>
      <c r="J613" s="43"/>
      <c r="K613" s="43"/>
      <c r="L613" s="43"/>
      <c r="M613" s="43"/>
      <c r="N613" s="43"/>
      <c r="O613" s="43"/>
      <c r="P613" s="43"/>
      <c r="Q613" s="43"/>
      <c r="R613" s="43"/>
      <c r="S613" s="43"/>
      <c r="T613" s="43"/>
      <c r="U613" s="43"/>
      <c r="V613" s="43"/>
      <c r="W613" s="43"/>
      <c r="X613" s="43"/>
      <c r="Y613" s="43"/>
    </row>
    <row r="614" ht="13.2" spans="1:25">
      <c r="A614" s="42">
        <v>613</v>
      </c>
      <c r="B614" s="43" t="s">
        <v>958</v>
      </c>
      <c r="C614" s="43"/>
      <c r="D614" s="43"/>
      <c r="E614" s="43"/>
      <c r="F614" s="43"/>
      <c r="G614" s="43"/>
      <c r="H614" s="43"/>
      <c r="I614" s="43"/>
      <c r="J614" s="43"/>
      <c r="K614" s="43"/>
      <c r="L614" s="43"/>
      <c r="M614" s="43"/>
      <c r="N614" s="43"/>
      <c r="O614" s="43"/>
      <c r="P614" s="43"/>
      <c r="Q614" s="43"/>
      <c r="R614" s="43"/>
      <c r="S614" s="43"/>
      <c r="T614" s="43"/>
      <c r="U614" s="43"/>
      <c r="V614" s="43"/>
      <c r="W614" s="43"/>
      <c r="X614" s="43"/>
      <c r="Y614" s="43"/>
    </row>
    <row r="615" ht="13.2" spans="1:25">
      <c r="A615" s="42">
        <v>614</v>
      </c>
      <c r="B615" s="43" t="s">
        <v>959</v>
      </c>
      <c r="C615" s="43"/>
      <c r="D615" s="43"/>
      <c r="E615" s="43"/>
      <c r="F615" s="43"/>
      <c r="G615" s="43"/>
      <c r="H615" s="43"/>
      <c r="I615" s="43"/>
      <c r="J615" s="43"/>
      <c r="K615" s="43"/>
      <c r="L615" s="43"/>
      <c r="M615" s="43"/>
      <c r="N615" s="43"/>
      <c r="O615" s="43"/>
      <c r="P615" s="43"/>
      <c r="Q615" s="43"/>
      <c r="R615" s="43"/>
      <c r="S615" s="43"/>
      <c r="T615" s="43"/>
      <c r="U615" s="43"/>
      <c r="V615" s="43"/>
      <c r="W615" s="43"/>
      <c r="X615" s="43"/>
      <c r="Y615" s="43"/>
    </row>
    <row r="616" ht="13.2" spans="1:25">
      <c r="A616" s="42">
        <v>615</v>
      </c>
      <c r="B616" s="43" t="s">
        <v>960</v>
      </c>
      <c r="C616" s="43"/>
      <c r="D616" s="43"/>
      <c r="E616" s="43"/>
      <c r="F616" s="43"/>
      <c r="G616" s="43"/>
      <c r="H616" s="43"/>
      <c r="I616" s="43"/>
      <c r="J616" s="43"/>
      <c r="K616" s="43"/>
      <c r="L616" s="43"/>
      <c r="M616" s="43"/>
      <c r="N616" s="43"/>
      <c r="O616" s="43"/>
      <c r="P616" s="43"/>
      <c r="Q616" s="43"/>
      <c r="R616" s="43"/>
      <c r="S616" s="43"/>
      <c r="T616" s="43"/>
      <c r="U616" s="43"/>
      <c r="V616" s="43"/>
      <c r="W616" s="43"/>
      <c r="X616" s="43"/>
      <c r="Y616" s="43"/>
    </row>
    <row r="617" ht="13.2" spans="1:25">
      <c r="A617" s="42">
        <v>616</v>
      </c>
      <c r="B617" s="43" t="s">
        <v>961</v>
      </c>
      <c r="C617" s="43"/>
      <c r="D617" s="43"/>
      <c r="E617" s="43"/>
      <c r="F617" s="43"/>
      <c r="G617" s="43"/>
      <c r="H617" s="43"/>
      <c r="I617" s="43"/>
      <c r="J617" s="43"/>
      <c r="K617" s="43"/>
      <c r="L617" s="43"/>
      <c r="M617" s="43"/>
      <c r="N617" s="43"/>
      <c r="O617" s="43"/>
      <c r="P617" s="43"/>
      <c r="Q617" s="43"/>
      <c r="R617" s="43"/>
      <c r="S617" s="43"/>
      <c r="T617" s="43"/>
      <c r="U617" s="43"/>
      <c r="V617" s="43"/>
      <c r="W617" s="43"/>
      <c r="X617" s="43"/>
      <c r="Y617" s="43"/>
    </row>
    <row r="618" ht="13.2" spans="1:25">
      <c r="A618" s="42">
        <v>617</v>
      </c>
      <c r="B618" s="43" t="s">
        <v>962</v>
      </c>
      <c r="C618" s="43"/>
      <c r="D618" s="43"/>
      <c r="E618" s="43"/>
      <c r="F618" s="43"/>
      <c r="G618" s="43"/>
      <c r="H618" s="43"/>
      <c r="I618" s="43"/>
      <c r="J618" s="43"/>
      <c r="K618" s="43"/>
      <c r="L618" s="43"/>
      <c r="M618" s="43"/>
      <c r="N618" s="43"/>
      <c r="O618" s="43"/>
      <c r="P618" s="43"/>
      <c r="Q618" s="43"/>
      <c r="R618" s="43"/>
      <c r="S618" s="43"/>
      <c r="T618" s="43"/>
      <c r="U618" s="43"/>
      <c r="V618" s="43"/>
      <c r="W618" s="43"/>
      <c r="X618" s="43"/>
      <c r="Y618" s="43"/>
    </row>
    <row r="619" ht="13.2" spans="1:25">
      <c r="A619" s="42">
        <v>618</v>
      </c>
      <c r="B619" s="43" t="s">
        <v>963</v>
      </c>
      <c r="C619" s="43"/>
      <c r="D619" s="43"/>
      <c r="E619" s="43"/>
      <c r="F619" s="43"/>
      <c r="G619" s="43"/>
      <c r="H619" s="43"/>
      <c r="I619" s="43"/>
      <c r="J619" s="43"/>
      <c r="K619" s="43"/>
      <c r="L619" s="43"/>
      <c r="M619" s="43"/>
      <c r="N619" s="43"/>
      <c r="O619" s="43"/>
      <c r="P619" s="43"/>
      <c r="Q619" s="43"/>
      <c r="R619" s="43"/>
      <c r="S619" s="43"/>
      <c r="T619" s="43"/>
      <c r="U619" s="43"/>
      <c r="V619" s="43"/>
      <c r="W619" s="43"/>
      <c r="X619" s="43"/>
      <c r="Y619" s="43"/>
    </row>
    <row r="620" ht="13.2" spans="1:25">
      <c r="A620" s="42">
        <v>619</v>
      </c>
      <c r="B620" s="43" t="s">
        <v>964</v>
      </c>
      <c r="C620" s="43"/>
      <c r="D620" s="43"/>
      <c r="E620" s="43"/>
      <c r="F620" s="43"/>
      <c r="G620" s="43"/>
      <c r="H620" s="43"/>
      <c r="I620" s="43"/>
      <c r="J620" s="43"/>
      <c r="K620" s="43"/>
      <c r="L620" s="43"/>
      <c r="M620" s="43"/>
      <c r="N620" s="43"/>
      <c r="O620" s="43"/>
      <c r="P620" s="43"/>
      <c r="Q620" s="43"/>
      <c r="R620" s="43"/>
      <c r="S620" s="43"/>
      <c r="T620" s="43"/>
      <c r="U620" s="43"/>
      <c r="V620" s="43"/>
      <c r="W620" s="43"/>
      <c r="X620" s="43"/>
      <c r="Y620" s="43"/>
    </row>
    <row r="621" ht="13.2" spans="1:25">
      <c r="A621" s="42">
        <v>620</v>
      </c>
      <c r="B621" s="43" t="s">
        <v>965</v>
      </c>
      <c r="C621" s="43"/>
      <c r="D621" s="43"/>
      <c r="E621" s="43"/>
      <c r="F621" s="43"/>
      <c r="G621" s="43"/>
      <c r="H621" s="43"/>
      <c r="I621" s="43"/>
      <c r="J621" s="43"/>
      <c r="K621" s="43"/>
      <c r="L621" s="43"/>
      <c r="M621" s="43"/>
      <c r="N621" s="43"/>
      <c r="O621" s="43"/>
      <c r="P621" s="43"/>
      <c r="Q621" s="43"/>
      <c r="R621" s="43"/>
      <c r="S621" s="43"/>
      <c r="T621" s="43"/>
      <c r="U621" s="43"/>
      <c r="V621" s="43"/>
      <c r="W621" s="43"/>
      <c r="X621" s="43"/>
      <c r="Y621" s="43"/>
    </row>
    <row r="622" ht="13.2" spans="1:25">
      <c r="A622" s="42">
        <v>621</v>
      </c>
      <c r="B622" s="43" t="s">
        <v>966</v>
      </c>
      <c r="C622" s="43"/>
      <c r="D622" s="43"/>
      <c r="E622" s="43"/>
      <c r="F622" s="43"/>
      <c r="G622" s="43"/>
      <c r="H622" s="43"/>
      <c r="I622" s="43"/>
      <c r="J622" s="43"/>
      <c r="K622" s="43"/>
      <c r="L622" s="43"/>
      <c r="M622" s="43"/>
      <c r="N622" s="43"/>
      <c r="O622" s="43"/>
      <c r="P622" s="43"/>
      <c r="Q622" s="43"/>
      <c r="R622" s="43"/>
      <c r="S622" s="43"/>
      <c r="T622" s="43"/>
      <c r="U622" s="43"/>
      <c r="V622" s="43"/>
      <c r="W622" s="43"/>
      <c r="X622" s="43"/>
      <c r="Y622" s="43"/>
    </row>
    <row r="623" ht="13.2" spans="1:25">
      <c r="A623" s="42">
        <v>622</v>
      </c>
      <c r="B623" s="43" t="s">
        <v>967</v>
      </c>
      <c r="C623" s="43"/>
      <c r="D623" s="43"/>
      <c r="E623" s="43"/>
      <c r="F623" s="43"/>
      <c r="G623" s="43"/>
      <c r="H623" s="43"/>
      <c r="I623" s="43"/>
      <c r="J623" s="43"/>
      <c r="K623" s="43"/>
      <c r="L623" s="43"/>
      <c r="M623" s="43"/>
      <c r="N623" s="43"/>
      <c r="O623" s="43"/>
      <c r="P623" s="43"/>
      <c r="Q623" s="43"/>
      <c r="R623" s="43"/>
      <c r="S623" s="43"/>
      <c r="T623" s="43"/>
      <c r="U623" s="43"/>
      <c r="V623" s="43"/>
      <c r="W623" s="43"/>
      <c r="X623" s="43"/>
      <c r="Y623" s="43"/>
    </row>
    <row r="624" ht="13.2" spans="1:25">
      <c r="A624" s="42">
        <v>623</v>
      </c>
      <c r="B624" s="43" t="s">
        <v>968</v>
      </c>
      <c r="C624" s="43"/>
      <c r="D624" s="43"/>
      <c r="E624" s="43"/>
      <c r="F624" s="43"/>
      <c r="G624" s="43"/>
      <c r="H624" s="43"/>
      <c r="I624" s="43"/>
      <c r="J624" s="43"/>
      <c r="K624" s="43"/>
      <c r="L624" s="43"/>
      <c r="M624" s="43"/>
      <c r="N624" s="43"/>
      <c r="O624" s="43"/>
      <c r="P624" s="43"/>
      <c r="Q624" s="43"/>
      <c r="R624" s="43"/>
      <c r="S624" s="43"/>
      <c r="T624" s="43"/>
      <c r="U624" s="43"/>
      <c r="V624" s="43"/>
      <c r="W624" s="43"/>
      <c r="X624" s="43"/>
      <c r="Y624" s="43"/>
    </row>
    <row r="625" ht="13.2" spans="1:25">
      <c r="A625" s="42">
        <v>624</v>
      </c>
      <c r="B625" s="43" t="s">
        <v>969</v>
      </c>
      <c r="C625" s="43"/>
      <c r="D625" s="43"/>
      <c r="E625" s="43"/>
      <c r="F625" s="43"/>
      <c r="G625" s="43"/>
      <c r="H625" s="43"/>
      <c r="I625" s="43"/>
      <c r="J625" s="43"/>
      <c r="K625" s="43"/>
      <c r="L625" s="43"/>
      <c r="M625" s="43"/>
      <c r="N625" s="43"/>
      <c r="O625" s="43"/>
      <c r="P625" s="43"/>
      <c r="Q625" s="43"/>
      <c r="R625" s="43"/>
      <c r="S625" s="43"/>
      <c r="T625" s="43"/>
      <c r="U625" s="43"/>
      <c r="V625" s="43"/>
      <c r="W625" s="43"/>
      <c r="X625" s="43"/>
      <c r="Y625" s="43"/>
    </row>
    <row r="626" ht="13.2" spans="1:25">
      <c r="A626" s="42">
        <v>625</v>
      </c>
      <c r="B626" s="43" t="s">
        <v>970</v>
      </c>
      <c r="C626" s="43"/>
      <c r="D626" s="43"/>
      <c r="E626" s="43"/>
      <c r="F626" s="43"/>
      <c r="G626" s="43"/>
      <c r="H626" s="43"/>
      <c r="I626" s="43"/>
      <c r="J626" s="43"/>
      <c r="K626" s="43"/>
      <c r="L626" s="43"/>
      <c r="M626" s="43"/>
      <c r="N626" s="43"/>
      <c r="O626" s="43"/>
      <c r="P626" s="43"/>
      <c r="Q626" s="43"/>
      <c r="R626" s="43"/>
      <c r="S626" s="43"/>
      <c r="T626" s="43"/>
      <c r="U626" s="43"/>
      <c r="V626" s="43"/>
      <c r="W626" s="43"/>
      <c r="X626" s="43"/>
      <c r="Y626" s="43"/>
    </row>
    <row r="627" ht="13.2" spans="1:25">
      <c r="A627" s="42">
        <v>626</v>
      </c>
      <c r="B627" s="43" t="s">
        <v>971</v>
      </c>
      <c r="C627" s="43"/>
      <c r="D627" s="43"/>
      <c r="E627" s="43"/>
      <c r="F627" s="43"/>
      <c r="G627" s="43"/>
      <c r="H627" s="43"/>
      <c r="I627" s="43"/>
      <c r="J627" s="43"/>
      <c r="K627" s="43"/>
      <c r="L627" s="43"/>
      <c r="M627" s="43"/>
      <c r="N627" s="43"/>
      <c r="O627" s="43"/>
      <c r="P627" s="43"/>
      <c r="Q627" s="43"/>
      <c r="R627" s="43"/>
      <c r="S627" s="43"/>
      <c r="T627" s="43"/>
      <c r="U627" s="43"/>
      <c r="V627" s="43"/>
      <c r="W627" s="43"/>
      <c r="X627" s="43"/>
      <c r="Y627" s="43"/>
    </row>
    <row r="628" ht="13.2" spans="1:25">
      <c r="A628" s="42">
        <v>627</v>
      </c>
      <c r="B628" s="43" t="s">
        <v>972</v>
      </c>
      <c r="C628" s="43"/>
      <c r="D628" s="43"/>
      <c r="E628" s="43"/>
      <c r="F628" s="43"/>
      <c r="G628" s="43"/>
      <c r="H628" s="43"/>
      <c r="I628" s="43"/>
      <c r="J628" s="43"/>
      <c r="K628" s="43"/>
      <c r="L628" s="43"/>
      <c r="M628" s="43"/>
      <c r="N628" s="43"/>
      <c r="O628" s="43"/>
      <c r="P628" s="43"/>
      <c r="Q628" s="43"/>
      <c r="R628" s="43"/>
      <c r="S628" s="43"/>
      <c r="T628" s="43"/>
      <c r="U628" s="43"/>
      <c r="V628" s="43"/>
      <c r="W628" s="43"/>
      <c r="X628" s="43"/>
      <c r="Y628" s="43"/>
    </row>
    <row r="629" ht="13.2" spans="1:25">
      <c r="A629" s="42">
        <v>628</v>
      </c>
      <c r="B629" s="43" t="s">
        <v>973</v>
      </c>
      <c r="C629" s="43"/>
      <c r="D629" s="43"/>
      <c r="E629" s="43"/>
      <c r="F629" s="43"/>
      <c r="G629" s="43"/>
      <c r="H629" s="43"/>
      <c r="I629" s="43"/>
      <c r="J629" s="43"/>
      <c r="K629" s="43"/>
      <c r="L629" s="43"/>
      <c r="M629" s="43"/>
      <c r="N629" s="43"/>
      <c r="O629" s="43"/>
      <c r="P629" s="43"/>
      <c r="Q629" s="43"/>
      <c r="R629" s="43"/>
      <c r="S629" s="43"/>
      <c r="T629" s="43"/>
      <c r="U629" s="43"/>
      <c r="V629" s="43"/>
      <c r="W629" s="43"/>
      <c r="X629" s="43"/>
      <c r="Y629" s="43"/>
    </row>
    <row r="630" ht="13.2" spans="1:25">
      <c r="A630" s="42">
        <v>629</v>
      </c>
      <c r="B630" s="43" t="s">
        <v>974</v>
      </c>
      <c r="C630" s="43"/>
      <c r="D630" s="43"/>
      <c r="E630" s="43"/>
      <c r="F630" s="43"/>
      <c r="G630" s="43"/>
      <c r="H630" s="43"/>
      <c r="I630" s="43"/>
      <c r="J630" s="43"/>
      <c r="K630" s="43"/>
      <c r="L630" s="43"/>
      <c r="M630" s="43"/>
      <c r="N630" s="43"/>
      <c r="O630" s="43"/>
      <c r="P630" s="43"/>
      <c r="Q630" s="43"/>
      <c r="R630" s="43"/>
      <c r="S630" s="43"/>
      <c r="T630" s="43"/>
      <c r="U630" s="43"/>
      <c r="V630" s="43"/>
      <c r="W630" s="43"/>
      <c r="X630" s="43"/>
      <c r="Y630" s="43"/>
    </row>
    <row r="631" ht="13.2" spans="1:25">
      <c r="A631" s="42">
        <v>630</v>
      </c>
      <c r="B631" s="43" t="s">
        <v>975</v>
      </c>
      <c r="C631" s="43"/>
      <c r="D631" s="43"/>
      <c r="E631" s="43"/>
      <c r="F631" s="43"/>
      <c r="G631" s="43"/>
      <c r="H631" s="43"/>
      <c r="I631" s="43"/>
      <c r="J631" s="43"/>
      <c r="K631" s="43"/>
      <c r="L631" s="43"/>
      <c r="M631" s="43"/>
      <c r="N631" s="43"/>
      <c r="O631" s="43"/>
      <c r="P631" s="43"/>
      <c r="Q631" s="43"/>
      <c r="R631" s="43"/>
      <c r="S631" s="43"/>
      <c r="T631" s="43"/>
      <c r="U631" s="43"/>
      <c r="V631" s="43"/>
      <c r="W631" s="43"/>
      <c r="X631" s="43"/>
      <c r="Y631" s="43"/>
    </row>
    <row r="632" ht="13.2" spans="1:25">
      <c r="A632" s="42">
        <v>631</v>
      </c>
      <c r="B632" s="43" t="s">
        <v>976</v>
      </c>
      <c r="C632" s="43"/>
      <c r="D632" s="43"/>
      <c r="E632" s="43"/>
      <c r="F632" s="43"/>
      <c r="G632" s="43"/>
      <c r="H632" s="43"/>
      <c r="I632" s="43"/>
      <c r="J632" s="43"/>
      <c r="K632" s="43"/>
      <c r="L632" s="43"/>
      <c r="M632" s="43"/>
      <c r="N632" s="43"/>
      <c r="O632" s="43"/>
      <c r="P632" s="43"/>
      <c r="Q632" s="43"/>
      <c r="R632" s="43"/>
      <c r="S632" s="43"/>
      <c r="T632" s="43"/>
      <c r="U632" s="43"/>
      <c r="V632" s="43"/>
      <c r="W632" s="43"/>
      <c r="X632" s="43"/>
      <c r="Y632" s="43"/>
    </row>
    <row r="633" ht="13.2" spans="1:25">
      <c r="A633" s="42">
        <v>632</v>
      </c>
      <c r="B633" s="43" t="s">
        <v>977</v>
      </c>
      <c r="C633" s="43"/>
      <c r="D633" s="43"/>
      <c r="E633" s="43"/>
      <c r="F633" s="43"/>
      <c r="G633" s="43"/>
      <c r="H633" s="43"/>
      <c r="I633" s="43"/>
      <c r="J633" s="43"/>
      <c r="K633" s="43"/>
      <c r="L633" s="43"/>
      <c r="M633" s="43"/>
      <c r="N633" s="43"/>
      <c r="O633" s="43"/>
      <c r="P633" s="43"/>
      <c r="Q633" s="43"/>
      <c r="R633" s="43"/>
      <c r="S633" s="43"/>
      <c r="T633" s="43"/>
      <c r="U633" s="43"/>
      <c r="V633" s="43"/>
      <c r="W633" s="43"/>
      <c r="X633" s="43"/>
      <c r="Y633" s="43"/>
    </row>
    <row r="634" ht="13.2" spans="1:25">
      <c r="A634" s="42">
        <v>633</v>
      </c>
      <c r="B634" s="43" t="s">
        <v>978</v>
      </c>
      <c r="C634" s="43"/>
      <c r="D634" s="43"/>
      <c r="E634" s="43"/>
      <c r="F634" s="43"/>
      <c r="G634" s="43"/>
      <c r="H634" s="43"/>
      <c r="I634" s="43"/>
      <c r="J634" s="43"/>
      <c r="K634" s="43"/>
      <c r="L634" s="43"/>
      <c r="M634" s="43"/>
      <c r="N634" s="43"/>
      <c r="O634" s="43"/>
      <c r="P634" s="43"/>
      <c r="Q634" s="43"/>
      <c r="R634" s="43"/>
      <c r="S634" s="43"/>
      <c r="T634" s="43"/>
      <c r="U634" s="43"/>
      <c r="V634" s="43"/>
      <c r="W634" s="43"/>
      <c r="X634" s="43"/>
      <c r="Y634" s="43"/>
    </row>
    <row r="635" ht="13.2" spans="1:25">
      <c r="A635" s="42">
        <v>634</v>
      </c>
      <c r="B635" s="43" t="s">
        <v>979</v>
      </c>
      <c r="C635" s="43"/>
      <c r="D635" s="43"/>
      <c r="E635" s="43"/>
      <c r="F635" s="43"/>
      <c r="G635" s="43"/>
      <c r="H635" s="43"/>
      <c r="I635" s="43"/>
      <c r="J635" s="43"/>
      <c r="K635" s="43"/>
      <c r="L635" s="43"/>
      <c r="M635" s="43"/>
      <c r="N635" s="43"/>
      <c r="O635" s="43"/>
      <c r="P635" s="43"/>
      <c r="Q635" s="43"/>
      <c r="R635" s="43"/>
      <c r="S635" s="43"/>
      <c r="T635" s="43"/>
      <c r="U635" s="43"/>
      <c r="V635" s="43"/>
      <c r="W635" s="43"/>
      <c r="X635" s="43"/>
      <c r="Y635" s="43"/>
    </row>
    <row r="636" ht="13.2" spans="1:25">
      <c r="A636" s="42">
        <v>635</v>
      </c>
      <c r="B636" s="43" t="s">
        <v>980</v>
      </c>
      <c r="C636" s="43"/>
      <c r="D636" s="43"/>
      <c r="E636" s="43"/>
      <c r="F636" s="43"/>
      <c r="G636" s="43"/>
      <c r="H636" s="43"/>
      <c r="I636" s="43"/>
      <c r="J636" s="43"/>
      <c r="K636" s="43"/>
      <c r="L636" s="43"/>
      <c r="M636" s="43"/>
      <c r="N636" s="43"/>
      <c r="O636" s="43"/>
      <c r="P636" s="43"/>
      <c r="Q636" s="43"/>
      <c r="R636" s="43"/>
      <c r="S636" s="43"/>
      <c r="T636" s="43"/>
      <c r="U636" s="43"/>
      <c r="V636" s="43"/>
      <c r="W636" s="43"/>
      <c r="X636" s="43"/>
      <c r="Y636" s="43"/>
    </row>
    <row r="637" ht="13.2" spans="1:25">
      <c r="A637" s="42">
        <v>636</v>
      </c>
      <c r="B637" s="43" t="s">
        <v>981</v>
      </c>
      <c r="C637" s="43"/>
      <c r="D637" s="43"/>
      <c r="E637" s="43"/>
      <c r="F637" s="43"/>
      <c r="G637" s="43"/>
      <c r="H637" s="43"/>
      <c r="I637" s="43"/>
      <c r="J637" s="43"/>
      <c r="K637" s="43"/>
      <c r="L637" s="43"/>
      <c r="M637" s="43"/>
      <c r="N637" s="43"/>
      <c r="O637" s="43"/>
      <c r="P637" s="43"/>
      <c r="Q637" s="43"/>
      <c r="R637" s="43"/>
      <c r="S637" s="43"/>
      <c r="T637" s="43"/>
      <c r="U637" s="43"/>
      <c r="V637" s="43"/>
      <c r="W637" s="43"/>
      <c r="X637" s="43"/>
      <c r="Y637" s="43"/>
    </row>
    <row r="638" ht="13.2" spans="1:25">
      <c r="A638" s="42">
        <v>637</v>
      </c>
      <c r="B638" s="43" t="s">
        <v>982</v>
      </c>
      <c r="C638" s="43"/>
      <c r="D638" s="43"/>
      <c r="E638" s="43"/>
      <c r="F638" s="43"/>
      <c r="G638" s="43"/>
      <c r="H638" s="43"/>
      <c r="I638" s="43"/>
      <c r="J638" s="43"/>
      <c r="K638" s="43"/>
      <c r="L638" s="43"/>
      <c r="M638" s="43"/>
      <c r="N638" s="43"/>
      <c r="O638" s="43"/>
      <c r="P638" s="43"/>
      <c r="Q638" s="43"/>
      <c r="R638" s="43"/>
      <c r="S638" s="43"/>
      <c r="T638" s="43"/>
      <c r="U638" s="43"/>
      <c r="V638" s="43"/>
      <c r="W638" s="43"/>
      <c r="X638" s="43"/>
      <c r="Y638" s="43"/>
    </row>
    <row r="639" ht="13.2" spans="1:25">
      <c r="A639" s="42">
        <v>638</v>
      </c>
      <c r="B639" s="43" t="s">
        <v>983</v>
      </c>
      <c r="C639" s="43"/>
      <c r="D639" s="43"/>
      <c r="E639" s="43"/>
      <c r="F639" s="43"/>
      <c r="G639" s="43"/>
      <c r="H639" s="43"/>
      <c r="I639" s="43"/>
      <c r="J639" s="43"/>
      <c r="K639" s="43"/>
      <c r="L639" s="43"/>
      <c r="M639" s="43"/>
      <c r="N639" s="43"/>
      <c r="O639" s="43"/>
      <c r="P639" s="43"/>
      <c r="Q639" s="43"/>
      <c r="R639" s="43"/>
      <c r="S639" s="43"/>
      <c r="T639" s="43"/>
      <c r="U639" s="43"/>
      <c r="V639" s="43"/>
      <c r="W639" s="43"/>
      <c r="X639" s="43"/>
      <c r="Y639" s="43"/>
    </row>
    <row r="640" ht="13.2" spans="1:25">
      <c r="A640" s="42">
        <v>639</v>
      </c>
      <c r="B640" s="43" t="s">
        <v>984</v>
      </c>
      <c r="C640" s="43"/>
      <c r="D640" s="43"/>
      <c r="E640" s="43"/>
      <c r="F640" s="43"/>
      <c r="G640" s="43"/>
      <c r="H640" s="43"/>
      <c r="I640" s="43"/>
      <c r="J640" s="43"/>
      <c r="K640" s="43"/>
      <c r="L640" s="43"/>
      <c r="M640" s="43"/>
      <c r="N640" s="43"/>
      <c r="O640" s="43"/>
      <c r="P640" s="43"/>
      <c r="Q640" s="43"/>
      <c r="R640" s="43"/>
      <c r="S640" s="43"/>
      <c r="T640" s="43"/>
      <c r="U640" s="43"/>
      <c r="V640" s="43"/>
      <c r="W640" s="43"/>
      <c r="X640" s="43"/>
      <c r="Y640" s="43"/>
    </row>
    <row r="641" ht="13.2" spans="1:25">
      <c r="A641" s="42">
        <v>640</v>
      </c>
      <c r="B641" s="43" t="s">
        <v>985</v>
      </c>
      <c r="C641" s="43"/>
      <c r="D641" s="43"/>
      <c r="E641" s="43"/>
      <c r="F641" s="43"/>
      <c r="G641" s="43"/>
      <c r="H641" s="43"/>
      <c r="I641" s="43"/>
      <c r="J641" s="43"/>
      <c r="K641" s="43"/>
      <c r="L641" s="43"/>
      <c r="M641" s="43"/>
      <c r="N641" s="43"/>
      <c r="O641" s="43"/>
      <c r="P641" s="43"/>
      <c r="Q641" s="43"/>
      <c r="R641" s="43"/>
      <c r="S641" s="43"/>
      <c r="T641" s="43"/>
      <c r="U641" s="43"/>
      <c r="V641" s="43"/>
      <c r="W641" s="43"/>
      <c r="X641" s="43"/>
      <c r="Y641" s="43"/>
    </row>
    <row r="642" ht="13.2" spans="1:25">
      <c r="A642" s="42">
        <v>641</v>
      </c>
      <c r="B642" s="43" t="s">
        <v>986</v>
      </c>
      <c r="C642" s="43"/>
      <c r="D642" s="43"/>
      <c r="E642" s="43"/>
      <c r="F642" s="43"/>
      <c r="G642" s="43"/>
      <c r="H642" s="43"/>
      <c r="I642" s="43"/>
      <c r="J642" s="43"/>
      <c r="K642" s="43"/>
      <c r="L642" s="43"/>
      <c r="M642" s="43"/>
      <c r="N642" s="43"/>
      <c r="O642" s="43"/>
      <c r="P642" s="43"/>
      <c r="Q642" s="43"/>
      <c r="R642" s="43"/>
      <c r="S642" s="43"/>
      <c r="T642" s="43"/>
      <c r="U642" s="43"/>
      <c r="V642" s="43"/>
      <c r="W642" s="43"/>
      <c r="X642" s="43"/>
      <c r="Y642" s="43"/>
    </row>
    <row r="643" ht="13.2" spans="1:25">
      <c r="A643" s="42">
        <v>642</v>
      </c>
      <c r="B643" s="43" t="s">
        <v>987</v>
      </c>
      <c r="C643" s="43"/>
      <c r="D643" s="43"/>
      <c r="E643" s="43"/>
      <c r="F643" s="43"/>
      <c r="G643" s="43"/>
      <c r="H643" s="43"/>
      <c r="I643" s="43"/>
      <c r="J643" s="43"/>
      <c r="K643" s="43"/>
      <c r="L643" s="43"/>
      <c r="M643" s="43"/>
      <c r="N643" s="43"/>
      <c r="O643" s="43"/>
      <c r="P643" s="43"/>
      <c r="Q643" s="43"/>
      <c r="R643" s="43"/>
      <c r="S643" s="43"/>
      <c r="T643" s="43"/>
      <c r="U643" s="43"/>
      <c r="V643" s="43"/>
      <c r="W643" s="43"/>
      <c r="X643" s="43"/>
      <c r="Y643" s="43"/>
    </row>
    <row r="644" ht="13.2" spans="1:25">
      <c r="A644" s="42">
        <v>643</v>
      </c>
      <c r="B644" s="43" t="s">
        <v>988</v>
      </c>
      <c r="C644" s="43"/>
      <c r="D644" s="43"/>
      <c r="E644" s="43"/>
      <c r="F644" s="43"/>
      <c r="G644" s="43"/>
      <c r="H644" s="43"/>
      <c r="I644" s="43"/>
      <c r="J644" s="43"/>
      <c r="K644" s="43"/>
      <c r="L644" s="43"/>
      <c r="M644" s="43"/>
      <c r="N644" s="43"/>
      <c r="O644" s="43"/>
      <c r="P644" s="43"/>
      <c r="Q644" s="43"/>
      <c r="R644" s="43"/>
      <c r="S644" s="43"/>
      <c r="T644" s="43"/>
      <c r="U644" s="43"/>
      <c r="V644" s="43"/>
      <c r="W644" s="43"/>
      <c r="X644" s="43"/>
      <c r="Y644" s="43"/>
    </row>
    <row r="645" ht="13.2" spans="1:25">
      <c r="A645" s="42">
        <v>644</v>
      </c>
      <c r="B645" s="43" t="s">
        <v>989</v>
      </c>
      <c r="C645" s="43"/>
      <c r="D645" s="43"/>
      <c r="E645" s="43"/>
      <c r="F645" s="43"/>
      <c r="G645" s="43"/>
      <c r="H645" s="43"/>
      <c r="I645" s="43"/>
      <c r="J645" s="43"/>
      <c r="K645" s="43"/>
      <c r="L645" s="43"/>
      <c r="M645" s="43"/>
      <c r="N645" s="43"/>
      <c r="O645" s="43"/>
      <c r="P645" s="43"/>
      <c r="Q645" s="43"/>
      <c r="R645" s="43"/>
      <c r="S645" s="43"/>
      <c r="T645" s="43"/>
      <c r="U645" s="43"/>
      <c r="V645" s="43"/>
      <c r="W645" s="43"/>
      <c r="X645" s="43"/>
      <c r="Y645" s="43"/>
    </row>
    <row r="646" ht="13.2" spans="1:25">
      <c r="A646" s="42">
        <v>645</v>
      </c>
      <c r="B646" s="43" t="s">
        <v>990</v>
      </c>
      <c r="C646" s="43"/>
      <c r="D646" s="43"/>
      <c r="E646" s="43"/>
      <c r="F646" s="43"/>
      <c r="G646" s="43"/>
      <c r="H646" s="43"/>
      <c r="I646" s="43"/>
      <c r="J646" s="43"/>
      <c r="K646" s="43"/>
      <c r="L646" s="43"/>
      <c r="M646" s="43"/>
      <c r="N646" s="43"/>
      <c r="O646" s="43"/>
      <c r="P646" s="43"/>
      <c r="Q646" s="43"/>
      <c r="R646" s="43"/>
      <c r="S646" s="43"/>
      <c r="T646" s="43"/>
      <c r="U646" s="43"/>
      <c r="V646" s="43"/>
      <c r="W646" s="43"/>
      <c r="X646" s="43"/>
      <c r="Y646" s="43"/>
    </row>
    <row r="647" ht="13.2" spans="1:25">
      <c r="A647" s="42">
        <v>646</v>
      </c>
      <c r="B647" s="43" t="s">
        <v>991</v>
      </c>
      <c r="C647" s="43"/>
      <c r="D647" s="43"/>
      <c r="E647" s="43"/>
      <c r="F647" s="43"/>
      <c r="G647" s="43"/>
      <c r="H647" s="43"/>
      <c r="I647" s="43"/>
      <c r="J647" s="43"/>
      <c r="K647" s="43"/>
      <c r="L647" s="43"/>
      <c r="M647" s="43"/>
      <c r="N647" s="43"/>
      <c r="O647" s="43"/>
      <c r="P647" s="43"/>
      <c r="Q647" s="43"/>
      <c r="R647" s="43"/>
      <c r="S647" s="43"/>
      <c r="T647" s="43"/>
      <c r="U647" s="43"/>
      <c r="V647" s="43"/>
      <c r="W647" s="43"/>
      <c r="X647" s="43"/>
      <c r="Y647" s="43"/>
    </row>
    <row r="648" ht="13.2" spans="1:25">
      <c r="A648" s="42">
        <v>647</v>
      </c>
      <c r="B648" s="43" t="s">
        <v>166</v>
      </c>
      <c r="C648" s="43"/>
      <c r="D648" s="43"/>
      <c r="E648" s="43"/>
      <c r="F648" s="43"/>
      <c r="G648" s="43"/>
      <c r="H648" s="43"/>
      <c r="I648" s="43"/>
      <c r="J648" s="43"/>
      <c r="K648" s="43"/>
      <c r="L648" s="43"/>
      <c r="M648" s="43"/>
      <c r="N648" s="43"/>
      <c r="O648" s="43"/>
      <c r="P648" s="43"/>
      <c r="Q648" s="43"/>
      <c r="R648" s="43"/>
      <c r="S648" s="43"/>
      <c r="T648" s="43"/>
      <c r="U648" s="43"/>
      <c r="V648" s="43"/>
      <c r="W648" s="43"/>
      <c r="X648" s="43"/>
      <c r="Y648" s="43"/>
    </row>
    <row r="649" ht="13.2" spans="1:25">
      <c r="A649" s="42">
        <v>648</v>
      </c>
      <c r="B649" s="43" t="s">
        <v>992</v>
      </c>
      <c r="C649" s="43"/>
      <c r="D649" s="43"/>
      <c r="E649" s="43"/>
      <c r="F649" s="43"/>
      <c r="G649" s="43"/>
      <c r="H649" s="43"/>
      <c r="I649" s="43"/>
      <c r="J649" s="43"/>
      <c r="K649" s="43"/>
      <c r="L649" s="43"/>
      <c r="M649" s="43"/>
      <c r="N649" s="43"/>
      <c r="O649" s="43"/>
      <c r="P649" s="43"/>
      <c r="Q649" s="43"/>
      <c r="R649" s="43"/>
      <c r="S649" s="43"/>
      <c r="T649" s="43"/>
      <c r="U649" s="43"/>
      <c r="V649" s="43"/>
      <c r="W649" s="43"/>
      <c r="X649" s="43"/>
      <c r="Y649" s="43"/>
    </row>
    <row r="650" ht="13.2" spans="1:25">
      <c r="A650" s="42">
        <v>649</v>
      </c>
      <c r="B650" s="43" t="s">
        <v>993</v>
      </c>
      <c r="C650" s="43"/>
      <c r="D650" s="43"/>
      <c r="E650" s="43"/>
      <c r="F650" s="43"/>
      <c r="G650" s="43"/>
      <c r="H650" s="43"/>
      <c r="I650" s="43"/>
      <c r="J650" s="43"/>
      <c r="K650" s="43"/>
      <c r="L650" s="43"/>
      <c r="M650" s="43"/>
      <c r="N650" s="43"/>
      <c r="O650" s="43"/>
      <c r="P650" s="43"/>
      <c r="Q650" s="43"/>
      <c r="R650" s="43"/>
      <c r="S650" s="43"/>
      <c r="T650" s="43"/>
      <c r="U650" s="43"/>
      <c r="V650" s="43"/>
      <c r="W650" s="43"/>
      <c r="X650" s="43"/>
      <c r="Y650" s="43"/>
    </row>
    <row r="651" ht="13.2" spans="1:25">
      <c r="A651" s="42">
        <v>650</v>
      </c>
      <c r="B651" s="43" t="s">
        <v>994</v>
      </c>
      <c r="C651" s="43"/>
      <c r="D651" s="43"/>
      <c r="E651" s="43"/>
      <c r="F651" s="43"/>
      <c r="G651" s="43"/>
      <c r="H651" s="43"/>
      <c r="I651" s="43"/>
      <c r="J651" s="43"/>
      <c r="K651" s="43"/>
      <c r="L651" s="43"/>
      <c r="M651" s="43"/>
      <c r="N651" s="43"/>
      <c r="O651" s="43"/>
      <c r="P651" s="43"/>
      <c r="Q651" s="43"/>
      <c r="R651" s="43"/>
      <c r="S651" s="43"/>
      <c r="T651" s="43"/>
      <c r="U651" s="43"/>
      <c r="V651" s="43"/>
      <c r="W651" s="43"/>
      <c r="X651" s="43"/>
      <c r="Y651" s="43"/>
    </row>
    <row r="652" ht="13.2" spans="1:25">
      <c r="A652" s="42">
        <v>651</v>
      </c>
      <c r="B652" s="43" t="s">
        <v>995</v>
      </c>
      <c r="C652" s="43"/>
      <c r="D652" s="43"/>
      <c r="E652" s="43"/>
      <c r="F652" s="43"/>
      <c r="G652" s="43"/>
      <c r="H652" s="43"/>
      <c r="I652" s="43"/>
      <c r="J652" s="43"/>
      <c r="K652" s="43"/>
      <c r="L652" s="43"/>
      <c r="M652" s="43"/>
      <c r="N652" s="43"/>
      <c r="O652" s="43"/>
      <c r="P652" s="43"/>
      <c r="Q652" s="43"/>
      <c r="R652" s="43"/>
      <c r="S652" s="43"/>
      <c r="T652" s="43"/>
      <c r="U652" s="43"/>
      <c r="V652" s="43"/>
      <c r="W652" s="43"/>
      <c r="X652" s="43"/>
      <c r="Y652" s="43"/>
    </row>
    <row r="653" ht="13.2" spans="1:25">
      <c r="A653" s="42">
        <v>652</v>
      </c>
      <c r="B653" s="43" t="s">
        <v>996</v>
      </c>
      <c r="C653" s="43"/>
      <c r="D653" s="43"/>
      <c r="E653" s="43"/>
      <c r="F653" s="43"/>
      <c r="G653" s="43"/>
      <c r="H653" s="43"/>
      <c r="I653" s="43"/>
      <c r="J653" s="43"/>
      <c r="K653" s="43"/>
      <c r="L653" s="43"/>
      <c r="M653" s="43"/>
      <c r="N653" s="43"/>
      <c r="O653" s="43"/>
      <c r="P653" s="43"/>
      <c r="Q653" s="43"/>
      <c r="R653" s="43"/>
      <c r="S653" s="43"/>
      <c r="T653" s="43"/>
      <c r="U653" s="43"/>
      <c r="V653" s="43"/>
      <c r="W653" s="43"/>
      <c r="X653" s="43"/>
      <c r="Y653" s="43"/>
    </row>
    <row r="654" ht="13.2" spans="1:25">
      <c r="A654" s="42">
        <v>653</v>
      </c>
      <c r="B654" s="43" t="s">
        <v>997</v>
      </c>
      <c r="C654" s="43"/>
      <c r="D654" s="43"/>
      <c r="E654" s="43"/>
      <c r="F654" s="43"/>
      <c r="G654" s="43"/>
      <c r="H654" s="43"/>
      <c r="I654" s="43"/>
      <c r="J654" s="43"/>
      <c r="K654" s="43"/>
      <c r="L654" s="43"/>
      <c r="M654" s="43"/>
      <c r="N654" s="43"/>
      <c r="O654" s="43"/>
      <c r="P654" s="43"/>
      <c r="Q654" s="43"/>
      <c r="R654" s="43"/>
      <c r="S654" s="43"/>
      <c r="T654" s="43"/>
      <c r="U654" s="43"/>
      <c r="V654" s="43"/>
      <c r="W654" s="43"/>
      <c r="X654" s="43"/>
      <c r="Y654" s="43"/>
    </row>
    <row r="655" ht="13.2" spans="1:25">
      <c r="A655" s="42">
        <v>654</v>
      </c>
      <c r="B655" s="43" t="s">
        <v>998</v>
      </c>
      <c r="C655" s="43"/>
      <c r="D655" s="43"/>
      <c r="E655" s="43"/>
      <c r="F655" s="43"/>
      <c r="G655" s="43"/>
      <c r="H655" s="43"/>
      <c r="I655" s="43"/>
      <c r="J655" s="43"/>
      <c r="K655" s="43"/>
      <c r="L655" s="43"/>
      <c r="M655" s="43"/>
      <c r="N655" s="43"/>
      <c r="O655" s="43"/>
      <c r="P655" s="43"/>
      <c r="Q655" s="43"/>
      <c r="R655" s="43"/>
      <c r="S655" s="43"/>
      <c r="T655" s="43"/>
      <c r="U655" s="43"/>
      <c r="V655" s="43"/>
      <c r="W655" s="43"/>
      <c r="X655" s="43"/>
      <c r="Y655" s="43"/>
    </row>
    <row r="656" ht="13.2" spans="1:25">
      <c r="A656" s="42">
        <v>655</v>
      </c>
      <c r="B656" s="43" t="s">
        <v>999</v>
      </c>
      <c r="C656" s="43"/>
      <c r="D656" s="43"/>
      <c r="E656" s="43"/>
      <c r="F656" s="43"/>
      <c r="G656" s="43"/>
      <c r="H656" s="43"/>
      <c r="I656" s="43"/>
      <c r="J656" s="43"/>
      <c r="K656" s="43"/>
      <c r="L656" s="43"/>
      <c r="M656" s="43"/>
      <c r="N656" s="43"/>
      <c r="O656" s="43"/>
      <c r="P656" s="43"/>
      <c r="Q656" s="43"/>
      <c r="R656" s="43"/>
      <c r="S656" s="43"/>
      <c r="T656" s="43"/>
      <c r="U656" s="43"/>
      <c r="V656" s="43"/>
      <c r="W656" s="43"/>
      <c r="X656" s="43"/>
      <c r="Y656" s="43"/>
    </row>
    <row r="657" ht="13.2" spans="1:25">
      <c r="A657" s="42">
        <v>656</v>
      </c>
      <c r="B657" s="43" t="s">
        <v>1000</v>
      </c>
      <c r="C657" s="43"/>
      <c r="D657" s="43"/>
      <c r="E657" s="43"/>
      <c r="F657" s="43"/>
      <c r="G657" s="43"/>
      <c r="H657" s="43"/>
      <c r="I657" s="43"/>
      <c r="J657" s="43"/>
      <c r="K657" s="43"/>
      <c r="L657" s="43"/>
      <c r="M657" s="43"/>
      <c r="N657" s="43"/>
      <c r="O657" s="43"/>
      <c r="P657" s="43"/>
      <c r="Q657" s="43"/>
      <c r="R657" s="43"/>
      <c r="S657" s="43"/>
      <c r="T657" s="43"/>
      <c r="U657" s="43"/>
      <c r="V657" s="43"/>
      <c r="W657" s="43"/>
      <c r="X657" s="43"/>
      <c r="Y657" s="43"/>
    </row>
    <row r="658" ht="13.2" spans="1:25">
      <c r="A658" s="42">
        <v>657</v>
      </c>
      <c r="B658" s="43" t="s">
        <v>1001</v>
      </c>
      <c r="C658" s="43"/>
      <c r="D658" s="43"/>
      <c r="E658" s="43"/>
      <c r="F658" s="43"/>
      <c r="G658" s="43"/>
      <c r="H658" s="43"/>
      <c r="I658" s="43"/>
      <c r="J658" s="43"/>
      <c r="K658" s="43"/>
      <c r="L658" s="43"/>
      <c r="M658" s="43"/>
      <c r="N658" s="43"/>
      <c r="O658" s="43"/>
      <c r="P658" s="43"/>
      <c r="Q658" s="43"/>
      <c r="R658" s="43"/>
      <c r="S658" s="43"/>
      <c r="T658" s="43"/>
      <c r="U658" s="43"/>
      <c r="V658" s="43"/>
      <c r="W658" s="43"/>
      <c r="X658" s="43"/>
      <c r="Y658" s="43"/>
    </row>
    <row r="659" ht="13.2" spans="1:25">
      <c r="A659" s="42">
        <v>658</v>
      </c>
      <c r="B659" s="43" t="s">
        <v>1002</v>
      </c>
      <c r="C659" s="43"/>
      <c r="D659" s="43"/>
      <c r="E659" s="43"/>
      <c r="F659" s="43"/>
      <c r="G659" s="43"/>
      <c r="H659" s="43"/>
      <c r="I659" s="43"/>
      <c r="J659" s="43"/>
      <c r="K659" s="43"/>
      <c r="L659" s="43"/>
      <c r="M659" s="43"/>
      <c r="N659" s="43"/>
      <c r="O659" s="43"/>
      <c r="P659" s="43"/>
      <c r="Q659" s="43"/>
      <c r="R659" s="43"/>
      <c r="S659" s="43"/>
      <c r="T659" s="43"/>
      <c r="U659" s="43"/>
      <c r="V659" s="43"/>
      <c r="W659" s="43"/>
      <c r="X659" s="43"/>
      <c r="Y659" s="43"/>
    </row>
    <row r="660" ht="13.2" spans="1:25">
      <c r="A660" s="42">
        <v>659</v>
      </c>
      <c r="B660" s="43" t="s">
        <v>1003</v>
      </c>
      <c r="C660" s="43"/>
      <c r="D660" s="43"/>
      <c r="E660" s="43"/>
      <c r="F660" s="43"/>
      <c r="G660" s="43"/>
      <c r="H660" s="43"/>
      <c r="I660" s="43"/>
      <c r="J660" s="43"/>
      <c r="K660" s="43"/>
      <c r="L660" s="43"/>
      <c r="M660" s="43"/>
      <c r="N660" s="43"/>
      <c r="O660" s="43"/>
      <c r="P660" s="43"/>
      <c r="Q660" s="43"/>
      <c r="R660" s="43"/>
      <c r="S660" s="43"/>
      <c r="T660" s="43"/>
      <c r="U660" s="43"/>
      <c r="V660" s="43"/>
      <c r="W660" s="43"/>
      <c r="X660" s="43"/>
      <c r="Y660" s="43"/>
    </row>
    <row r="661" ht="13.2" spans="1:25">
      <c r="A661" s="42">
        <v>660</v>
      </c>
      <c r="B661" s="43" t="s">
        <v>1004</v>
      </c>
      <c r="C661" s="43"/>
      <c r="D661" s="43"/>
      <c r="E661" s="43"/>
      <c r="F661" s="43"/>
      <c r="G661" s="43"/>
      <c r="H661" s="43"/>
      <c r="I661" s="43"/>
      <c r="J661" s="43"/>
      <c r="K661" s="43"/>
      <c r="L661" s="43"/>
      <c r="M661" s="43"/>
      <c r="N661" s="43"/>
      <c r="O661" s="43"/>
      <c r="P661" s="43"/>
      <c r="Q661" s="43"/>
      <c r="R661" s="43"/>
      <c r="S661" s="43"/>
      <c r="T661" s="43"/>
      <c r="U661" s="43"/>
      <c r="V661" s="43"/>
      <c r="W661" s="43"/>
      <c r="X661" s="43"/>
      <c r="Y661" s="43"/>
    </row>
    <row r="662" ht="13.2" spans="1:25">
      <c r="A662" s="42">
        <v>661</v>
      </c>
      <c r="B662" s="43" t="s">
        <v>1005</v>
      </c>
      <c r="C662" s="43"/>
      <c r="D662" s="43"/>
      <c r="E662" s="43"/>
      <c r="F662" s="43"/>
      <c r="G662" s="43"/>
      <c r="H662" s="43"/>
      <c r="I662" s="43"/>
      <c r="J662" s="43"/>
      <c r="K662" s="43"/>
      <c r="L662" s="43"/>
      <c r="M662" s="43"/>
      <c r="N662" s="43"/>
      <c r="O662" s="43"/>
      <c r="P662" s="43"/>
      <c r="Q662" s="43"/>
      <c r="R662" s="43"/>
      <c r="S662" s="43"/>
      <c r="T662" s="43"/>
      <c r="U662" s="43"/>
      <c r="V662" s="43"/>
      <c r="W662" s="43"/>
      <c r="X662" s="43"/>
      <c r="Y662" s="43"/>
    </row>
    <row r="663" ht="13.2" spans="1:25">
      <c r="A663" s="42">
        <v>662</v>
      </c>
      <c r="B663" s="43" t="s">
        <v>1006</v>
      </c>
      <c r="C663" s="43"/>
      <c r="D663" s="43"/>
      <c r="E663" s="43"/>
      <c r="F663" s="43"/>
      <c r="G663" s="43"/>
      <c r="H663" s="43"/>
      <c r="I663" s="43"/>
      <c r="J663" s="43"/>
      <c r="K663" s="43"/>
      <c r="L663" s="43"/>
      <c r="M663" s="43"/>
      <c r="N663" s="43"/>
      <c r="O663" s="43"/>
      <c r="P663" s="43"/>
      <c r="Q663" s="43"/>
      <c r="R663" s="43"/>
      <c r="S663" s="43"/>
      <c r="T663" s="43"/>
      <c r="U663" s="43"/>
      <c r="V663" s="43"/>
      <c r="W663" s="43"/>
      <c r="X663" s="43"/>
      <c r="Y663" s="43"/>
    </row>
    <row r="664" ht="13.2" spans="1:25">
      <c r="A664" s="42">
        <v>663</v>
      </c>
      <c r="B664" s="43" t="s">
        <v>1007</v>
      </c>
      <c r="C664" s="43"/>
      <c r="D664" s="43"/>
      <c r="E664" s="43"/>
      <c r="F664" s="43"/>
      <c r="G664" s="43"/>
      <c r="H664" s="43"/>
      <c r="I664" s="43"/>
      <c r="J664" s="43"/>
      <c r="K664" s="43"/>
      <c r="L664" s="43"/>
      <c r="M664" s="43"/>
      <c r="N664" s="43"/>
      <c r="O664" s="43"/>
      <c r="P664" s="43"/>
      <c r="Q664" s="43"/>
      <c r="R664" s="43"/>
      <c r="S664" s="43"/>
      <c r="T664" s="43"/>
      <c r="U664" s="43"/>
      <c r="V664" s="43"/>
      <c r="W664" s="43"/>
      <c r="X664" s="43"/>
      <c r="Y664" s="43"/>
    </row>
    <row r="665" ht="13.2" spans="1:25">
      <c r="A665" s="42">
        <v>664</v>
      </c>
      <c r="B665" s="43" t="s">
        <v>1008</v>
      </c>
      <c r="C665" s="43"/>
      <c r="D665" s="43"/>
      <c r="E665" s="43"/>
      <c r="F665" s="43"/>
      <c r="G665" s="43"/>
      <c r="H665" s="43"/>
      <c r="I665" s="43"/>
      <c r="J665" s="43"/>
      <c r="K665" s="43"/>
      <c r="L665" s="43"/>
      <c r="M665" s="43"/>
      <c r="N665" s="43"/>
      <c r="O665" s="43"/>
      <c r="P665" s="43"/>
      <c r="Q665" s="43"/>
      <c r="R665" s="43"/>
      <c r="S665" s="43"/>
      <c r="T665" s="43"/>
      <c r="U665" s="43"/>
      <c r="V665" s="43"/>
      <c r="W665" s="43"/>
      <c r="X665" s="43"/>
      <c r="Y665" s="43"/>
    </row>
    <row r="666" ht="13.2" spans="1:25">
      <c r="A666" s="42">
        <v>665</v>
      </c>
      <c r="B666" s="43" t="s">
        <v>1009</v>
      </c>
      <c r="C666" s="43"/>
      <c r="D666" s="43"/>
      <c r="E666" s="43"/>
      <c r="F666" s="43"/>
      <c r="G666" s="43"/>
      <c r="H666" s="43"/>
      <c r="I666" s="43"/>
      <c r="J666" s="43"/>
      <c r="K666" s="43"/>
      <c r="L666" s="43"/>
      <c r="M666" s="43"/>
      <c r="N666" s="43"/>
      <c r="O666" s="43"/>
      <c r="P666" s="43"/>
      <c r="Q666" s="43"/>
      <c r="R666" s="43"/>
      <c r="S666" s="43"/>
      <c r="T666" s="43"/>
      <c r="U666" s="43"/>
      <c r="V666" s="43"/>
      <c r="W666" s="43"/>
      <c r="X666" s="43"/>
      <c r="Y666" s="43"/>
    </row>
    <row r="667" ht="13.2" spans="1:25">
      <c r="A667" s="42">
        <v>666</v>
      </c>
      <c r="B667" s="43" t="s">
        <v>1010</v>
      </c>
      <c r="C667" s="43"/>
      <c r="D667" s="43"/>
      <c r="E667" s="43"/>
      <c r="F667" s="43"/>
      <c r="G667" s="43"/>
      <c r="H667" s="43"/>
      <c r="I667" s="43"/>
      <c r="J667" s="43"/>
      <c r="K667" s="43"/>
      <c r="L667" s="43"/>
      <c r="M667" s="43"/>
      <c r="N667" s="43"/>
      <c r="O667" s="43"/>
      <c r="P667" s="43"/>
      <c r="Q667" s="43"/>
      <c r="R667" s="43"/>
      <c r="S667" s="43"/>
      <c r="T667" s="43"/>
      <c r="U667" s="43"/>
      <c r="V667" s="43"/>
      <c r="W667" s="43"/>
      <c r="X667" s="43"/>
      <c r="Y667" s="43"/>
    </row>
    <row r="668" ht="13.2" spans="1:25">
      <c r="A668" s="42">
        <v>667</v>
      </c>
      <c r="B668" s="43" t="s">
        <v>1011</v>
      </c>
      <c r="C668" s="43"/>
      <c r="D668" s="43"/>
      <c r="E668" s="43"/>
      <c r="F668" s="43"/>
      <c r="G668" s="43"/>
      <c r="H668" s="43"/>
      <c r="I668" s="43"/>
      <c r="J668" s="43"/>
      <c r="K668" s="43"/>
      <c r="L668" s="43"/>
      <c r="M668" s="43"/>
      <c r="N668" s="43"/>
      <c r="O668" s="43"/>
      <c r="P668" s="43"/>
      <c r="Q668" s="43"/>
      <c r="R668" s="43"/>
      <c r="S668" s="43"/>
      <c r="T668" s="43"/>
      <c r="U668" s="43"/>
      <c r="V668" s="43"/>
      <c r="W668" s="43"/>
      <c r="X668" s="43"/>
      <c r="Y668" s="43"/>
    </row>
    <row r="669" ht="13.2" spans="1:25">
      <c r="A669" s="42">
        <v>668</v>
      </c>
      <c r="B669" s="43" t="s">
        <v>1012</v>
      </c>
      <c r="C669" s="43"/>
      <c r="D669" s="43"/>
      <c r="E669" s="43"/>
      <c r="F669" s="43"/>
      <c r="G669" s="43"/>
      <c r="H669" s="43"/>
      <c r="I669" s="43"/>
      <c r="J669" s="43"/>
      <c r="K669" s="43"/>
      <c r="L669" s="43"/>
      <c r="M669" s="43"/>
      <c r="N669" s="43"/>
      <c r="O669" s="43"/>
      <c r="P669" s="43"/>
      <c r="Q669" s="43"/>
      <c r="R669" s="43"/>
      <c r="S669" s="43"/>
      <c r="T669" s="43"/>
      <c r="U669" s="43"/>
      <c r="V669" s="43"/>
      <c r="W669" s="43"/>
      <c r="X669" s="43"/>
      <c r="Y669" s="43"/>
    </row>
    <row r="670" ht="13.2" spans="1:25">
      <c r="A670" s="42">
        <v>669</v>
      </c>
      <c r="B670" s="43" t="s">
        <v>1013</v>
      </c>
      <c r="C670" s="43"/>
      <c r="D670" s="43"/>
      <c r="E670" s="43"/>
      <c r="F670" s="43"/>
      <c r="G670" s="43"/>
      <c r="H670" s="43"/>
      <c r="I670" s="43"/>
      <c r="J670" s="43"/>
      <c r="K670" s="43"/>
      <c r="L670" s="43"/>
      <c r="M670" s="43"/>
      <c r="N670" s="43"/>
      <c r="O670" s="43"/>
      <c r="P670" s="43"/>
      <c r="Q670" s="43"/>
      <c r="R670" s="43"/>
      <c r="S670" s="43"/>
      <c r="T670" s="43"/>
      <c r="U670" s="43"/>
      <c r="V670" s="43"/>
      <c r="W670" s="43"/>
      <c r="X670" s="43"/>
      <c r="Y670" s="43"/>
    </row>
    <row r="671" ht="13.2" spans="1:25">
      <c r="A671" s="42">
        <v>670</v>
      </c>
      <c r="B671" s="43" t="s">
        <v>1014</v>
      </c>
      <c r="C671" s="43"/>
      <c r="D671" s="43"/>
      <c r="E671" s="43"/>
      <c r="F671" s="43"/>
      <c r="G671" s="43"/>
      <c r="H671" s="43"/>
      <c r="I671" s="43"/>
      <c r="J671" s="43"/>
      <c r="K671" s="43"/>
      <c r="L671" s="43"/>
      <c r="M671" s="43"/>
      <c r="N671" s="43"/>
      <c r="O671" s="43"/>
      <c r="P671" s="43"/>
      <c r="Q671" s="43"/>
      <c r="R671" s="43"/>
      <c r="S671" s="43"/>
      <c r="T671" s="43"/>
      <c r="U671" s="43"/>
      <c r="V671" s="43"/>
      <c r="W671" s="43"/>
      <c r="X671" s="43"/>
      <c r="Y671" s="43"/>
    </row>
    <row r="672" ht="13.2" spans="1:25">
      <c r="A672" s="42">
        <v>671</v>
      </c>
      <c r="B672" s="43" t="s">
        <v>173</v>
      </c>
      <c r="C672" s="43"/>
      <c r="D672" s="43"/>
      <c r="E672" s="43"/>
      <c r="F672" s="43"/>
      <c r="G672" s="43"/>
      <c r="H672" s="43"/>
      <c r="I672" s="43"/>
      <c r="J672" s="43"/>
      <c r="K672" s="43"/>
      <c r="L672" s="43"/>
      <c r="M672" s="43"/>
      <c r="N672" s="43"/>
      <c r="O672" s="43"/>
      <c r="P672" s="43"/>
      <c r="Q672" s="43"/>
      <c r="R672" s="43"/>
      <c r="S672" s="43"/>
      <c r="T672" s="43"/>
      <c r="U672" s="43"/>
      <c r="V672" s="43"/>
      <c r="W672" s="43"/>
      <c r="X672" s="43"/>
      <c r="Y672" s="43"/>
    </row>
    <row r="673" ht="13.2" spans="1:25">
      <c r="A673" s="42">
        <v>672</v>
      </c>
      <c r="B673" s="43" t="s">
        <v>1015</v>
      </c>
      <c r="C673" s="43"/>
      <c r="D673" s="43"/>
      <c r="E673" s="43"/>
      <c r="F673" s="43"/>
      <c r="G673" s="43"/>
      <c r="H673" s="43"/>
      <c r="I673" s="43"/>
      <c r="J673" s="43"/>
      <c r="K673" s="43"/>
      <c r="L673" s="43"/>
      <c r="M673" s="43"/>
      <c r="N673" s="43"/>
      <c r="O673" s="43"/>
      <c r="P673" s="43"/>
      <c r="Q673" s="43"/>
      <c r="R673" s="43"/>
      <c r="S673" s="43"/>
      <c r="T673" s="43"/>
      <c r="U673" s="43"/>
      <c r="V673" s="43"/>
      <c r="W673" s="43"/>
      <c r="X673" s="43"/>
      <c r="Y673" s="43"/>
    </row>
    <row r="674" ht="13.2" spans="1:25">
      <c r="A674" s="42">
        <v>673</v>
      </c>
      <c r="B674" s="43" t="s">
        <v>1016</v>
      </c>
      <c r="C674" s="43"/>
      <c r="D674" s="43"/>
      <c r="E674" s="43"/>
      <c r="F674" s="43"/>
      <c r="G674" s="43"/>
      <c r="H674" s="43"/>
      <c r="I674" s="43"/>
      <c r="J674" s="43"/>
      <c r="K674" s="43"/>
      <c r="L674" s="43"/>
      <c r="M674" s="43"/>
      <c r="N674" s="43"/>
      <c r="O674" s="43"/>
      <c r="P674" s="43"/>
      <c r="Q674" s="43"/>
      <c r="R674" s="43"/>
      <c r="S674" s="43"/>
      <c r="T674" s="43"/>
      <c r="U674" s="43"/>
      <c r="V674" s="43"/>
      <c r="W674" s="43"/>
      <c r="X674" s="43"/>
      <c r="Y674" s="43"/>
    </row>
    <row r="675" ht="13.2" spans="1:25">
      <c r="A675" s="42">
        <v>674</v>
      </c>
      <c r="B675" s="43" t="s">
        <v>1017</v>
      </c>
      <c r="C675" s="43"/>
      <c r="D675" s="43"/>
      <c r="E675" s="43"/>
      <c r="F675" s="43"/>
      <c r="G675" s="43"/>
      <c r="H675" s="43"/>
      <c r="I675" s="43"/>
      <c r="J675" s="43"/>
      <c r="K675" s="43"/>
      <c r="L675" s="43"/>
      <c r="M675" s="43"/>
      <c r="N675" s="43"/>
      <c r="O675" s="43"/>
      <c r="P675" s="43"/>
      <c r="Q675" s="43"/>
      <c r="R675" s="43"/>
      <c r="S675" s="43"/>
      <c r="T675" s="43"/>
      <c r="U675" s="43"/>
      <c r="V675" s="43"/>
      <c r="W675" s="43"/>
      <c r="X675" s="43"/>
      <c r="Y675" s="43"/>
    </row>
    <row r="676" ht="13.2" spans="1:25">
      <c r="A676" s="42">
        <v>675</v>
      </c>
      <c r="B676" s="43" t="s">
        <v>1018</v>
      </c>
      <c r="C676" s="43"/>
      <c r="D676" s="43"/>
      <c r="E676" s="43"/>
      <c r="F676" s="43"/>
      <c r="G676" s="43"/>
      <c r="H676" s="43"/>
      <c r="I676" s="43"/>
      <c r="J676" s="43"/>
      <c r="K676" s="43"/>
      <c r="L676" s="43"/>
      <c r="M676" s="43"/>
      <c r="N676" s="43"/>
      <c r="O676" s="43"/>
      <c r="P676" s="43"/>
      <c r="Q676" s="43"/>
      <c r="R676" s="43"/>
      <c r="S676" s="43"/>
      <c r="T676" s="43"/>
      <c r="U676" s="43"/>
      <c r="V676" s="43"/>
      <c r="W676" s="43"/>
      <c r="X676" s="43"/>
      <c r="Y676" s="43"/>
    </row>
    <row r="677" ht="13.2" spans="1:25">
      <c r="A677" s="42">
        <v>676</v>
      </c>
      <c r="B677" s="43" t="s">
        <v>1019</v>
      </c>
      <c r="C677" s="43"/>
      <c r="D677" s="43"/>
      <c r="E677" s="43"/>
      <c r="F677" s="43"/>
      <c r="G677" s="43"/>
      <c r="H677" s="43"/>
      <c r="I677" s="43"/>
      <c r="J677" s="43"/>
      <c r="K677" s="43"/>
      <c r="L677" s="43"/>
      <c r="M677" s="43"/>
      <c r="N677" s="43"/>
      <c r="O677" s="43"/>
      <c r="P677" s="43"/>
      <c r="Q677" s="43"/>
      <c r="R677" s="43"/>
      <c r="S677" s="43"/>
      <c r="T677" s="43"/>
      <c r="U677" s="43"/>
      <c r="V677" s="43"/>
      <c r="W677" s="43"/>
      <c r="X677" s="43"/>
      <c r="Y677" s="43"/>
    </row>
    <row r="678" ht="13.2" spans="1:25">
      <c r="A678" s="42">
        <v>677</v>
      </c>
      <c r="B678" s="43" t="s">
        <v>1020</v>
      </c>
      <c r="C678" s="43"/>
      <c r="D678" s="43"/>
      <c r="E678" s="43"/>
      <c r="F678" s="43"/>
      <c r="G678" s="43"/>
      <c r="H678" s="43"/>
      <c r="I678" s="43"/>
      <c r="J678" s="43"/>
      <c r="K678" s="43"/>
      <c r="L678" s="43"/>
      <c r="M678" s="43"/>
      <c r="N678" s="43"/>
      <c r="O678" s="43"/>
      <c r="P678" s="43"/>
      <c r="Q678" s="43"/>
      <c r="R678" s="43"/>
      <c r="S678" s="43"/>
      <c r="T678" s="43"/>
      <c r="U678" s="43"/>
      <c r="V678" s="43"/>
      <c r="W678" s="43"/>
      <c r="X678" s="43"/>
      <c r="Y678" s="43"/>
    </row>
    <row r="679" ht="13.2" spans="1:25">
      <c r="A679" s="42">
        <v>678</v>
      </c>
      <c r="B679" s="43" t="s">
        <v>1021</v>
      </c>
      <c r="C679" s="43"/>
      <c r="D679" s="43"/>
      <c r="E679" s="43"/>
      <c r="F679" s="43"/>
      <c r="G679" s="43"/>
      <c r="H679" s="43"/>
      <c r="I679" s="43"/>
      <c r="J679" s="43"/>
      <c r="K679" s="43"/>
      <c r="L679" s="43"/>
      <c r="M679" s="43"/>
      <c r="N679" s="43"/>
      <c r="O679" s="43"/>
      <c r="P679" s="43"/>
      <c r="Q679" s="43"/>
      <c r="R679" s="43"/>
      <c r="S679" s="43"/>
      <c r="T679" s="43"/>
      <c r="U679" s="43"/>
      <c r="V679" s="43"/>
      <c r="W679" s="43"/>
      <c r="X679" s="43"/>
      <c r="Y679" s="43"/>
    </row>
    <row r="680" ht="13.2" spans="1:25">
      <c r="A680" s="42">
        <v>679</v>
      </c>
      <c r="B680" s="43" t="s">
        <v>1022</v>
      </c>
      <c r="C680" s="43"/>
      <c r="D680" s="43"/>
      <c r="E680" s="43"/>
      <c r="F680" s="43"/>
      <c r="G680" s="43"/>
      <c r="H680" s="43"/>
      <c r="I680" s="43"/>
      <c r="J680" s="43"/>
      <c r="K680" s="43"/>
      <c r="L680" s="43"/>
      <c r="M680" s="43"/>
      <c r="N680" s="43"/>
      <c r="O680" s="43"/>
      <c r="P680" s="43"/>
      <c r="Q680" s="43"/>
      <c r="R680" s="43"/>
      <c r="S680" s="43"/>
      <c r="T680" s="43"/>
      <c r="U680" s="43"/>
      <c r="V680" s="43"/>
      <c r="W680" s="43"/>
      <c r="X680" s="43"/>
      <c r="Y680" s="43"/>
    </row>
    <row r="681" ht="13.2" spans="1:25">
      <c r="A681" s="42">
        <v>680</v>
      </c>
      <c r="B681" s="43" t="s">
        <v>1023</v>
      </c>
      <c r="C681" s="43"/>
      <c r="D681" s="43"/>
      <c r="E681" s="43"/>
      <c r="F681" s="43"/>
      <c r="G681" s="43"/>
      <c r="H681" s="43"/>
      <c r="I681" s="43"/>
      <c r="J681" s="43"/>
      <c r="K681" s="43"/>
      <c r="L681" s="43"/>
      <c r="M681" s="43"/>
      <c r="N681" s="43"/>
      <c r="O681" s="43"/>
      <c r="P681" s="43"/>
      <c r="Q681" s="43"/>
      <c r="R681" s="43"/>
      <c r="S681" s="43"/>
      <c r="T681" s="43"/>
      <c r="U681" s="43"/>
      <c r="V681" s="43"/>
      <c r="W681" s="43"/>
      <c r="X681" s="43"/>
      <c r="Y681" s="43"/>
    </row>
    <row r="682" ht="13.2" spans="1:25">
      <c r="A682" s="42">
        <v>681</v>
      </c>
      <c r="B682" s="43" t="s">
        <v>1024</v>
      </c>
      <c r="C682" s="43"/>
      <c r="D682" s="43"/>
      <c r="E682" s="43"/>
      <c r="F682" s="43"/>
      <c r="G682" s="43"/>
      <c r="H682" s="43"/>
      <c r="I682" s="43"/>
      <c r="J682" s="43"/>
      <c r="K682" s="43"/>
      <c r="L682" s="43"/>
      <c r="M682" s="43"/>
      <c r="N682" s="43"/>
      <c r="O682" s="43"/>
      <c r="P682" s="43"/>
      <c r="Q682" s="43"/>
      <c r="R682" s="43"/>
      <c r="S682" s="43"/>
      <c r="T682" s="43"/>
      <c r="U682" s="43"/>
      <c r="V682" s="43"/>
      <c r="W682" s="43"/>
      <c r="X682" s="43"/>
      <c r="Y682" s="43"/>
    </row>
    <row r="683" ht="13.2" spans="1:25">
      <c r="A683" s="42">
        <v>682</v>
      </c>
      <c r="B683" s="43" t="s">
        <v>1025</v>
      </c>
      <c r="C683" s="43"/>
      <c r="D683" s="43"/>
      <c r="E683" s="43"/>
      <c r="F683" s="43"/>
      <c r="G683" s="43"/>
      <c r="H683" s="43"/>
      <c r="I683" s="43"/>
      <c r="J683" s="43"/>
      <c r="K683" s="43"/>
      <c r="L683" s="43"/>
      <c r="M683" s="43"/>
      <c r="N683" s="43"/>
      <c r="O683" s="43"/>
      <c r="P683" s="43"/>
      <c r="Q683" s="43"/>
      <c r="R683" s="43"/>
      <c r="S683" s="43"/>
      <c r="T683" s="43"/>
      <c r="U683" s="43"/>
      <c r="V683" s="43"/>
      <c r="W683" s="43"/>
      <c r="X683" s="43"/>
      <c r="Y683" s="43"/>
    </row>
    <row r="684" ht="13.2" spans="1:25">
      <c r="A684" s="42">
        <v>683</v>
      </c>
      <c r="B684" s="43" t="s">
        <v>1026</v>
      </c>
      <c r="C684" s="43"/>
      <c r="D684" s="43"/>
      <c r="E684" s="43"/>
      <c r="F684" s="43"/>
      <c r="G684" s="43"/>
      <c r="H684" s="43"/>
      <c r="I684" s="43"/>
      <c r="J684" s="43"/>
      <c r="K684" s="43"/>
      <c r="L684" s="43"/>
      <c r="M684" s="43"/>
      <c r="N684" s="43"/>
      <c r="O684" s="43"/>
      <c r="P684" s="43"/>
      <c r="Q684" s="43"/>
      <c r="R684" s="43"/>
      <c r="S684" s="43"/>
      <c r="T684" s="43"/>
      <c r="U684" s="43"/>
      <c r="V684" s="43"/>
      <c r="W684" s="43"/>
      <c r="X684" s="43"/>
      <c r="Y684" s="43"/>
    </row>
    <row r="685" ht="13.2" spans="1:25">
      <c r="A685" s="42">
        <v>684</v>
      </c>
      <c r="B685" s="43" t="s">
        <v>1027</v>
      </c>
      <c r="C685" s="43"/>
      <c r="D685" s="43"/>
      <c r="E685" s="43"/>
      <c r="F685" s="43"/>
      <c r="G685" s="43"/>
      <c r="H685" s="43"/>
      <c r="I685" s="43"/>
      <c r="J685" s="43"/>
      <c r="K685" s="43"/>
      <c r="L685" s="43"/>
      <c r="M685" s="43"/>
      <c r="N685" s="43"/>
      <c r="O685" s="43"/>
      <c r="P685" s="43"/>
      <c r="Q685" s="43"/>
      <c r="R685" s="43"/>
      <c r="S685" s="43"/>
      <c r="T685" s="43"/>
      <c r="U685" s="43"/>
      <c r="V685" s="43"/>
      <c r="W685" s="43"/>
      <c r="X685" s="43"/>
      <c r="Y685" s="43"/>
    </row>
    <row r="686" ht="13.2" spans="1:25">
      <c r="A686" s="42">
        <v>685</v>
      </c>
      <c r="B686" s="42" t="s">
        <v>1028</v>
      </c>
      <c r="C686" s="43"/>
      <c r="D686" s="43"/>
      <c r="E686" s="43"/>
      <c r="F686" s="43"/>
      <c r="G686" s="43"/>
      <c r="H686" s="43"/>
      <c r="I686" s="43"/>
      <c r="J686" s="43"/>
      <c r="K686" s="43"/>
      <c r="L686" s="43"/>
      <c r="M686" s="43"/>
      <c r="N686" s="43"/>
      <c r="O686" s="43"/>
      <c r="P686" s="43"/>
      <c r="Q686" s="43"/>
      <c r="R686" s="43"/>
      <c r="S686" s="43"/>
      <c r="T686" s="43"/>
      <c r="U686" s="43"/>
      <c r="V686" s="43"/>
      <c r="W686" s="43"/>
      <c r="X686" s="43"/>
      <c r="Y686" s="43"/>
    </row>
    <row r="687" ht="13.2" spans="1:25">
      <c r="A687" s="42">
        <v>686</v>
      </c>
      <c r="B687" s="43" t="s">
        <v>1029</v>
      </c>
      <c r="C687" s="43"/>
      <c r="D687" s="43"/>
      <c r="E687" s="43"/>
      <c r="F687" s="43"/>
      <c r="G687" s="43"/>
      <c r="H687" s="43"/>
      <c r="I687" s="43"/>
      <c r="J687" s="43"/>
      <c r="K687" s="43"/>
      <c r="L687" s="43"/>
      <c r="M687" s="43"/>
      <c r="N687" s="43"/>
      <c r="O687" s="43"/>
      <c r="P687" s="43"/>
      <c r="Q687" s="43"/>
      <c r="R687" s="43"/>
      <c r="S687" s="43"/>
      <c r="T687" s="43"/>
      <c r="U687" s="43"/>
      <c r="V687" s="43"/>
      <c r="W687" s="43"/>
      <c r="X687" s="43"/>
      <c r="Y687" s="43"/>
    </row>
    <row r="688" ht="13.2" spans="1:25">
      <c r="A688" s="42">
        <v>687</v>
      </c>
      <c r="B688" s="43" t="s">
        <v>1030</v>
      </c>
      <c r="C688" s="43"/>
      <c r="D688" s="43"/>
      <c r="E688" s="43"/>
      <c r="F688" s="43"/>
      <c r="G688" s="43"/>
      <c r="H688" s="43"/>
      <c r="I688" s="43"/>
      <c r="J688" s="43"/>
      <c r="K688" s="43"/>
      <c r="L688" s="43"/>
      <c r="M688" s="43"/>
      <c r="N688" s="43"/>
      <c r="O688" s="43"/>
      <c r="P688" s="43"/>
      <c r="Q688" s="43"/>
      <c r="R688" s="43"/>
      <c r="S688" s="43"/>
      <c r="T688" s="43"/>
      <c r="U688" s="43"/>
      <c r="V688" s="43"/>
      <c r="W688" s="43"/>
      <c r="X688" s="43"/>
      <c r="Y688" s="43"/>
    </row>
    <row r="689" ht="13.2" spans="1:25">
      <c r="A689" s="42">
        <v>688</v>
      </c>
      <c r="B689" s="43" t="s">
        <v>1031</v>
      </c>
      <c r="C689" s="43"/>
      <c r="D689" s="43"/>
      <c r="E689" s="43"/>
      <c r="F689" s="43"/>
      <c r="G689" s="43"/>
      <c r="H689" s="43"/>
      <c r="I689" s="43"/>
      <c r="J689" s="43"/>
      <c r="K689" s="43"/>
      <c r="L689" s="43"/>
      <c r="M689" s="43"/>
      <c r="N689" s="43"/>
      <c r="O689" s="43"/>
      <c r="P689" s="43"/>
      <c r="Q689" s="43"/>
      <c r="R689" s="43"/>
      <c r="S689" s="43"/>
      <c r="T689" s="43"/>
      <c r="U689" s="43"/>
      <c r="V689" s="43"/>
      <c r="W689" s="43"/>
      <c r="X689" s="43"/>
      <c r="Y689" s="43"/>
    </row>
    <row r="690" ht="13.2" spans="1:25">
      <c r="A690" s="42">
        <v>689</v>
      </c>
      <c r="B690" s="43" t="s">
        <v>1032</v>
      </c>
      <c r="C690" s="43"/>
      <c r="D690" s="43"/>
      <c r="E690" s="43"/>
      <c r="F690" s="43"/>
      <c r="G690" s="43"/>
      <c r="H690" s="43"/>
      <c r="I690" s="43"/>
      <c r="J690" s="43"/>
      <c r="K690" s="43"/>
      <c r="L690" s="43"/>
      <c r="M690" s="43"/>
      <c r="N690" s="43"/>
      <c r="O690" s="43"/>
      <c r="P690" s="43"/>
      <c r="Q690" s="43"/>
      <c r="R690" s="43"/>
      <c r="S690" s="43"/>
      <c r="T690" s="43"/>
      <c r="U690" s="43"/>
      <c r="V690" s="43"/>
      <c r="W690" s="43"/>
      <c r="X690" s="43"/>
      <c r="Y690" s="43"/>
    </row>
    <row r="691" ht="13.2" spans="1:25">
      <c r="A691" s="42">
        <v>690</v>
      </c>
      <c r="B691" s="42" t="s">
        <v>1033</v>
      </c>
      <c r="C691" s="43"/>
      <c r="D691" s="43"/>
      <c r="E691" s="43"/>
      <c r="F691" s="43"/>
      <c r="G691" s="43"/>
      <c r="H691" s="43"/>
      <c r="I691" s="43"/>
      <c r="J691" s="43"/>
      <c r="K691" s="43"/>
      <c r="L691" s="43"/>
      <c r="M691" s="43"/>
      <c r="N691" s="43"/>
      <c r="O691" s="43"/>
      <c r="P691" s="43"/>
      <c r="Q691" s="43"/>
      <c r="R691" s="43"/>
      <c r="S691" s="43"/>
      <c r="T691" s="43"/>
      <c r="U691" s="43"/>
      <c r="V691" s="43"/>
      <c r="W691" s="43"/>
      <c r="X691" s="43"/>
      <c r="Y691" s="43"/>
    </row>
    <row r="692" ht="13.2" spans="1:25">
      <c r="A692" s="42">
        <v>691</v>
      </c>
      <c r="B692" s="43" t="s">
        <v>1034</v>
      </c>
      <c r="C692" s="43"/>
      <c r="D692" s="43"/>
      <c r="E692" s="43"/>
      <c r="F692" s="43"/>
      <c r="G692" s="43"/>
      <c r="H692" s="43"/>
      <c r="I692" s="43"/>
      <c r="J692" s="43"/>
      <c r="K692" s="43"/>
      <c r="L692" s="43"/>
      <c r="M692" s="43"/>
      <c r="N692" s="43"/>
      <c r="O692" s="43"/>
      <c r="P692" s="43"/>
      <c r="Q692" s="43"/>
      <c r="R692" s="43"/>
      <c r="S692" s="43"/>
      <c r="T692" s="43"/>
      <c r="U692" s="43"/>
      <c r="V692" s="43"/>
      <c r="W692" s="43"/>
      <c r="X692" s="43"/>
      <c r="Y692" s="43"/>
    </row>
    <row r="693" ht="13.2" spans="1:25">
      <c r="A693" s="42">
        <v>692</v>
      </c>
      <c r="B693" s="43" t="s">
        <v>1035</v>
      </c>
      <c r="C693" s="43"/>
      <c r="D693" s="43"/>
      <c r="E693" s="43"/>
      <c r="F693" s="43"/>
      <c r="G693" s="43"/>
      <c r="H693" s="43"/>
      <c r="I693" s="43"/>
      <c r="J693" s="43"/>
      <c r="K693" s="43"/>
      <c r="L693" s="43"/>
      <c r="M693" s="43"/>
      <c r="N693" s="43"/>
      <c r="O693" s="43"/>
      <c r="P693" s="43"/>
      <c r="Q693" s="43"/>
      <c r="R693" s="43"/>
      <c r="S693" s="43"/>
      <c r="T693" s="43"/>
      <c r="U693" s="43"/>
      <c r="V693" s="43"/>
      <c r="W693" s="43"/>
      <c r="X693" s="43"/>
      <c r="Y693" s="43"/>
    </row>
    <row r="694" ht="13.2" spans="1:25">
      <c r="A694" s="42">
        <v>693</v>
      </c>
      <c r="B694" s="43" t="s">
        <v>1036</v>
      </c>
      <c r="C694" s="43"/>
      <c r="D694" s="43"/>
      <c r="E694" s="43"/>
      <c r="F694" s="43"/>
      <c r="G694" s="43"/>
      <c r="H694" s="43"/>
      <c r="I694" s="43"/>
      <c r="J694" s="43"/>
      <c r="K694" s="43"/>
      <c r="L694" s="43"/>
      <c r="M694" s="43"/>
      <c r="N694" s="43"/>
      <c r="O694" s="43"/>
      <c r="P694" s="43"/>
      <c r="Q694" s="43"/>
      <c r="R694" s="43"/>
      <c r="S694" s="43"/>
      <c r="T694" s="43"/>
      <c r="U694" s="43"/>
      <c r="V694" s="43"/>
      <c r="W694" s="43"/>
      <c r="X694" s="43"/>
      <c r="Y694" s="43"/>
    </row>
    <row r="695" ht="13.2" spans="1:25">
      <c r="A695" s="42">
        <v>694</v>
      </c>
      <c r="B695" s="43" t="s">
        <v>1037</v>
      </c>
      <c r="C695" s="43"/>
      <c r="D695" s="43"/>
      <c r="E695" s="43"/>
      <c r="F695" s="43"/>
      <c r="G695" s="43"/>
      <c r="H695" s="43"/>
      <c r="I695" s="43"/>
      <c r="J695" s="43"/>
      <c r="K695" s="43"/>
      <c r="L695" s="43"/>
      <c r="M695" s="43"/>
      <c r="N695" s="43"/>
      <c r="O695" s="43"/>
      <c r="P695" s="43"/>
      <c r="Q695" s="43"/>
      <c r="R695" s="43"/>
      <c r="S695" s="43"/>
      <c r="T695" s="43"/>
      <c r="U695" s="43"/>
      <c r="V695" s="43"/>
      <c r="W695" s="43"/>
      <c r="X695" s="43"/>
      <c r="Y695" s="43"/>
    </row>
    <row r="696" ht="13.2" spans="1:25">
      <c r="A696" s="42">
        <v>695</v>
      </c>
      <c r="B696" s="43" t="s">
        <v>1038</v>
      </c>
      <c r="C696" s="43"/>
      <c r="D696" s="43"/>
      <c r="E696" s="43"/>
      <c r="F696" s="43"/>
      <c r="G696" s="43"/>
      <c r="H696" s="43"/>
      <c r="I696" s="43"/>
      <c r="J696" s="43"/>
      <c r="K696" s="43"/>
      <c r="L696" s="43"/>
      <c r="M696" s="43"/>
      <c r="N696" s="43"/>
      <c r="O696" s="43"/>
      <c r="P696" s="43"/>
      <c r="Q696" s="43"/>
      <c r="R696" s="43"/>
      <c r="S696" s="43"/>
      <c r="T696" s="43"/>
      <c r="U696" s="43"/>
      <c r="V696" s="43"/>
      <c r="W696" s="43"/>
      <c r="X696" s="43"/>
      <c r="Y696" s="43"/>
    </row>
    <row r="697" ht="13.2" spans="1:25">
      <c r="A697" s="42">
        <v>696</v>
      </c>
      <c r="B697" s="43" t="s">
        <v>1039</v>
      </c>
      <c r="C697" s="43"/>
      <c r="D697" s="43"/>
      <c r="E697" s="43"/>
      <c r="F697" s="43"/>
      <c r="G697" s="43"/>
      <c r="H697" s="43"/>
      <c r="I697" s="43"/>
      <c r="J697" s="43"/>
      <c r="K697" s="43"/>
      <c r="L697" s="43"/>
      <c r="M697" s="43"/>
      <c r="N697" s="43"/>
      <c r="O697" s="43"/>
      <c r="P697" s="43"/>
      <c r="Q697" s="43"/>
      <c r="R697" s="43"/>
      <c r="S697" s="43"/>
      <c r="T697" s="43"/>
      <c r="U697" s="43"/>
      <c r="V697" s="43"/>
      <c r="W697" s="43"/>
      <c r="X697" s="43"/>
      <c r="Y697" s="43"/>
    </row>
    <row r="698" ht="13.2" spans="1:25">
      <c r="A698" s="42">
        <v>697</v>
      </c>
      <c r="B698" s="43" t="s">
        <v>1040</v>
      </c>
      <c r="C698" s="43"/>
      <c r="D698" s="43"/>
      <c r="E698" s="43"/>
      <c r="F698" s="43"/>
      <c r="G698" s="43"/>
      <c r="H698" s="43"/>
      <c r="I698" s="43"/>
      <c r="J698" s="43"/>
      <c r="K698" s="43"/>
      <c r="L698" s="43"/>
      <c r="M698" s="43"/>
      <c r="N698" s="43"/>
      <c r="O698" s="43"/>
      <c r="P698" s="43"/>
      <c r="Q698" s="43"/>
      <c r="R698" s="43"/>
      <c r="S698" s="43"/>
      <c r="T698" s="43"/>
      <c r="U698" s="43"/>
      <c r="V698" s="43"/>
      <c r="W698" s="43"/>
      <c r="X698" s="43"/>
      <c r="Y698" s="43"/>
    </row>
    <row r="699" ht="13.2" spans="1:25">
      <c r="A699" s="42">
        <v>698</v>
      </c>
      <c r="B699" s="43" t="s">
        <v>1041</v>
      </c>
      <c r="C699" s="43"/>
      <c r="D699" s="43"/>
      <c r="E699" s="43"/>
      <c r="F699" s="43"/>
      <c r="G699" s="43"/>
      <c r="H699" s="43"/>
      <c r="I699" s="43"/>
      <c r="J699" s="43"/>
      <c r="K699" s="43"/>
      <c r="L699" s="43"/>
      <c r="M699" s="43"/>
      <c r="N699" s="43"/>
      <c r="O699" s="43"/>
      <c r="P699" s="43"/>
      <c r="Q699" s="43"/>
      <c r="R699" s="43"/>
      <c r="S699" s="43"/>
      <c r="T699" s="43"/>
      <c r="U699" s="43"/>
      <c r="V699" s="43"/>
      <c r="W699" s="43"/>
      <c r="X699" s="43"/>
      <c r="Y699" s="43"/>
    </row>
    <row r="700" ht="13.2" spans="1:25">
      <c r="A700" s="42">
        <v>699</v>
      </c>
      <c r="B700" s="43" t="s">
        <v>1042</v>
      </c>
      <c r="C700" s="43"/>
      <c r="D700" s="43"/>
      <c r="E700" s="43"/>
      <c r="F700" s="43"/>
      <c r="G700" s="43"/>
      <c r="H700" s="43"/>
      <c r="I700" s="43"/>
      <c r="J700" s="43"/>
      <c r="K700" s="43"/>
      <c r="L700" s="43"/>
      <c r="M700" s="43"/>
      <c r="N700" s="43"/>
      <c r="O700" s="43"/>
      <c r="P700" s="43"/>
      <c r="Q700" s="43"/>
      <c r="R700" s="43"/>
      <c r="S700" s="43"/>
      <c r="T700" s="43"/>
      <c r="U700" s="43"/>
      <c r="V700" s="43"/>
      <c r="W700" s="43"/>
      <c r="X700" s="43"/>
      <c r="Y700" s="43"/>
    </row>
    <row r="701" ht="13.2" spans="1:25">
      <c r="A701" s="42">
        <v>700</v>
      </c>
      <c r="B701" s="43" t="s">
        <v>1043</v>
      </c>
      <c r="C701" s="43"/>
      <c r="D701" s="43"/>
      <c r="E701" s="43"/>
      <c r="F701" s="43"/>
      <c r="G701" s="43"/>
      <c r="H701" s="43"/>
      <c r="I701" s="43"/>
      <c r="J701" s="43"/>
      <c r="K701" s="43"/>
      <c r="L701" s="43"/>
      <c r="M701" s="43"/>
      <c r="N701" s="43"/>
      <c r="O701" s="43"/>
      <c r="P701" s="43"/>
      <c r="Q701" s="43"/>
      <c r="R701" s="43"/>
      <c r="S701" s="43"/>
      <c r="T701" s="43"/>
      <c r="U701" s="43"/>
      <c r="V701" s="43"/>
      <c r="W701" s="43"/>
      <c r="X701" s="43"/>
      <c r="Y701" s="43"/>
    </row>
    <row r="702" ht="13.2" spans="1:25">
      <c r="A702" s="42">
        <v>701</v>
      </c>
      <c r="B702" s="43" t="s">
        <v>1044</v>
      </c>
      <c r="C702" s="43"/>
      <c r="D702" s="43"/>
      <c r="E702" s="43"/>
      <c r="F702" s="43"/>
      <c r="G702" s="43"/>
      <c r="H702" s="43"/>
      <c r="I702" s="43"/>
      <c r="J702" s="43"/>
      <c r="K702" s="43"/>
      <c r="L702" s="43"/>
      <c r="M702" s="43"/>
      <c r="N702" s="43"/>
      <c r="O702" s="43"/>
      <c r="P702" s="43"/>
      <c r="Q702" s="43"/>
      <c r="R702" s="43"/>
      <c r="S702" s="43"/>
      <c r="T702" s="43"/>
      <c r="U702" s="43"/>
      <c r="V702" s="43"/>
      <c r="W702" s="43"/>
      <c r="X702" s="43"/>
      <c r="Y702" s="43"/>
    </row>
    <row r="703" ht="13.2" spans="1:25">
      <c r="A703" s="42">
        <v>702</v>
      </c>
      <c r="B703" s="43" t="s">
        <v>1045</v>
      </c>
      <c r="C703" s="43"/>
      <c r="D703" s="43"/>
      <c r="E703" s="43"/>
      <c r="F703" s="43"/>
      <c r="G703" s="43"/>
      <c r="H703" s="43"/>
      <c r="I703" s="43"/>
      <c r="J703" s="43"/>
      <c r="K703" s="43"/>
      <c r="L703" s="43"/>
      <c r="M703" s="43"/>
      <c r="N703" s="43"/>
      <c r="O703" s="43"/>
      <c r="P703" s="43"/>
      <c r="Q703" s="43"/>
      <c r="R703" s="43"/>
      <c r="S703" s="43"/>
      <c r="T703" s="43"/>
      <c r="U703" s="43"/>
      <c r="V703" s="43"/>
      <c r="W703" s="43"/>
      <c r="X703" s="43"/>
      <c r="Y703" s="43"/>
    </row>
    <row r="704" ht="13.2" spans="1:25">
      <c r="A704" s="42">
        <v>703</v>
      </c>
      <c r="B704" s="43" t="s">
        <v>1046</v>
      </c>
      <c r="C704" s="43"/>
      <c r="D704" s="43"/>
      <c r="E704" s="43"/>
      <c r="F704" s="43"/>
      <c r="G704" s="43"/>
      <c r="H704" s="43"/>
      <c r="I704" s="43"/>
      <c r="J704" s="43"/>
      <c r="K704" s="43"/>
      <c r="L704" s="43"/>
      <c r="M704" s="43"/>
      <c r="N704" s="43"/>
      <c r="O704" s="43"/>
      <c r="P704" s="43"/>
      <c r="Q704" s="43"/>
      <c r="R704" s="43"/>
      <c r="S704" s="43"/>
      <c r="T704" s="43"/>
      <c r="U704" s="43"/>
      <c r="V704" s="43"/>
      <c r="W704" s="43"/>
      <c r="X704" s="43"/>
      <c r="Y704" s="43"/>
    </row>
    <row r="705" ht="13.2" spans="1:25">
      <c r="A705" s="42">
        <v>704</v>
      </c>
      <c r="B705" s="43" t="s">
        <v>1047</v>
      </c>
      <c r="C705" s="43"/>
      <c r="D705" s="43"/>
      <c r="E705" s="43"/>
      <c r="F705" s="43"/>
      <c r="G705" s="43"/>
      <c r="H705" s="43"/>
      <c r="I705" s="43"/>
      <c r="J705" s="43"/>
      <c r="K705" s="43"/>
      <c r="L705" s="43"/>
      <c r="M705" s="43"/>
      <c r="N705" s="43"/>
      <c r="O705" s="43"/>
      <c r="P705" s="43"/>
      <c r="Q705" s="43"/>
      <c r="R705" s="43"/>
      <c r="S705" s="43"/>
      <c r="T705" s="43"/>
      <c r="U705" s="43"/>
      <c r="V705" s="43"/>
      <c r="W705" s="43"/>
      <c r="X705" s="43"/>
      <c r="Y705" s="43"/>
    </row>
    <row r="706" ht="13.2" spans="1:25">
      <c r="A706" s="42">
        <v>705</v>
      </c>
      <c r="B706" s="43" t="s">
        <v>1048</v>
      </c>
      <c r="C706" s="43"/>
      <c r="D706" s="43"/>
      <c r="E706" s="43"/>
      <c r="F706" s="43"/>
      <c r="G706" s="43"/>
      <c r="H706" s="43"/>
      <c r="I706" s="43"/>
      <c r="J706" s="43"/>
      <c r="K706" s="43"/>
      <c r="L706" s="43"/>
      <c r="M706" s="43"/>
      <c r="N706" s="43"/>
      <c r="O706" s="43"/>
      <c r="P706" s="43"/>
      <c r="Q706" s="43"/>
      <c r="R706" s="43"/>
      <c r="S706" s="43"/>
      <c r="T706" s="43"/>
      <c r="U706" s="43"/>
      <c r="V706" s="43"/>
      <c r="W706" s="43"/>
      <c r="X706" s="43"/>
      <c r="Y706" s="43"/>
    </row>
    <row r="707" ht="13.2" spans="1:25">
      <c r="A707" s="42">
        <v>706</v>
      </c>
      <c r="B707" s="43" t="s">
        <v>1049</v>
      </c>
      <c r="C707" s="43"/>
      <c r="D707" s="43"/>
      <c r="E707" s="43"/>
      <c r="F707" s="43"/>
      <c r="G707" s="43"/>
      <c r="H707" s="43"/>
      <c r="I707" s="43"/>
      <c r="J707" s="43"/>
      <c r="K707" s="43"/>
      <c r="L707" s="43"/>
      <c r="M707" s="43"/>
      <c r="N707" s="43"/>
      <c r="O707" s="43"/>
      <c r="P707" s="43"/>
      <c r="Q707" s="43"/>
      <c r="R707" s="43"/>
      <c r="S707" s="43"/>
      <c r="T707" s="43"/>
      <c r="U707" s="43"/>
      <c r="V707" s="43"/>
      <c r="W707" s="43"/>
      <c r="X707" s="43"/>
      <c r="Y707" s="43"/>
    </row>
    <row r="708" ht="13.2" spans="1:25">
      <c r="A708" s="42">
        <v>707</v>
      </c>
      <c r="B708" s="43" t="s">
        <v>1050</v>
      </c>
      <c r="C708" s="43"/>
      <c r="D708" s="43"/>
      <c r="E708" s="43"/>
      <c r="F708" s="43"/>
      <c r="G708" s="43"/>
      <c r="H708" s="43"/>
      <c r="I708" s="43"/>
      <c r="J708" s="43"/>
      <c r="K708" s="43"/>
      <c r="L708" s="43"/>
      <c r="M708" s="43"/>
      <c r="N708" s="43"/>
      <c r="O708" s="43"/>
      <c r="P708" s="43"/>
      <c r="Q708" s="43"/>
      <c r="R708" s="43"/>
      <c r="S708" s="43"/>
      <c r="T708" s="43"/>
      <c r="U708" s="43"/>
      <c r="V708" s="43"/>
      <c r="W708" s="43"/>
      <c r="X708" s="43"/>
      <c r="Y708" s="43"/>
    </row>
    <row r="709" ht="13.2" spans="1:25">
      <c r="A709" s="42">
        <v>708</v>
      </c>
      <c r="B709" s="43" t="s">
        <v>1051</v>
      </c>
      <c r="C709" s="43"/>
      <c r="D709" s="43"/>
      <c r="E709" s="43"/>
      <c r="F709" s="43"/>
      <c r="G709" s="43"/>
      <c r="H709" s="43"/>
      <c r="I709" s="43"/>
      <c r="J709" s="43"/>
      <c r="K709" s="43"/>
      <c r="L709" s="43"/>
      <c r="M709" s="43"/>
      <c r="N709" s="43"/>
      <c r="O709" s="43"/>
      <c r="P709" s="43"/>
      <c r="Q709" s="43"/>
      <c r="R709" s="43"/>
      <c r="S709" s="43"/>
      <c r="T709" s="43"/>
      <c r="U709" s="43"/>
      <c r="V709" s="43"/>
      <c r="W709" s="43"/>
      <c r="X709" s="43"/>
      <c r="Y709" s="43"/>
    </row>
    <row r="710" ht="13.2" spans="1:25">
      <c r="A710" s="42">
        <v>709</v>
      </c>
      <c r="B710" s="43" t="s">
        <v>1052</v>
      </c>
      <c r="C710" s="43"/>
      <c r="D710" s="43"/>
      <c r="E710" s="43"/>
      <c r="F710" s="43"/>
      <c r="G710" s="43"/>
      <c r="H710" s="43"/>
      <c r="I710" s="43"/>
      <c r="J710" s="43"/>
      <c r="K710" s="43"/>
      <c r="L710" s="43"/>
      <c r="M710" s="43"/>
      <c r="N710" s="43"/>
      <c r="O710" s="43"/>
      <c r="P710" s="43"/>
      <c r="Q710" s="43"/>
      <c r="R710" s="43"/>
      <c r="S710" s="43"/>
      <c r="T710" s="43"/>
      <c r="U710" s="43"/>
      <c r="V710" s="43"/>
      <c r="W710" s="43"/>
      <c r="X710" s="43"/>
      <c r="Y710" s="43"/>
    </row>
    <row r="711" ht="13.2" spans="1:25">
      <c r="A711" s="42">
        <v>710</v>
      </c>
      <c r="B711" s="43" t="s">
        <v>1053</v>
      </c>
      <c r="C711" s="43"/>
      <c r="D711" s="43"/>
      <c r="E711" s="43"/>
      <c r="F711" s="43"/>
      <c r="G711" s="43"/>
      <c r="H711" s="43"/>
      <c r="I711" s="43"/>
      <c r="J711" s="43"/>
      <c r="K711" s="43"/>
      <c r="L711" s="43"/>
      <c r="M711" s="43"/>
      <c r="N711" s="43"/>
      <c r="O711" s="43"/>
      <c r="P711" s="43"/>
      <c r="Q711" s="43"/>
      <c r="R711" s="43"/>
      <c r="S711" s="43"/>
      <c r="T711" s="43"/>
      <c r="U711" s="43"/>
      <c r="V711" s="43"/>
      <c r="W711" s="43"/>
      <c r="X711" s="43"/>
      <c r="Y711" s="43"/>
    </row>
    <row r="712" ht="13.2" spans="1:25">
      <c r="A712" s="42">
        <v>711</v>
      </c>
      <c r="B712" s="43" t="s">
        <v>1054</v>
      </c>
      <c r="C712" s="43"/>
      <c r="D712" s="43"/>
      <c r="E712" s="43"/>
      <c r="F712" s="43"/>
      <c r="G712" s="43"/>
      <c r="H712" s="43"/>
      <c r="I712" s="43"/>
      <c r="J712" s="43"/>
      <c r="K712" s="43"/>
      <c r="L712" s="43"/>
      <c r="M712" s="43"/>
      <c r="N712" s="43"/>
      <c r="O712" s="43"/>
      <c r="P712" s="43"/>
      <c r="Q712" s="43"/>
      <c r="R712" s="43"/>
      <c r="S712" s="43"/>
      <c r="T712" s="43"/>
      <c r="U712" s="43"/>
      <c r="V712" s="43"/>
      <c r="W712" s="43"/>
      <c r="X712" s="43"/>
      <c r="Y712" s="43"/>
    </row>
    <row r="713" ht="13.2" spans="1:25">
      <c r="A713" s="42">
        <v>712</v>
      </c>
      <c r="B713" s="43" t="s">
        <v>1055</v>
      </c>
      <c r="C713" s="43"/>
      <c r="D713" s="43"/>
      <c r="E713" s="43"/>
      <c r="F713" s="43"/>
      <c r="G713" s="43"/>
      <c r="H713" s="43"/>
      <c r="I713" s="43"/>
      <c r="J713" s="43"/>
      <c r="K713" s="43"/>
      <c r="L713" s="43"/>
      <c r="M713" s="43"/>
      <c r="N713" s="43"/>
      <c r="O713" s="43"/>
      <c r="P713" s="43"/>
      <c r="Q713" s="43"/>
      <c r="R713" s="43"/>
      <c r="S713" s="43"/>
      <c r="T713" s="43"/>
      <c r="U713" s="43"/>
      <c r="V713" s="43"/>
      <c r="W713" s="43"/>
      <c r="X713" s="43"/>
      <c r="Y713" s="43"/>
    </row>
    <row r="714" ht="13.2" spans="1:25">
      <c r="A714" s="42">
        <v>713</v>
      </c>
      <c r="B714" s="43" t="s">
        <v>1056</v>
      </c>
      <c r="C714" s="43"/>
      <c r="D714" s="43"/>
      <c r="E714" s="43"/>
      <c r="F714" s="43"/>
      <c r="G714" s="43"/>
      <c r="H714" s="43"/>
      <c r="I714" s="43"/>
      <c r="J714" s="43"/>
      <c r="K714" s="43"/>
      <c r="L714" s="43"/>
      <c r="M714" s="43"/>
      <c r="N714" s="43"/>
      <c r="O714" s="43"/>
      <c r="P714" s="43"/>
      <c r="Q714" s="43"/>
      <c r="R714" s="43"/>
      <c r="S714" s="43"/>
      <c r="T714" s="43"/>
      <c r="U714" s="43"/>
      <c r="V714" s="43"/>
      <c r="W714" s="43"/>
      <c r="X714" s="43"/>
      <c r="Y714" s="43"/>
    </row>
    <row r="715" ht="13.2" spans="1:25">
      <c r="A715" s="42">
        <v>714</v>
      </c>
      <c r="B715" s="43" t="s">
        <v>1057</v>
      </c>
      <c r="C715" s="43"/>
      <c r="D715" s="43"/>
      <c r="E715" s="43"/>
      <c r="F715" s="43"/>
      <c r="G715" s="43"/>
      <c r="H715" s="43"/>
      <c r="I715" s="43"/>
      <c r="J715" s="43"/>
      <c r="K715" s="43"/>
      <c r="L715" s="43"/>
      <c r="M715" s="43"/>
      <c r="N715" s="43"/>
      <c r="O715" s="43"/>
      <c r="P715" s="43"/>
      <c r="Q715" s="43"/>
      <c r="R715" s="43"/>
      <c r="S715" s="43"/>
      <c r="T715" s="43"/>
      <c r="U715" s="43"/>
      <c r="V715" s="43"/>
      <c r="W715" s="43"/>
      <c r="X715" s="43"/>
      <c r="Y715" s="43"/>
    </row>
    <row r="716" ht="13.2" spans="1:25">
      <c r="A716" s="42">
        <v>715</v>
      </c>
      <c r="B716" s="43" t="s">
        <v>1058</v>
      </c>
      <c r="C716" s="43"/>
      <c r="D716" s="43"/>
      <c r="E716" s="43"/>
      <c r="F716" s="43"/>
      <c r="G716" s="43"/>
      <c r="H716" s="43"/>
      <c r="I716" s="43"/>
      <c r="J716" s="43"/>
      <c r="K716" s="43"/>
      <c r="L716" s="43"/>
      <c r="M716" s="43"/>
      <c r="N716" s="43"/>
      <c r="O716" s="43"/>
      <c r="P716" s="43"/>
      <c r="Q716" s="43"/>
      <c r="R716" s="43"/>
      <c r="S716" s="43"/>
      <c r="T716" s="43"/>
      <c r="U716" s="43"/>
      <c r="V716" s="43"/>
      <c r="W716" s="43"/>
      <c r="X716" s="43"/>
      <c r="Y716" s="43"/>
    </row>
    <row r="717" ht="13.2" spans="1:25">
      <c r="A717" s="42">
        <v>716</v>
      </c>
      <c r="B717" s="43" t="s">
        <v>1059</v>
      </c>
      <c r="C717" s="43"/>
      <c r="D717" s="43"/>
      <c r="E717" s="43"/>
      <c r="F717" s="43"/>
      <c r="G717" s="43"/>
      <c r="H717" s="43"/>
      <c r="I717" s="43"/>
      <c r="J717" s="43"/>
      <c r="K717" s="43"/>
      <c r="L717" s="43"/>
      <c r="M717" s="43"/>
      <c r="N717" s="43"/>
      <c r="O717" s="43"/>
      <c r="P717" s="43"/>
      <c r="Q717" s="43"/>
      <c r="R717" s="43"/>
      <c r="S717" s="43"/>
      <c r="T717" s="43"/>
      <c r="U717" s="43"/>
      <c r="V717" s="43"/>
      <c r="W717" s="43"/>
      <c r="X717" s="43"/>
      <c r="Y717" s="43"/>
    </row>
    <row r="718" ht="13.2" spans="1:25">
      <c r="A718" s="42">
        <v>717</v>
      </c>
      <c r="B718" s="43" t="s">
        <v>1060</v>
      </c>
      <c r="C718" s="43"/>
      <c r="D718" s="43"/>
      <c r="E718" s="43"/>
      <c r="F718" s="43"/>
      <c r="G718" s="43"/>
      <c r="H718" s="43"/>
      <c r="I718" s="43"/>
      <c r="J718" s="43"/>
      <c r="K718" s="43"/>
      <c r="L718" s="43"/>
      <c r="M718" s="43"/>
      <c r="N718" s="43"/>
      <c r="O718" s="43"/>
      <c r="P718" s="43"/>
      <c r="Q718" s="43"/>
      <c r="R718" s="43"/>
      <c r="S718" s="43"/>
      <c r="T718" s="43"/>
      <c r="U718" s="43"/>
      <c r="V718" s="43"/>
      <c r="W718" s="43"/>
      <c r="X718" s="43"/>
      <c r="Y718" s="43"/>
    </row>
    <row r="719" ht="13.2" spans="1:25">
      <c r="A719" s="42">
        <v>718</v>
      </c>
      <c r="B719" s="43" t="s">
        <v>1061</v>
      </c>
      <c r="C719" s="43"/>
      <c r="D719" s="43"/>
      <c r="E719" s="43"/>
      <c r="F719" s="43"/>
      <c r="G719" s="43"/>
      <c r="H719" s="43"/>
      <c r="I719" s="43"/>
      <c r="J719" s="43"/>
      <c r="K719" s="43"/>
      <c r="L719" s="43"/>
      <c r="M719" s="43"/>
      <c r="N719" s="43"/>
      <c r="O719" s="43"/>
      <c r="P719" s="43"/>
      <c r="Q719" s="43"/>
      <c r="R719" s="43"/>
      <c r="S719" s="43"/>
      <c r="T719" s="43"/>
      <c r="U719" s="43"/>
      <c r="V719" s="43"/>
      <c r="W719" s="43"/>
      <c r="X719" s="43"/>
      <c r="Y719" s="43"/>
    </row>
    <row r="720" ht="13.2" spans="1:25">
      <c r="A720" s="42">
        <v>719</v>
      </c>
      <c r="B720" s="43" t="s">
        <v>1062</v>
      </c>
      <c r="C720" s="43"/>
      <c r="D720" s="43"/>
      <c r="E720" s="43"/>
      <c r="F720" s="43"/>
      <c r="G720" s="43"/>
      <c r="H720" s="43"/>
      <c r="I720" s="43"/>
      <c r="J720" s="43"/>
      <c r="K720" s="43"/>
      <c r="L720" s="43"/>
      <c r="M720" s="43"/>
      <c r="N720" s="43"/>
      <c r="O720" s="43"/>
      <c r="P720" s="43"/>
      <c r="Q720" s="43"/>
      <c r="R720" s="43"/>
      <c r="S720" s="43"/>
      <c r="T720" s="43"/>
      <c r="U720" s="43"/>
      <c r="V720" s="43"/>
      <c r="W720" s="43"/>
      <c r="X720" s="43"/>
      <c r="Y720" s="43"/>
    </row>
    <row r="721" ht="13.2" spans="1:25">
      <c r="A721" s="42">
        <v>720</v>
      </c>
      <c r="B721" s="43" t="s">
        <v>1063</v>
      </c>
      <c r="C721" s="43"/>
      <c r="D721" s="43"/>
      <c r="E721" s="43"/>
      <c r="F721" s="43"/>
      <c r="G721" s="43"/>
      <c r="H721" s="43"/>
      <c r="I721" s="43"/>
      <c r="J721" s="43"/>
      <c r="K721" s="43"/>
      <c r="L721" s="43"/>
      <c r="M721" s="43"/>
      <c r="N721" s="43"/>
      <c r="O721" s="43"/>
      <c r="P721" s="43"/>
      <c r="Q721" s="43"/>
      <c r="R721" s="43"/>
      <c r="S721" s="43"/>
      <c r="T721" s="43"/>
      <c r="U721" s="43"/>
      <c r="V721" s="43"/>
      <c r="W721" s="43"/>
      <c r="X721" s="43"/>
      <c r="Y721" s="43"/>
    </row>
    <row r="722" ht="13.2" spans="1:25">
      <c r="A722" s="42">
        <v>721</v>
      </c>
      <c r="B722" s="43" t="s">
        <v>1064</v>
      </c>
      <c r="C722" s="43"/>
      <c r="D722" s="43"/>
      <c r="E722" s="43"/>
      <c r="F722" s="43"/>
      <c r="G722" s="43"/>
      <c r="H722" s="43"/>
      <c r="I722" s="43"/>
      <c r="J722" s="43"/>
      <c r="K722" s="43"/>
      <c r="L722" s="43"/>
      <c r="M722" s="43"/>
      <c r="N722" s="43"/>
      <c r="O722" s="43"/>
      <c r="P722" s="43"/>
      <c r="Q722" s="43"/>
      <c r="R722" s="43"/>
      <c r="S722" s="43"/>
      <c r="T722" s="43"/>
      <c r="U722" s="43"/>
      <c r="V722" s="43"/>
      <c r="W722" s="43"/>
      <c r="X722" s="43"/>
      <c r="Y722" s="43"/>
    </row>
    <row r="723" ht="13.2" spans="1:25">
      <c r="A723" s="42">
        <v>722</v>
      </c>
      <c r="B723" s="43" t="s">
        <v>1065</v>
      </c>
      <c r="C723" s="43"/>
      <c r="D723" s="43"/>
      <c r="E723" s="43"/>
      <c r="F723" s="43"/>
      <c r="G723" s="43"/>
      <c r="H723" s="43"/>
      <c r="I723" s="43"/>
      <c r="J723" s="43"/>
      <c r="K723" s="43"/>
      <c r="L723" s="43"/>
      <c r="M723" s="43"/>
      <c r="N723" s="43"/>
      <c r="O723" s="43"/>
      <c r="P723" s="43"/>
      <c r="Q723" s="43"/>
      <c r="R723" s="43"/>
      <c r="S723" s="43"/>
      <c r="T723" s="43"/>
      <c r="U723" s="43"/>
      <c r="V723" s="43"/>
      <c r="W723" s="43"/>
      <c r="X723" s="43"/>
      <c r="Y723" s="43"/>
    </row>
    <row r="724" ht="13.2" spans="1:25">
      <c r="A724" s="42">
        <v>723</v>
      </c>
      <c r="B724" s="43" t="s">
        <v>1066</v>
      </c>
      <c r="C724" s="43"/>
      <c r="D724" s="43"/>
      <c r="E724" s="43"/>
      <c r="F724" s="43"/>
      <c r="G724" s="43"/>
      <c r="H724" s="43"/>
      <c r="I724" s="43"/>
      <c r="J724" s="43"/>
      <c r="K724" s="43"/>
      <c r="L724" s="43"/>
      <c r="M724" s="43"/>
      <c r="N724" s="43"/>
      <c r="O724" s="43"/>
      <c r="P724" s="43"/>
      <c r="Q724" s="43"/>
      <c r="R724" s="43"/>
      <c r="S724" s="43"/>
      <c r="T724" s="43"/>
      <c r="U724" s="43"/>
      <c r="V724" s="43"/>
      <c r="W724" s="43"/>
      <c r="X724" s="43"/>
      <c r="Y724" s="43"/>
    </row>
    <row r="725" ht="13.2" spans="1:25">
      <c r="A725" s="42">
        <v>724</v>
      </c>
      <c r="B725" s="43" t="s">
        <v>1067</v>
      </c>
      <c r="C725" s="43"/>
      <c r="D725" s="43"/>
      <c r="E725" s="43"/>
      <c r="F725" s="43"/>
      <c r="G725" s="43"/>
      <c r="H725" s="43"/>
      <c r="I725" s="43"/>
      <c r="J725" s="43"/>
      <c r="K725" s="43"/>
      <c r="L725" s="43"/>
      <c r="M725" s="43"/>
      <c r="N725" s="43"/>
      <c r="O725" s="43"/>
      <c r="P725" s="43"/>
      <c r="Q725" s="43"/>
      <c r="R725" s="43"/>
      <c r="S725" s="43"/>
      <c r="T725" s="43"/>
      <c r="U725" s="43"/>
      <c r="V725" s="43"/>
      <c r="W725" s="43"/>
      <c r="X725" s="43"/>
      <c r="Y725" s="43"/>
    </row>
    <row r="726" ht="13.2" spans="1:25">
      <c r="A726" s="42">
        <v>725</v>
      </c>
      <c r="B726" s="42" t="s">
        <v>1068</v>
      </c>
      <c r="C726" s="43"/>
      <c r="D726" s="43"/>
      <c r="E726" s="43"/>
      <c r="F726" s="43"/>
      <c r="G726" s="43"/>
      <c r="H726" s="43"/>
      <c r="I726" s="43"/>
      <c r="J726" s="43"/>
      <c r="K726" s="43"/>
      <c r="L726" s="43"/>
      <c r="M726" s="43"/>
      <c r="N726" s="43"/>
      <c r="O726" s="43"/>
      <c r="P726" s="43"/>
      <c r="Q726" s="43"/>
      <c r="R726" s="43"/>
      <c r="S726" s="43"/>
      <c r="T726" s="43"/>
      <c r="U726" s="43"/>
      <c r="V726" s="43"/>
      <c r="W726" s="43"/>
      <c r="X726" s="43"/>
      <c r="Y726" s="43"/>
    </row>
    <row r="727" ht="13.2" spans="1:25">
      <c r="A727" s="42">
        <v>726</v>
      </c>
      <c r="B727" s="43" t="s">
        <v>1069</v>
      </c>
      <c r="C727" s="43"/>
      <c r="D727" s="43"/>
      <c r="E727" s="43"/>
      <c r="F727" s="43"/>
      <c r="G727" s="43"/>
      <c r="H727" s="43"/>
      <c r="I727" s="43"/>
      <c r="J727" s="43"/>
      <c r="K727" s="43"/>
      <c r="L727" s="43"/>
      <c r="M727" s="43"/>
      <c r="N727" s="43"/>
      <c r="O727" s="43"/>
      <c r="P727" s="43"/>
      <c r="Q727" s="43"/>
      <c r="R727" s="43"/>
      <c r="S727" s="43"/>
      <c r="T727" s="43"/>
      <c r="U727" s="43"/>
      <c r="V727" s="43"/>
      <c r="W727" s="43"/>
      <c r="X727" s="43"/>
      <c r="Y727" s="43"/>
    </row>
    <row r="728" ht="13.2" spans="1:25">
      <c r="A728" s="42">
        <v>727</v>
      </c>
      <c r="B728" s="43" t="s">
        <v>180</v>
      </c>
      <c r="C728" s="43"/>
      <c r="D728" s="43"/>
      <c r="E728" s="43"/>
      <c r="F728" s="43"/>
      <c r="G728" s="43"/>
      <c r="H728" s="43"/>
      <c r="I728" s="43"/>
      <c r="J728" s="43"/>
      <c r="K728" s="43"/>
      <c r="L728" s="43"/>
      <c r="M728" s="43"/>
      <c r="N728" s="43"/>
      <c r="O728" s="43"/>
      <c r="P728" s="43"/>
      <c r="Q728" s="43"/>
      <c r="R728" s="43"/>
      <c r="S728" s="43"/>
      <c r="T728" s="43"/>
      <c r="U728" s="43"/>
      <c r="V728" s="43"/>
      <c r="W728" s="43"/>
      <c r="X728" s="43"/>
      <c r="Y728" s="43"/>
    </row>
    <row r="729" ht="13.2" spans="1:25">
      <c r="A729" s="42">
        <v>728</v>
      </c>
      <c r="B729" s="43" t="s">
        <v>1070</v>
      </c>
      <c r="C729" s="43"/>
      <c r="D729" s="43"/>
      <c r="E729" s="43"/>
      <c r="F729" s="43"/>
      <c r="G729" s="43"/>
      <c r="H729" s="43"/>
      <c r="I729" s="43"/>
      <c r="J729" s="43"/>
      <c r="K729" s="43"/>
      <c r="L729" s="43"/>
      <c r="M729" s="43"/>
      <c r="N729" s="43"/>
      <c r="O729" s="43"/>
      <c r="P729" s="43"/>
      <c r="Q729" s="43"/>
      <c r="R729" s="43"/>
      <c r="S729" s="43"/>
      <c r="T729" s="43"/>
      <c r="U729" s="43"/>
      <c r="V729" s="43"/>
      <c r="W729" s="43"/>
      <c r="X729" s="43"/>
      <c r="Y729" s="43"/>
    </row>
    <row r="730" ht="13.2" spans="1:25">
      <c r="A730" s="42">
        <v>729</v>
      </c>
      <c r="B730" s="43" t="s">
        <v>1071</v>
      </c>
      <c r="C730" s="43"/>
      <c r="D730" s="43"/>
      <c r="E730" s="43"/>
      <c r="F730" s="43"/>
      <c r="G730" s="43"/>
      <c r="H730" s="43"/>
      <c r="I730" s="43"/>
      <c r="J730" s="43"/>
      <c r="K730" s="43"/>
      <c r="L730" s="43"/>
      <c r="M730" s="43"/>
      <c r="N730" s="43"/>
      <c r="O730" s="43"/>
      <c r="P730" s="43"/>
      <c r="Q730" s="43"/>
      <c r="R730" s="43"/>
      <c r="S730" s="43"/>
      <c r="T730" s="43"/>
      <c r="U730" s="43"/>
      <c r="V730" s="43"/>
      <c r="W730" s="43"/>
      <c r="X730" s="43"/>
      <c r="Y730" s="43"/>
    </row>
    <row r="731" ht="13.2" spans="1:25">
      <c r="A731" s="42">
        <v>730</v>
      </c>
      <c r="B731" s="43" t="s">
        <v>1072</v>
      </c>
      <c r="C731" s="43"/>
      <c r="D731" s="43"/>
      <c r="E731" s="43"/>
      <c r="F731" s="43"/>
      <c r="G731" s="43"/>
      <c r="H731" s="43"/>
      <c r="I731" s="43"/>
      <c r="J731" s="43"/>
      <c r="K731" s="43"/>
      <c r="L731" s="43"/>
      <c r="M731" s="43"/>
      <c r="N731" s="43"/>
      <c r="O731" s="43"/>
      <c r="P731" s="43"/>
      <c r="Q731" s="43"/>
      <c r="R731" s="43"/>
      <c r="S731" s="43"/>
      <c r="T731" s="43"/>
      <c r="U731" s="43"/>
      <c r="V731" s="43"/>
      <c r="W731" s="43"/>
      <c r="X731" s="43"/>
      <c r="Y731" s="43"/>
    </row>
    <row r="732" ht="13.2" spans="1:25">
      <c r="A732" s="42">
        <v>731</v>
      </c>
      <c r="B732" s="43" t="s">
        <v>1073</v>
      </c>
      <c r="C732" s="43"/>
      <c r="D732" s="43"/>
      <c r="E732" s="43"/>
      <c r="F732" s="43"/>
      <c r="G732" s="43"/>
      <c r="H732" s="43"/>
      <c r="I732" s="43"/>
      <c r="J732" s="43"/>
      <c r="K732" s="43"/>
      <c r="L732" s="43"/>
      <c r="M732" s="43"/>
      <c r="N732" s="43"/>
      <c r="O732" s="43"/>
      <c r="P732" s="43"/>
      <c r="Q732" s="43"/>
      <c r="R732" s="43"/>
      <c r="S732" s="43"/>
      <c r="T732" s="43"/>
      <c r="U732" s="43"/>
      <c r="V732" s="43"/>
      <c r="W732" s="43"/>
      <c r="X732" s="43"/>
      <c r="Y732" s="43"/>
    </row>
    <row r="733" ht="13.2" spans="1:25">
      <c r="A733" s="42">
        <v>732</v>
      </c>
      <c r="B733" s="43" t="s">
        <v>1074</v>
      </c>
      <c r="C733" s="43"/>
      <c r="D733" s="43"/>
      <c r="E733" s="43"/>
      <c r="F733" s="43"/>
      <c r="G733" s="43"/>
      <c r="H733" s="43"/>
      <c r="I733" s="43"/>
      <c r="J733" s="43"/>
      <c r="K733" s="43"/>
      <c r="L733" s="43"/>
      <c r="M733" s="43"/>
      <c r="N733" s="43"/>
      <c r="O733" s="43"/>
      <c r="P733" s="43"/>
      <c r="Q733" s="43"/>
      <c r="R733" s="43"/>
      <c r="S733" s="43"/>
      <c r="T733" s="43"/>
      <c r="U733" s="43"/>
      <c r="V733" s="43"/>
      <c r="W733" s="43"/>
      <c r="X733" s="43"/>
      <c r="Y733" s="43"/>
    </row>
    <row r="734" ht="13.2" spans="1:25">
      <c r="A734" s="42">
        <v>733</v>
      </c>
      <c r="B734" s="43" t="s">
        <v>1075</v>
      </c>
      <c r="C734" s="43"/>
      <c r="D734" s="43"/>
      <c r="E734" s="43"/>
      <c r="F734" s="43"/>
      <c r="G734" s="43"/>
      <c r="H734" s="43"/>
      <c r="I734" s="43"/>
      <c r="J734" s="43"/>
      <c r="K734" s="43"/>
      <c r="L734" s="43"/>
      <c r="M734" s="43"/>
      <c r="N734" s="43"/>
      <c r="O734" s="43"/>
      <c r="P734" s="43"/>
      <c r="Q734" s="43"/>
      <c r="R734" s="43"/>
      <c r="S734" s="43"/>
      <c r="T734" s="43"/>
      <c r="U734" s="43"/>
      <c r="V734" s="43"/>
      <c r="W734" s="43"/>
      <c r="X734" s="43"/>
      <c r="Y734" s="43"/>
    </row>
    <row r="735" ht="13.2" spans="1:25">
      <c r="A735" s="42">
        <v>734</v>
      </c>
      <c r="B735" s="43" t="s">
        <v>1076</v>
      </c>
      <c r="C735" s="43"/>
      <c r="D735" s="43"/>
      <c r="E735" s="43"/>
      <c r="F735" s="43"/>
      <c r="G735" s="43"/>
      <c r="H735" s="43"/>
      <c r="I735" s="43"/>
      <c r="J735" s="43"/>
      <c r="K735" s="43"/>
      <c r="L735" s="43"/>
      <c r="M735" s="43"/>
      <c r="N735" s="43"/>
      <c r="O735" s="43"/>
      <c r="P735" s="43"/>
      <c r="Q735" s="43"/>
      <c r="R735" s="43"/>
      <c r="S735" s="43"/>
      <c r="T735" s="43"/>
      <c r="U735" s="43"/>
      <c r="V735" s="43"/>
      <c r="W735" s="43"/>
      <c r="X735" s="43"/>
      <c r="Y735" s="43"/>
    </row>
    <row r="736" ht="13.2" spans="1:25">
      <c r="A736" s="42">
        <v>735</v>
      </c>
      <c r="B736" s="43" t="s">
        <v>1077</v>
      </c>
      <c r="C736" s="43"/>
      <c r="D736" s="43"/>
      <c r="E736" s="43"/>
      <c r="F736" s="43"/>
      <c r="G736" s="43"/>
      <c r="H736" s="43"/>
      <c r="I736" s="43"/>
      <c r="J736" s="43"/>
      <c r="K736" s="43"/>
      <c r="L736" s="43"/>
      <c r="M736" s="43"/>
      <c r="N736" s="43"/>
      <c r="O736" s="43"/>
      <c r="P736" s="43"/>
      <c r="Q736" s="43"/>
      <c r="R736" s="43"/>
      <c r="S736" s="43"/>
      <c r="T736" s="43"/>
      <c r="U736" s="43"/>
      <c r="V736" s="43"/>
      <c r="W736" s="43"/>
      <c r="X736" s="43"/>
      <c r="Y736" s="43"/>
    </row>
    <row r="737" ht="13.2" spans="1:25">
      <c r="A737" s="42">
        <v>736</v>
      </c>
      <c r="B737" s="43" t="s">
        <v>1078</v>
      </c>
      <c r="C737" s="43"/>
      <c r="D737" s="43"/>
      <c r="E737" s="43"/>
      <c r="F737" s="43"/>
      <c r="G737" s="43"/>
      <c r="H737" s="43"/>
      <c r="I737" s="43"/>
      <c r="J737" s="43"/>
      <c r="K737" s="43"/>
      <c r="L737" s="43"/>
      <c r="M737" s="43"/>
      <c r="N737" s="43"/>
      <c r="O737" s="43"/>
      <c r="P737" s="43"/>
      <c r="Q737" s="43"/>
      <c r="R737" s="43"/>
      <c r="S737" s="43"/>
      <c r="T737" s="43"/>
      <c r="U737" s="43"/>
      <c r="V737" s="43"/>
      <c r="W737" s="43"/>
      <c r="X737" s="43"/>
      <c r="Y737" s="43"/>
    </row>
    <row r="738" ht="13.2" spans="1:25">
      <c r="A738" s="42">
        <v>737</v>
      </c>
      <c r="B738" s="43" t="s">
        <v>1079</v>
      </c>
      <c r="C738" s="43"/>
      <c r="D738" s="43"/>
      <c r="E738" s="43"/>
      <c r="F738" s="43"/>
      <c r="G738" s="43"/>
      <c r="H738" s="43"/>
      <c r="I738" s="43"/>
      <c r="J738" s="43"/>
      <c r="K738" s="43"/>
      <c r="L738" s="43"/>
      <c r="M738" s="43"/>
      <c r="N738" s="43"/>
      <c r="O738" s="43"/>
      <c r="P738" s="43"/>
      <c r="Q738" s="43"/>
      <c r="R738" s="43"/>
      <c r="S738" s="43"/>
      <c r="T738" s="43"/>
      <c r="U738" s="43"/>
      <c r="V738" s="43"/>
      <c r="W738" s="43"/>
      <c r="X738" s="43"/>
      <c r="Y738" s="43"/>
    </row>
    <row r="739" ht="13.2" spans="1:25">
      <c r="A739" s="42">
        <v>738</v>
      </c>
      <c r="B739" s="43" t="s">
        <v>1080</v>
      </c>
      <c r="C739" s="43"/>
      <c r="D739" s="43"/>
      <c r="E739" s="43"/>
      <c r="F739" s="43"/>
      <c r="G739" s="43"/>
      <c r="H739" s="43"/>
      <c r="I739" s="43"/>
      <c r="J739" s="43"/>
      <c r="K739" s="43"/>
      <c r="L739" s="43"/>
      <c r="M739" s="43"/>
      <c r="N739" s="43"/>
      <c r="O739" s="43"/>
      <c r="P739" s="43"/>
      <c r="Q739" s="43"/>
      <c r="R739" s="43"/>
      <c r="S739" s="43"/>
      <c r="T739" s="43"/>
      <c r="U739" s="43"/>
      <c r="V739" s="43"/>
      <c r="W739" s="43"/>
      <c r="X739" s="43"/>
      <c r="Y739" s="43"/>
    </row>
    <row r="740" ht="13.2" spans="1:25">
      <c r="A740" s="42">
        <v>739</v>
      </c>
      <c r="B740" s="43" t="s">
        <v>1081</v>
      </c>
      <c r="C740" s="43"/>
      <c r="D740" s="43"/>
      <c r="E740" s="43"/>
      <c r="F740" s="43"/>
      <c r="G740" s="43"/>
      <c r="H740" s="43"/>
      <c r="I740" s="43"/>
      <c r="J740" s="43"/>
      <c r="K740" s="43"/>
      <c r="L740" s="43"/>
      <c r="M740" s="43"/>
      <c r="N740" s="43"/>
      <c r="O740" s="43"/>
      <c r="P740" s="43"/>
      <c r="Q740" s="43"/>
      <c r="R740" s="43"/>
      <c r="S740" s="43"/>
      <c r="T740" s="43"/>
      <c r="U740" s="43"/>
      <c r="V740" s="43"/>
      <c r="W740" s="43"/>
      <c r="X740" s="43"/>
      <c r="Y740" s="43"/>
    </row>
    <row r="741" ht="13.2" spans="1:25">
      <c r="A741" s="42">
        <v>740</v>
      </c>
      <c r="B741" s="43" t="s">
        <v>1082</v>
      </c>
      <c r="C741" s="43"/>
      <c r="D741" s="43"/>
      <c r="E741" s="43"/>
      <c r="F741" s="43"/>
      <c r="G741" s="43"/>
      <c r="H741" s="43"/>
      <c r="I741" s="43"/>
      <c r="J741" s="43"/>
      <c r="K741" s="43"/>
      <c r="L741" s="43"/>
      <c r="M741" s="43"/>
      <c r="N741" s="43"/>
      <c r="O741" s="43"/>
      <c r="P741" s="43"/>
      <c r="Q741" s="43"/>
      <c r="R741" s="43"/>
      <c r="S741" s="43"/>
      <c r="T741" s="43"/>
      <c r="U741" s="43"/>
      <c r="V741" s="43"/>
      <c r="W741" s="43"/>
      <c r="X741" s="43"/>
      <c r="Y741" s="43"/>
    </row>
    <row r="742" ht="13.2" spans="1:25">
      <c r="A742" s="42">
        <v>741</v>
      </c>
      <c r="B742" s="43" t="s">
        <v>1083</v>
      </c>
      <c r="C742" s="43"/>
      <c r="D742" s="43"/>
      <c r="E742" s="43"/>
      <c r="F742" s="43"/>
      <c r="G742" s="43"/>
      <c r="H742" s="43"/>
      <c r="I742" s="43"/>
      <c r="J742" s="43"/>
      <c r="K742" s="43"/>
      <c r="L742" s="43"/>
      <c r="M742" s="43"/>
      <c r="N742" s="43"/>
      <c r="O742" s="43"/>
      <c r="P742" s="43"/>
      <c r="Q742" s="43"/>
      <c r="R742" s="43"/>
      <c r="S742" s="43"/>
      <c r="T742" s="43"/>
      <c r="U742" s="43"/>
      <c r="V742" s="43"/>
      <c r="W742" s="43"/>
      <c r="X742" s="43"/>
      <c r="Y742" s="43"/>
    </row>
    <row r="743" ht="13.2" spans="1:25">
      <c r="A743" s="42">
        <v>742</v>
      </c>
      <c r="B743" s="43" t="s">
        <v>1084</v>
      </c>
      <c r="C743" s="43"/>
      <c r="D743" s="43"/>
      <c r="E743" s="43"/>
      <c r="F743" s="43"/>
      <c r="G743" s="43"/>
      <c r="H743" s="43"/>
      <c r="I743" s="43"/>
      <c r="J743" s="43"/>
      <c r="K743" s="43"/>
      <c r="L743" s="43"/>
      <c r="M743" s="43"/>
      <c r="N743" s="43"/>
      <c r="O743" s="43"/>
      <c r="P743" s="43"/>
      <c r="Q743" s="43"/>
      <c r="R743" s="43"/>
      <c r="S743" s="43"/>
      <c r="T743" s="43"/>
      <c r="U743" s="43"/>
      <c r="V743" s="43"/>
      <c r="W743" s="43"/>
      <c r="X743" s="43"/>
      <c r="Y743" s="43"/>
    </row>
    <row r="744" ht="13.2" spans="1:25">
      <c r="A744" s="42">
        <v>743</v>
      </c>
      <c r="B744" s="43" t="s">
        <v>1085</v>
      </c>
      <c r="C744" s="43"/>
      <c r="D744" s="43"/>
      <c r="E744" s="43"/>
      <c r="F744" s="43"/>
      <c r="G744" s="43"/>
      <c r="H744" s="43"/>
      <c r="I744" s="43"/>
      <c r="J744" s="43"/>
      <c r="K744" s="43"/>
      <c r="L744" s="43"/>
      <c r="M744" s="43"/>
      <c r="N744" s="43"/>
      <c r="O744" s="43"/>
      <c r="P744" s="43"/>
      <c r="Q744" s="43"/>
      <c r="R744" s="43"/>
      <c r="S744" s="43"/>
      <c r="T744" s="43"/>
      <c r="U744" s="43"/>
      <c r="V744" s="43"/>
      <c r="W744" s="43"/>
      <c r="X744" s="43"/>
      <c r="Y744" s="43"/>
    </row>
    <row r="745" ht="13.2" spans="1:25">
      <c r="A745" s="42">
        <v>744</v>
      </c>
      <c r="B745" s="43" t="s">
        <v>1086</v>
      </c>
      <c r="C745" s="43"/>
      <c r="D745" s="43"/>
      <c r="E745" s="43"/>
      <c r="F745" s="43"/>
      <c r="G745" s="43"/>
      <c r="H745" s="43"/>
      <c r="I745" s="43"/>
      <c r="J745" s="43"/>
      <c r="K745" s="43"/>
      <c r="L745" s="43"/>
      <c r="M745" s="43"/>
      <c r="N745" s="43"/>
      <c r="O745" s="43"/>
      <c r="P745" s="43"/>
      <c r="Q745" s="43"/>
      <c r="R745" s="43"/>
      <c r="S745" s="43"/>
      <c r="T745" s="43"/>
      <c r="U745" s="43"/>
      <c r="V745" s="43"/>
      <c r="W745" s="43"/>
      <c r="X745" s="43"/>
      <c r="Y745" s="43"/>
    </row>
    <row r="746" ht="13.2" spans="1:25">
      <c r="A746" s="42">
        <v>745</v>
      </c>
      <c r="B746" s="43" t="s">
        <v>1087</v>
      </c>
      <c r="C746" s="43"/>
      <c r="D746" s="43"/>
      <c r="E746" s="43"/>
      <c r="F746" s="43"/>
      <c r="G746" s="43"/>
      <c r="H746" s="43"/>
      <c r="I746" s="43"/>
      <c r="J746" s="43"/>
      <c r="K746" s="43"/>
      <c r="L746" s="43"/>
      <c r="M746" s="43"/>
      <c r="N746" s="43"/>
      <c r="O746" s="43"/>
      <c r="P746" s="43"/>
      <c r="Q746" s="43"/>
      <c r="R746" s="43"/>
      <c r="S746" s="43"/>
      <c r="T746" s="43"/>
      <c r="U746" s="43"/>
      <c r="V746" s="43"/>
      <c r="W746" s="43"/>
      <c r="X746" s="43"/>
      <c r="Y746" s="43"/>
    </row>
    <row r="747" ht="13.2" spans="1:25">
      <c r="A747" s="42">
        <v>746</v>
      </c>
      <c r="B747" s="43" t="s">
        <v>1088</v>
      </c>
      <c r="C747" s="43"/>
      <c r="D747" s="43"/>
      <c r="E747" s="43"/>
      <c r="F747" s="43"/>
      <c r="G747" s="43"/>
      <c r="H747" s="43"/>
      <c r="I747" s="43"/>
      <c r="J747" s="43"/>
      <c r="K747" s="43"/>
      <c r="L747" s="43"/>
      <c r="M747" s="43"/>
      <c r="N747" s="43"/>
      <c r="O747" s="43"/>
      <c r="P747" s="43"/>
      <c r="Q747" s="43"/>
      <c r="R747" s="43"/>
      <c r="S747" s="43"/>
      <c r="T747" s="43"/>
      <c r="U747" s="43"/>
      <c r="V747" s="43"/>
      <c r="W747" s="43"/>
      <c r="X747" s="43"/>
      <c r="Y747" s="43"/>
    </row>
    <row r="748" ht="13.2" spans="1:25">
      <c r="A748" s="42">
        <v>747</v>
      </c>
      <c r="B748" s="43" t="s">
        <v>1089</v>
      </c>
      <c r="C748" s="43"/>
      <c r="D748" s="43"/>
      <c r="E748" s="43"/>
      <c r="F748" s="43"/>
      <c r="G748" s="43"/>
      <c r="H748" s="43"/>
      <c r="I748" s="43"/>
      <c r="J748" s="43"/>
      <c r="K748" s="43"/>
      <c r="L748" s="43"/>
      <c r="M748" s="43"/>
      <c r="N748" s="43"/>
      <c r="O748" s="43"/>
      <c r="P748" s="43"/>
      <c r="Q748" s="43"/>
      <c r="R748" s="43"/>
      <c r="S748" s="43"/>
      <c r="T748" s="43"/>
      <c r="U748" s="43"/>
      <c r="V748" s="43"/>
      <c r="W748" s="43"/>
      <c r="X748" s="43"/>
      <c r="Y748" s="43"/>
    </row>
    <row r="749" ht="13.2" spans="1:25">
      <c r="A749" s="42">
        <v>748</v>
      </c>
      <c r="B749" s="43" t="s">
        <v>1090</v>
      </c>
      <c r="C749" s="43"/>
      <c r="D749" s="43"/>
      <c r="E749" s="43"/>
      <c r="F749" s="43"/>
      <c r="G749" s="43"/>
      <c r="H749" s="43"/>
      <c r="I749" s="43"/>
      <c r="J749" s="43"/>
      <c r="K749" s="43"/>
      <c r="L749" s="43"/>
      <c r="M749" s="43"/>
      <c r="N749" s="43"/>
      <c r="O749" s="43"/>
      <c r="P749" s="43"/>
      <c r="Q749" s="43"/>
      <c r="R749" s="43"/>
      <c r="S749" s="43"/>
      <c r="T749" s="43"/>
      <c r="U749" s="43"/>
      <c r="V749" s="43"/>
      <c r="W749" s="43"/>
      <c r="X749" s="43"/>
      <c r="Y749" s="43"/>
    </row>
    <row r="750" ht="13.2" spans="1:25">
      <c r="A750" s="42">
        <v>749</v>
      </c>
      <c r="B750" s="42" t="s">
        <v>1091</v>
      </c>
      <c r="C750" s="43"/>
      <c r="D750" s="43"/>
      <c r="E750" s="43"/>
      <c r="F750" s="43"/>
      <c r="G750" s="43"/>
      <c r="H750" s="43"/>
      <c r="I750" s="43"/>
      <c r="J750" s="43"/>
      <c r="K750" s="43"/>
      <c r="L750" s="43"/>
      <c r="M750" s="43"/>
      <c r="N750" s="43"/>
      <c r="O750" s="43"/>
      <c r="P750" s="43"/>
      <c r="Q750" s="43"/>
      <c r="R750" s="43"/>
      <c r="S750" s="43"/>
      <c r="T750" s="43"/>
      <c r="U750" s="43"/>
      <c r="V750" s="43"/>
      <c r="W750" s="43"/>
      <c r="X750" s="43"/>
      <c r="Y750" s="43"/>
    </row>
    <row r="751" ht="13.2" spans="1:25">
      <c r="A751" s="42">
        <v>750</v>
      </c>
      <c r="B751" s="42" t="s">
        <v>1092</v>
      </c>
      <c r="C751" s="43"/>
      <c r="D751" s="43"/>
      <c r="E751" s="43"/>
      <c r="F751" s="43"/>
      <c r="G751" s="43"/>
      <c r="H751" s="43"/>
      <c r="I751" s="43"/>
      <c r="J751" s="43"/>
      <c r="K751" s="43"/>
      <c r="L751" s="43"/>
      <c r="M751" s="43"/>
      <c r="N751" s="43"/>
      <c r="O751" s="43"/>
      <c r="P751" s="43"/>
      <c r="Q751" s="43"/>
      <c r="R751" s="43"/>
      <c r="S751" s="43"/>
      <c r="T751" s="43"/>
      <c r="U751" s="43"/>
      <c r="V751" s="43"/>
      <c r="W751" s="43"/>
      <c r="X751" s="43"/>
      <c r="Y751" s="43"/>
    </row>
    <row r="752" ht="13.2" spans="1:25">
      <c r="A752" s="42">
        <v>751</v>
      </c>
      <c r="B752" s="42" t="s">
        <v>1093</v>
      </c>
      <c r="C752" s="43"/>
      <c r="D752" s="43"/>
      <c r="E752" s="43"/>
      <c r="F752" s="43"/>
      <c r="G752" s="43"/>
      <c r="H752" s="43"/>
      <c r="I752" s="43"/>
      <c r="J752" s="43"/>
      <c r="K752" s="43"/>
      <c r="L752" s="43"/>
      <c r="M752" s="43"/>
      <c r="N752" s="43"/>
      <c r="O752" s="43"/>
      <c r="P752" s="43"/>
      <c r="Q752" s="43"/>
      <c r="R752" s="43"/>
      <c r="S752" s="43"/>
      <c r="T752" s="43"/>
      <c r="U752" s="43"/>
      <c r="V752" s="43"/>
      <c r="W752" s="43"/>
      <c r="X752" s="43"/>
      <c r="Y752" s="43"/>
    </row>
    <row r="753" ht="13.2" spans="1:25">
      <c r="A753" s="42">
        <v>752</v>
      </c>
      <c r="B753" s="43" t="s">
        <v>1094</v>
      </c>
      <c r="C753" s="43"/>
      <c r="D753" s="43"/>
      <c r="E753" s="43"/>
      <c r="F753" s="43"/>
      <c r="G753" s="43"/>
      <c r="H753" s="43"/>
      <c r="I753" s="43"/>
      <c r="J753" s="43"/>
      <c r="K753" s="43"/>
      <c r="L753" s="43"/>
      <c r="M753" s="43"/>
      <c r="N753" s="43"/>
      <c r="O753" s="43"/>
      <c r="P753" s="43"/>
      <c r="Q753" s="43"/>
      <c r="R753" s="43"/>
      <c r="S753" s="43"/>
      <c r="T753" s="43"/>
      <c r="U753" s="43"/>
      <c r="V753" s="43"/>
      <c r="W753" s="43"/>
      <c r="X753" s="43"/>
      <c r="Y753" s="43"/>
    </row>
    <row r="754" ht="13.2" spans="1:25">
      <c r="A754" s="42">
        <v>753</v>
      </c>
      <c r="B754" s="43" t="s">
        <v>1095</v>
      </c>
      <c r="C754" s="43"/>
      <c r="D754" s="43"/>
      <c r="E754" s="43"/>
      <c r="F754" s="43"/>
      <c r="G754" s="43"/>
      <c r="H754" s="43"/>
      <c r="I754" s="43"/>
      <c r="J754" s="43"/>
      <c r="K754" s="43"/>
      <c r="L754" s="43"/>
      <c r="M754" s="43"/>
      <c r="N754" s="43"/>
      <c r="O754" s="43"/>
      <c r="P754" s="43"/>
      <c r="Q754" s="43"/>
      <c r="R754" s="43"/>
      <c r="S754" s="43"/>
      <c r="T754" s="43"/>
      <c r="U754" s="43"/>
      <c r="V754" s="43"/>
      <c r="W754" s="43"/>
      <c r="X754" s="43"/>
      <c r="Y754" s="43"/>
    </row>
    <row r="755" ht="13.2" spans="1:25">
      <c r="A755" s="42">
        <v>754</v>
      </c>
      <c r="B755" s="42" t="s">
        <v>1096</v>
      </c>
      <c r="C755" s="43"/>
      <c r="D755" s="43"/>
      <c r="E755" s="43"/>
      <c r="F755" s="43"/>
      <c r="G755" s="43"/>
      <c r="H755" s="43"/>
      <c r="I755" s="43"/>
      <c r="J755" s="43"/>
      <c r="K755" s="43"/>
      <c r="L755" s="43"/>
      <c r="M755" s="43"/>
      <c r="N755" s="43"/>
      <c r="O755" s="43"/>
      <c r="P755" s="43"/>
      <c r="Q755" s="43"/>
      <c r="R755" s="43"/>
      <c r="S755" s="43"/>
      <c r="T755" s="43"/>
      <c r="U755" s="43"/>
      <c r="V755" s="43"/>
      <c r="W755" s="43"/>
      <c r="X755" s="43"/>
      <c r="Y755" s="43"/>
    </row>
    <row r="756" ht="13.2" spans="1:25">
      <c r="A756" s="42">
        <v>755</v>
      </c>
      <c r="B756" s="43" t="s">
        <v>1097</v>
      </c>
      <c r="C756" s="43"/>
      <c r="D756" s="43"/>
      <c r="E756" s="43"/>
      <c r="F756" s="43"/>
      <c r="G756" s="43"/>
      <c r="H756" s="43"/>
      <c r="I756" s="43"/>
      <c r="J756" s="43"/>
      <c r="K756" s="43"/>
      <c r="L756" s="43"/>
      <c r="M756" s="43"/>
      <c r="N756" s="43"/>
      <c r="O756" s="43"/>
      <c r="P756" s="43"/>
      <c r="Q756" s="43"/>
      <c r="R756" s="43"/>
      <c r="S756" s="43"/>
      <c r="T756" s="43"/>
      <c r="U756" s="43"/>
      <c r="V756" s="43"/>
      <c r="W756" s="43"/>
      <c r="X756" s="43"/>
      <c r="Y756" s="43"/>
    </row>
    <row r="757" ht="13.2" spans="1:25">
      <c r="A757" s="42">
        <v>756</v>
      </c>
      <c r="B757" s="43" t="s">
        <v>1098</v>
      </c>
      <c r="C757" s="43"/>
      <c r="D757" s="43"/>
      <c r="E757" s="43"/>
      <c r="F757" s="43"/>
      <c r="G757" s="43"/>
      <c r="H757" s="43"/>
      <c r="I757" s="43"/>
      <c r="J757" s="43"/>
      <c r="K757" s="43"/>
      <c r="L757" s="43"/>
      <c r="M757" s="43"/>
      <c r="N757" s="43"/>
      <c r="O757" s="43"/>
      <c r="P757" s="43"/>
      <c r="Q757" s="43"/>
      <c r="R757" s="43"/>
      <c r="S757" s="43"/>
      <c r="T757" s="43"/>
      <c r="U757" s="43"/>
      <c r="V757" s="43"/>
      <c r="W757" s="43"/>
      <c r="X757" s="43"/>
      <c r="Y757" s="43"/>
    </row>
    <row r="758" ht="13.2" spans="1:25">
      <c r="A758" s="42">
        <v>757</v>
      </c>
      <c r="B758" s="43" t="s">
        <v>1099</v>
      </c>
      <c r="C758" s="43"/>
      <c r="D758" s="43"/>
      <c r="E758" s="43"/>
      <c r="F758" s="43"/>
      <c r="G758" s="43"/>
      <c r="H758" s="43"/>
      <c r="I758" s="43"/>
      <c r="J758" s="43"/>
      <c r="K758" s="43"/>
      <c r="L758" s="43"/>
      <c r="M758" s="43"/>
      <c r="N758" s="43"/>
      <c r="O758" s="43"/>
      <c r="P758" s="43"/>
      <c r="Q758" s="43"/>
      <c r="R758" s="43"/>
      <c r="S758" s="43"/>
      <c r="T758" s="43"/>
      <c r="U758" s="43"/>
      <c r="V758" s="43"/>
      <c r="W758" s="43"/>
      <c r="X758" s="43"/>
      <c r="Y758" s="43"/>
    </row>
    <row r="759" ht="13.2" spans="1:25">
      <c r="A759" s="42">
        <v>758</v>
      </c>
      <c r="B759" s="43" t="s">
        <v>1100</v>
      </c>
      <c r="C759" s="43"/>
      <c r="D759" s="43"/>
      <c r="E759" s="43"/>
      <c r="F759" s="43"/>
      <c r="G759" s="43"/>
      <c r="H759" s="43"/>
      <c r="I759" s="43"/>
      <c r="J759" s="43"/>
      <c r="K759" s="43"/>
      <c r="L759" s="43"/>
      <c r="M759" s="43"/>
      <c r="N759" s="43"/>
      <c r="O759" s="43"/>
      <c r="P759" s="43"/>
      <c r="Q759" s="43"/>
      <c r="R759" s="43"/>
      <c r="S759" s="43"/>
      <c r="T759" s="43"/>
      <c r="U759" s="43"/>
      <c r="V759" s="43"/>
      <c r="W759" s="43"/>
      <c r="X759" s="43"/>
      <c r="Y759" s="43"/>
    </row>
    <row r="760" ht="13.2" spans="1:25">
      <c r="A760" s="42">
        <v>759</v>
      </c>
      <c r="B760" s="43" t="s">
        <v>1101</v>
      </c>
      <c r="C760" s="43"/>
      <c r="D760" s="43"/>
      <c r="E760" s="43"/>
      <c r="F760" s="43"/>
      <c r="G760" s="43"/>
      <c r="H760" s="43"/>
      <c r="I760" s="43"/>
      <c r="J760" s="43"/>
      <c r="K760" s="43"/>
      <c r="L760" s="43"/>
      <c r="M760" s="43"/>
      <c r="N760" s="43"/>
      <c r="O760" s="43"/>
      <c r="P760" s="43"/>
      <c r="Q760" s="43"/>
      <c r="R760" s="43"/>
      <c r="S760" s="43"/>
      <c r="T760" s="43"/>
      <c r="U760" s="43"/>
      <c r="V760" s="43"/>
      <c r="W760" s="43"/>
      <c r="X760" s="43"/>
      <c r="Y760" s="43"/>
    </row>
    <row r="761" ht="13.2" spans="1:25">
      <c r="A761" s="42">
        <v>760</v>
      </c>
      <c r="B761" s="43" t="s">
        <v>1102</v>
      </c>
      <c r="C761" s="43"/>
      <c r="D761" s="43"/>
      <c r="E761" s="43"/>
      <c r="F761" s="43"/>
      <c r="G761" s="43"/>
      <c r="H761" s="43"/>
      <c r="I761" s="43"/>
      <c r="J761" s="43"/>
      <c r="K761" s="43"/>
      <c r="L761" s="43"/>
      <c r="M761" s="43"/>
      <c r="N761" s="43"/>
      <c r="O761" s="43"/>
      <c r="P761" s="43"/>
      <c r="Q761" s="43"/>
      <c r="R761" s="43"/>
      <c r="S761" s="43"/>
      <c r="T761" s="43"/>
      <c r="U761" s="43"/>
      <c r="V761" s="43"/>
      <c r="W761" s="43"/>
      <c r="X761" s="43"/>
      <c r="Y761" s="43"/>
    </row>
    <row r="762" ht="13.2" spans="1:25">
      <c r="A762" s="42">
        <v>761</v>
      </c>
      <c r="B762" s="43" t="s">
        <v>1103</v>
      </c>
      <c r="C762" s="43"/>
      <c r="D762" s="43"/>
      <c r="E762" s="43"/>
      <c r="F762" s="43"/>
      <c r="G762" s="43"/>
      <c r="H762" s="43"/>
      <c r="I762" s="43"/>
      <c r="J762" s="43"/>
      <c r="K762" s="43"/>
      <c r="L762" s="43"/>
      <c r="M762" s="43"/>
      <c r="N762" s="43"/>
      <c r="O762" s="43"/>
      <c r="P762" s="43"/>
      <c r="Q762" s="43"/>
      <c r="R762" s="43"/>
      <c r="S762" s="43"/>
      <c r="T762" s="43"/>
      <c r="U762" s="43"/>
      <c r="V762" s="43"/>
      <c r="W762" s="43"/>
      <c r="X762" s="43"/>
      <c r="Y762" s="43"/>
    </row>
    <row r="763" ht="13.2" spans="1:25">
      <c r="A763" s="42">
        <v>762</v>
      </c>
      <c r="B763" s="43" t="s">
        <v>1104</v>
      </c>
      <c r="C763" s="43"/>
      <c r="D763" s="43"/>
      <c r="E763" s="43"/>
      <c r="F763" s="43"/>
      <c r="G763" s="43"/>
      <c r="H763" s="43"/>
      <c r="I763" s="43"/>
      <c r="J763" s="43"/>
      <c r="K763" s="43"/>
      <c r="L763" s="43"/>
      <c r="M763" s="43"/>
      <c r="N763" s="43"/>
      <c r="O763" s="43"/>
      <c r="P763" s="43"/>
      <c r="Q763" s="43"/>
      <c r="R763" s="43"/>
      <c r="S763" s="43"/>
      <c r="T763" s="43"/>
      <c r="U763" s="43"/>
      <c r="V763" s="43"/>
      <c r="W763" s="43"/>
      <c r="X763" s="43"/>
      <c r="Y763" s="43"/>
    </row>
    <row r="764" ht="13.2" spans="1:25">
      <c r="A764" s="42">
        <v>763</v>
      </c>
      <c r="B764" s="43" t="s">
        <v>1105</v>
      </c>
      <c r="C764" s="43"/>
      <c r="D764" s="43"/>
      <c r="E764" s="43"/>
      <c r="F764" s="43"/>
      <c r="G764" s="43"/>
      <c r="H764" s="43"/>
      <c r="I764" s="43"/>
      <c r="J764" s="43"/>
      <c r="K764" s="43"/>
      <c r="L764" s="43"/>
      <c r="M764" s="43"/>
      <c r="N764" s="43"/>
      <c r="O764" s="43"/>
      <c r="P764" s="43"/>
      <c r="Q764" s="43"/>
      <c r="R764" s="43"/>
      <c r="S764" s="43"/>
      <c r="T764" s="43"/>
      <c r="U764" s="43"/>
      <c r="V764" s="43"/>
      <c r="W764" s="43"/>
      <c r="X764" s="43"/>
      <c r="Y764" s="43"/>
    </row>
    <row r="765" ht="13.2" spans="1:25">
      <c r="A765" s="42">
        <v>764</v>
      </c>
      <c r="B765" s="43" t="s">
        <v>1106</v>
      </c>
      <c r="C765" s="43"/>
      <c r="D765" s="43"/>
      <c r="E765" s="43"/>
      <c r="F765" s="43"/>
      <c r="G765" s="43"/>
      <c r="H765" s="43"/>
      <c r="I765" s="43"/>
      <c r="J765" s="43"/>
      <c r="K765" s="43"/>
      <c r="L765" s="43"/>
      <c r="M765" s="43"/>
      <c r="N765" s="43"/>
      <c r="O765" s="43"/>
      <c r="P765" s="43"/>
      <c r="Q765" s="43"/>
      <c r="R765" s="43"/>
      <c r="S765" s="43"/>
      <c r="T765" s="43"/>
      <c r="U765" s="43"/>
      <c r="V765" s="43"/>
      <c r="W765" s="43"/>
      <c r="X765" s="43"/>
      <c r="Y765" s="43"/>
    </row>
    <row r="766" ht="13.2" spans="1:25">
      <c r="A766" s="42">
        <v>765</v>
      </c>
      <c r="B766" s="43" t="s">
        <v>1107</v>
      </c>
      <c r="C766" s="43"/>
      <c r="D766" s="43"/>
      <c r="E766" s="43"/>
      <c r="F766" s="43"/>
      <c r="G766" s="43"/>
      <c r="H766" s="43"/>
      <c r="I766" s="43"/>
      <c r="J766" s="43"/>
      <c r="K766" s="43"/>
      <c r="L766" s="43"/>
      <c r="M766" s="43"/>
      <c r="N766" s="43"/>
      <c r="O766" s="43"/>
      <c r="P766" s="43"/>
      <c r="Q766" s="43"/>
      <c r="R766" s="43"/>
      <c r="S766" s="43"/>
      <c r="T766" s="43"/>
      <c r="U766" s="43"/>
      <c r="V766" s="43"/>
      <c r="W766" s="43"/>
      <c r="X766" s="43"/>
      <c r="Y766" s="43"/>
    </row>
    <row r="767" ht="13.2" spans="1:25">
      <c r="A767" s="42">
        <v>766</v>
      </c>
      <c r="B767" s="43" t="s">
        <v>1108</v>
      </c>
      <c r="C767" s="43"/>
      <c r="D767" s="43"/>
      <c r="E767" s="43"/>
      <c r="F767" s="43"/>
      <c r="G767" s="43"/>
      <c r="H767" s="43"/>
      <c r="I767" s="43"/>
      <c r="J767" s="43"/>
      <c r="K767" s="43"/>
      <c r="L767" s="43"/>
      <c r="M767" s="43"/>
      <c r="N767" s="43"/>
      <c r="O767" s="43"/>
      <c r="P767" s="43"/>
      <c r="Q767" s="43"/>
      <c r="R767" s="43"/>
      <c r="S767" s="43"/>
      <c r="T767" s="43"/>
      <c r="U767" s="43"/>
      <c r="V767" s="43"/>
      <c r="W767" s="43"/>
      <c r="X767" s="43"/>
      <c r="Y767" s="43"/>
    </row>
    <row r="768" ht="13.2" spans="1:25">
      <c r="A768" s="42">
        <v>767</v>
      </c>
      <c r="B768" s="43" t="s">
        <v>1109</v>
      </c>
      <c r="C768" s="43"/>
      <c r="D768" s="43"/>
      <c r="E768" s="43"/>
      <c r="F768" s="43"/>
      <c r="G768" s="43"/>
      <c r="H768" s="43"/>
      <c r="I768" s="43"/>
      <c r="J768" s="43"/>
      <c r="K768" s="43"/>
      <c r="L768" s="43"/>
      <c r="M768" s="43"/>
      <c r="N768" s="43"/>
      <c r="O768" s="43"/>
      <c r="P768" s="43"/>
      <c r="Q768" s="43"/>
      <c r="R768" s="43"/>
      <c r="S768" s="43"/>
      <c r="T768" s="43"/>
      <c r="U768" s="43"/>
      <c r="V768" s="43"/>
      <c r="W768" s="43"/>
      <c r="X768" s="43"/>
      <c r="Y768" s="43"/>
    </row>
    <row r="769" ht="13.2" spans="1:25">
      <c r="A769" s="42">
        <v>768</v>
      </c>
      <c r="B769" s="43" t="s">
        <v>1110</v>
      </c>
      <c r="C769" s="43"/>
      <c r="D769" s="43"/>
      <c r="E769" s="43"/>
      <c r="F769" s="43"/>
      <c r="G769" s="43"/>
      <c r="H769" s="43"/>
      <c r="I769" s="43"/>
      <c r="J769" s="43"/>
      <c r="K769" s="43"/>
      <c r="L769" s="43"/>
      <c r="M769" s="43"/>
      <c r="N769" s="43"/>
      <c r="O769" s="43"/>
      <c r="P769" s="43"/>
      <c r="Q769" s="43"/>
      <c r="R769" s="43"/>
      <c r="S769" s="43"/>
      <c r="T769" s="43"/>
      <c r="U769" s="43"/>
      <c r="V769" s="43"/>
      <c r="W769" s="43"/>
      <c r="X769" s="43"/>
      <c r="Y769" s="43"/>
    </row>
    <row r="770" ht="13.2" spans="1:25">
      <c r="A770" s="42">
        <v>769</v>
      </c>
      <c r="B770" s="43" t="s">
        <v>1111</v>
      </c>
      <c r="C770" s="43"/>
      <c r="D770" s="43"/>
      <c r="E770" s="43"/>
      <c r="F770" s="43"/>
      <c r="G770" s="43"/>
      <c r="H770" s="43"/>
      <c r="I770" s="43"/>
      <c r="J770" s="43"/>
      <c r="K770" s="43"/>
      <c r="L770" s="43"/>
      <c r="M770" s="43"/>
      <c r="N770" s="43"/>
      <c r="O770" s="43"/>
      <c r="P770" s="43"/>
      <c r="Q770" s="43"/>
      <c r="R770" s="43"/>
      <c r="S770" s="43"/>
      <c r="T770" s="43"/>
      <c r="U770" s="43"/>
      <c r="V770" s="43"/>
      <c r="W770" s="43"/>
      <c r="X770" s="43"/>
      <c r="Y770" s="43"/>
    </row>
    <row r="771" ht="13.2" spans="1:25">
      <c r="A771" s="42">
        <v>770</v>
      </c>
      <c r="B771" s="43" t="s">
        <v>1112</v>
      </c>
      <c r="C771" s="43"/>
      <c r="D771" s="43"/>
      <c r="E771" s="43"/>
      <c r="F771" s="43"/>
      <c r="G771" s="43"/>
      <c r="H771" s="43"/>
      <c r="I771" s="43"/>
      <c r="J771" s="43"/>
      <c r="K771" s="43"/>
      <c r="L771" s="43"/>
      <c r="M771" s="43"/>
      <c r="N771" s="43"/>
      <c r="O771" s="43"/>
      <c r="P771" s="43"/>
      <c r="Q771" s="43"/>
      <c r="R771" s="43"/>
      <c r="S771" s="43"/>
      <c r="T771" s="43"/>
      <c r="U771" s="43"/>
      <c r="V771" s="43"/>
      <c r="W771" s="43"/>
      <c r="X771" s="43"/>
      <c r="Y771" s="43"/>
    </row>
    <row r="772" ht="13.2" spans="1:25">
      <c r="A772" s="42">
        <v>771</v>
      </c>
      <c r="B772" s="43" t="s">
        <v>1113</v>
      </c>
      <c r="C772" s="43"/>
      <c r="D772" s="43"/>
      <c r="E772" s="43"/>
      <c r="F772" s="43"/>
      <c r="G772" s="43"/>
      <c r="H772" s="43"/>
      <c r="I772" s="43"/>
      <c r="J772" s="43"/>
      <c r="K772" s="43"/>
      <c r="L772" s="43"/>
      <c r="M772" s="43"/>
      <c r="N772" s="43"/>
      <c r="O772" s="43"/>
      <c r="P772" s="43"/>
      <c r="Q772" s="43"/>
      <c r="R772" s="43"/>
      <c r="S772" s="43"/>
      <c r="T772" s="43"/>
      <c r="U772" s="43"/>
      <c r="V772" s="43"/>
      <c r="W772" s="43"/>
      <c r="X772" s="43"/>
      <c r="Y772" s="43"/>
    </row>
    <row r="773" ht="13.2" spans="1:25">
      <c r="A773" s="42">
        <v>772</v>
      </c>
      <c r="B773" s="43" t="s">
        <v>1114</v>
      </c>
      <c r="C773" s="43"/>
      <c r="D773" s="43"/>
      <c r="E773" s="43"/>
      <c r="F773" s="43"/>
      <c r="G773" s="43"/>
      <c r="H773" s="43"/>
      <c r="I773" s="43"/>
      <c r="J773" s="43"/>
      <c r="K773" s="43"/>
      <c r="L773" s="43"/>
      <c r="M773" s="43"/>
      <c r="N773" s="43"/>
      <c r="O773" s="43"/>
      <c r="P773" s="43"/>
      <c r="Q773" s="43"/>
      <c r="R773" s="43"/>
      <c r="S773" s="43"/>
      <c r="T773" s="43"/>
      <c r="U773" s="43"/>
      <c r="V773" s="43"/>
      <c r="W773" s="43"/>
      <c r="X773" s="43"/>
      <c r="Y773" s="43"/>
    </row>
    <row r="774" ht="13.2" spans="1:25">
      <c r="A774" s="42">
        <v>773</v>
      </c>
      <c r="B774" s="43" t="s">
        <v>1115</v>
      </c>
      <c r="C774" s="43"/>
      <c r="D774" s="43"/>
      <c r="E774" s="43"/>
      <c r="F774" s="43"/>
      <c r="G774" s="43"/>
      <c r="H774" s="43"/>
      <c r="I774" s="43"/>
      <c r="J774" s="43"/>
      <c r="K774" s="43"/>
      <c r="L774" s="43"/>
      <c r="M774" s="43"/>
      <c r="N774" s="43"/>
      <c r="O774" s="43"/>
      <c r="P774" s="43"/>
      <c r="Q774" s="43"/>
      <c r="R774" s="43"/>
      <c r="S774" s="43"/>
      <c r="T774" s="43"/>
      <c r="U774" s="43"/>
      <c r="V774" s="43"/>
      <c r="W774" s="43"/>
      <c r="X774" s="43"/>
      <c r="Y774" s="43"/>
    </row>
    <row r="775" ht="13.2" spans="1:25">
      <c r="A775" s="42">
        <v>774</v>
      </c>
      <c r="B775" s="43" t="s">
        <v>1116</v>
      </c>
      <c r="C775" s="43"/>
      <c r="D775" s="43"/>
      <c r="E775" s="43"/>
      <c r="F775" s="43"/>
      <c r="G775" s="43"/>
      <c r="H775" s="43"/>
      <c r="I775" s="43"/>
      <c r="J775" s="43"/>
      <c r="K775" s="43"/>
      <c r="L775" s="43"/>
      <c r="M775" s="43"/>
      <c r="N775" s="43"/>
      <c r="O775" s="43"/>
      <c r="P775" s="43"/>
      <c r="Q775" s="43"/>
      <c r="R775" s="43"/>
      <c r="S775" s="43"/>
      <c r="T775" s="43"/>
      <c r="U775" s="43"/>
      <c r="V775" s="43"/>
      <c r="W775" s="43"/>
      <c r="X775" s="43"/>
      <c r="Y775" s="43"/>
    </row>
    <row r="776" ht="13.2" spans="1:25">
      <c r="A776" s="42">
        <v>775</v>
      </c>
      <c r="B776" s="43" t="s">
        <v>1117</v>
      </c>
      <c r="C776" s="43"/>
      <c r="D776" s="43"/>
      <c r="E776" s="43"/>
      <c r="F776" s="43"/>
      <c r="G776" s="43"/>
      <c r="H776" s="43"/>
      <c r="I776" s="43"/>
      <c r="J776" s="43"/>
      <c r="K776" s="43"/>
      <c r="L776" s="43"/>
      <c r="M776" s="43"/>
      <c r="N776" s="43"/>
      <c r="O776" s="43"/>
      <c r="P776" s="43"/>
      <c r="Q776" s="43"/>
      <c r="R776" s="43"/>
      <c r="S776" s="43"/>
      <c r="T776" s="43"/>
      <c r="U776" s="43"/>
      <c r="V776" s="43"/>
      <c r="W776" s="43"/>
      <c r="X776" s="43"/>
      <c r="Y776" s="43"/>
    </row>
    <row r="777" ht="13.2" spans="1:25">
      <c r="A777" s="42">
        <v>776</v>
      </c>
      <c r="B777" s="43" t="s">
        <v>1118</v>
      </c>
      <c r="C777" s="43"/>
      <c r="D777" s="43"/>
      <c r="E777" s="43"/>
      <c r="F777" s="43"/>
      <c r="G777" s="43"/>
      <c r="H777" s="43"/>
      <c r="I777" s="43"/>
      <c r="J777" s="43"/>
      <c r="K777" s="43"/>
      <c r="L777" s="43"/>
      <c r="M777" s="43"/>
      <c r="N777" s="43"/>
      <c r="O777" s="43"/>
      <c r="P777" s="43"/>
      <c r="Q777" s="43"/>
      <c r="R777" s="43"/>
      <c r="S777" s="43"/>
      <c r="T777" s="43"/>
      <c r="U777" s="43"/>
      <c r="V777" s="43"/>
      <c r="W777" s="43"/>
      <c r="X777" s="43"/>
      <c r="Y777" s="43"/>
    </row>
    <row r="778" ht="13.2" spans="1:25">
      <c r="A778" s="42">
        <v>777</v>
      </c>
      <c r="B778" s="43" t="s">
        <v>1119</v>
      </c>
      <c r="C778" s="43"/>
      <c r="D778" s="43"/>
      <c r="E778" s="43"/>
      <c r="F778" s="43"/>
      <c r="G778" s="43"/>
      <c r="H778" s="43"/>
      <c r="I778" s="43"/>
      <c r="J778" s="43"/>
      <c r="K778" s="43"/>
      <c r="L778" s="43"/>
      <c r="M778" s="43"/>
      <c r="N778" s="43"/>
      <c r="O778" s="43"/>
      <c r="P778" s="43"/>
      <c r="Q778" s="43"/>
      <c r="R778" s="43"/>
      <c r="S778" s="43"/>
      <c r="T778" s="43"/>
      <c r="U778" s="43"/>
      <c r="V778" s="43"/>
      <c r="W778" s="43"/>
      <c r="X778" s="43"/>
      <c r="Y778" s="43"/>
    </row>
    <row r="779" ht="13.2" spans="1:25">
      <c r="A779" s="42">
        <v>778</v>
      </c>
      <c r="B779" s="43" t="s">
        <v>1120</v>
      </c>
      <c r="C779" s="43"/>
      <c r="D779" s="43"/>
      <c r="E779" s="43"/>
      <c r="F779" s="43"/>
      <c r="G779" s="43"/>
      <c r="H779" s="43"/>
      <c r="I779" s="43"/>
      <c r="J779" s="43"/>
      <c r="K779" s="43"/>
      <c r="L779" s="43"/>
      <c r="M779" s="43"/>
      <c r="N779" s="43"/>
      <c r="O779" s="43"/>
      <c r="P779" s="43"/>
      <c r="Q779" s="43"/>
      <c r="R779" s="43"/>
      <c r="S779" s="43"/>
      <c r="T779" s="43"/>
      <c r="U779" s="43"/>
      <c r="V779" s="43"/>
      <c r="W779" s="43"/>
      <c r="X779" s="43"/>
      <c r="Y779" s="43"/>
    </row>
    <row r="780" ht="13.2" spans="1:25">
      <c r="A780" s="42">
        <v>779</v>
      </c>
      <c r="B780" s="43" t="s">
        <v>1121</v>
      </c>
      <c r="C780" s="43"/>
      <c r="D780" s="43"/>
      <c r="E780" s="43"/>
      <c r="F780" s="43"/>
      <c r="G780" s="43"/>
      <c r="H780" s="43"/>
      <c r="I780" s="43"/>
      <c r="J780" s="43"/>
      <c r="K780" s="43"/>
      <c r="L780" s="43"/>
      <c r="M780" s="43"/>
      <c r="N780" s="43"/>
      <c r="O780" s="43"/>
      <c r="P780" s="43"/>
      <c r="Q780" s="43"/>
      <c r="R780" s="43"/>
      <c r="S780" s="43"/>
      <c r="T780" s="43"/>
      <c r="U780" s="43"/>
      <c r="V780" s="43"/>
      <c r="W780" s="43"/>
      <c r="X780" s="43"/>
      <c r="Y780" s="43"/>
    </row>
    <row r="781" ht="13.2" spans="1:25">
      <c r="A781" s="42">
        <v>780</v>
      </c>
      <c r="B781" s="43" t="s">
        <v>1122</v>
      </c>
      <c r="C781" s="43"/>
      <c r="D781" s="43"/>
      <c r="E781" s="43"/>
      <c r="F781" s="43"/>
      <c r="G781" s="43"/>
      <c r="H781" s="43"/>
      <c r="I781" s="43"/>
      <c r="J781" s="43"/>
      <c r="K781" s="43"/>
      <c r="L781" s="43"/>
      <c r="M781" s="43"/>
      <c r="N781" s="43"/>
      <c r="O781" s="43"/>
      <c r="P781" s="43"/>
      <c r="Q781" s="43"/>
      <c r="R781" s="43"/>
      <c r="S781" s="43"/>
      <c r="T781" s="43"/>
      <c r="U781" s="43"/>
      <c r="V781" s="43"/>
      <c r="W781" s="43"/>
      <c r="X781" s="43"/>
      <c r="Y781" s="43"/>
    </row>
    <row r="782" ht="13.2" spans="1:25">
      <c r="A782" s="42">
        <v>781</v>
      </c>
      <c r="B782" s="43" t="s">
        <v>1123</v>
      </c>
      <c r="C782" s="43"/>
      <c r="D782" s="43"/>
      <c r="E782" s="43"/>
      <c r="F782" s="43"/>
      <c r="G782" s="43"/>
      <c r="H782" s="43"/>
      <c r="I782" s="43"/>
      <c r="J782" s="43"/>
      <c r="K782" s="43"/>
      <c r="L782" s="43"/>
      <c r="M782" s="43"/>
      <c r="N782" s="43"/>
      <c r="O782" s="43"/>
      <c r="P782" s="43"/>
      <c r="Q782" s="43"/>
      <c r="R782" s="43"/>
      <c r="S782" s="43"/>
      <c r="T782" s="43"/>
      <c r="U782" s="43"/>
      <c r="V782" s="43"/>
      <c r="W782" s="43"/>
      <c r="X782" s="43"/>
      <c r="Y782" s="43"/>
    </row>
    <row r="783" ht="13.2" spans="1:25">
      <c r="A783" s="42">
        <v>782</v>
      </c>
      <c r="B783" s="43" t="s">
        <v>1124</v>
      </c>
      <c r="C783" s="43"/>
      <c r="D783" s="43"/>
      <c r="E783" s="43"/>
      <c r="F783" s="43"/>
      <c r="G783" s="43"/>
      <c r="H783" s="43"/>
      <c r="I783" s="43"/>
      <c r="J783" s="43"/>
      <c r="K783" s="43"/>
      <c r="L783" s="43"/>
      <c r="M783" s="43"/>
      <c r="N783" s="43"/>
      <c r="O783" s="43"/>
      <c r="P783" s="43"/>
      <c r="Q783" s="43"/>
      <c r="R783" s="43"/>
      <c r="S783" s="43"/>
      <c r="T783" s="43"/>
      <c r="U783" s="43"/>
      <c r="V783" s="43"/>
      <c r="W783" s="43"/>
      <c r="X783" s="43"/>
      <c r="Y783" s="43"/>
    </row>
    <row r="784" ht="13.2" spans="1:25">
      <c r="A784" s="42">
        <v>783</v>
      </c>
      <c r="B784" s="43" t="s">
        <v>1125</v>
      </c>
      <c r="C784" s="43"/>
      <c r="D784" s="43"/>
      <c r="E784" s="43"/>
      <c r="F784" s="43"/>
      <c r="G784" s="43"/>
      <c r="H784" s="43"/>
      <c r="I784" s="43"/>
      <c r="J784" s="43"/>
      <c r="K784" s="43"/>
      <c r="L784" s="43"/>
      <c r="M784" s="43"/>
      <c r="N784" s="43"/>
      <c r="O784" s="43"/>
      <c r="P784" s="43"/>
      <c r="Q784" s="43"/>
      <c r="R784" s="43"/>
      <c r="S784" s="43"/>
      <c r="T784" s="43"/>
      <c r="U784" s="43"/>
      <c r="V784" s="43"/>
      <c r="W784" s="43"/>
      <c r="X784" s="43"/>
      <c r="Y784" s="43"/>
    </row>
    <row r="785" ht="13.2" spans="1:25">
      <c r="A785" s="42">
        <v>784</v>
      </c>
      <c r="B785" s="43" t="s">
        <v>1126</v>
      </c>
      <c r="C785" s="43"/>
      <c r="D785" s="43"/>
      <c r="E785" s="43"/>
      <c r="F785" s="43"/>
      <c r="G785" s="43"/>
      <c r="H785" s="43"/>
      <c r="I785" s="43"/>
      <c r="J785" s="43"/>
      <c r="K785" s="43"/>
      <c r="L785" s="43"/>
      <c r="M785" s="43"/>
      <c r="N785" s="43"/>
      <c r="O785" s="43"/>
      <c r="P785" s="43"/>
      <c r="Q785" s="43"/>
      <c r="R785" s="43"/>
      <c r="S785" s="43"/>
      <c r="T785" s="43"/>
      <c r="U785" s="43"/>
      <c r="V785" s="43"/>
      <c r="W785" s="43"/>
      <c r="X785" s="43"/>
      <c r="Y785" s="43"/>
    </row>
    <row r="786" ht="13.2" spans="1:25">
      <c r="A786" s="42">
        <v>785</v>
      </c>
      <c r="B786" s="43" t="s">
        <v>1127</v>
      </c>
      <c r="C786" s="43"/>
      <c r="D786" s="43"/>
      <c r="E786" s="43"/>
      <c r="F786" s="43"/>
      <c r="G786" s="43"/>
      <c r="H786" s="43"/>
      <c r="I786" s="43"/>
      <c r="J786" s="43"/>
      <c r="K786" s="43"/>
      <c r="L786" s="43"/>
      <c r="M786" s="43"/>
      <c r="N786" s="43"/>
      <c r="O786" s="43"/>
      <c r="P786" s="43"/>
      <c r="Q786" s="43"/>
      <c r="R786" s="43"/>
      <c r="S786" s="43"/>
      <c r="T786" s="43"/>
      <c r="U786" s="43"/>
      <c r="V786" s="43"/>
      <c r="W786" s="43"/>
      <c r="X786" s="43"/>
      <c r="Y786" s="43"/>
    </row>
    <row r="787" ht="13.2" spans="1:25">
      <c r="A787" s="42">
        <v>786</v>
      </c>
      <c r="B787" s="43" t="s">
        <v>1128</v>
      </c>
      <c r="C787" s="43"/>
      <c r="D787" s="43"/>
      <c r="E787" s="43"/>
      <c r="F787" s="43"/>
      <c r="G787" s="43"/>
      <c r="H787" s="43"/>
      <c r="I787" s="43"/>
      <c r="J787" s="43"/>
      <c r="K787" s="43"/>
      <c r="L787" s="43"/>
      <c r="M787" s="43"/>
      <c r="N787" s="43"/>
      <c r="O787" s="43"/>
      <c r="P787" s="43"/>
      <c r="Q787" s="43"/>
      <c r="R787" s="43"/>
      <c r="S787" s="43"/>
      <c r="T787" s="43"/>
      <c r="U787" s="43"/>
      <c r="V787" s="43"/>
      <c r="W787" s="43"/>
      <c r="X787" s="43"/>
      <c r="Y787" s="43"/>
    </row>
    <row r="788" ht="13.2" spans="1:25">
      <c r="A788" s="42">
        <v>787</v>
      </c>
      <c r="B788" s="43" t="s">
        <v>1129</v>
      </c>
      <c r="C788" s="43"/>
      <c r="D788" s="43"/>
      <c r="E788" s="43"/>
      <c r="F788" s="43"/>
      <c r="G788" s="43"/>
      <c r="H788" s="43"/>
      <c r="I788" s="43"/>
      <c r="J788" s="43"/>
      <c r="K788" s="43"/>
      <c r="L788" s="43"/>
      <c r="M788" s="43"/>
      <c r="N788" s="43"/>
      <c r="O788" s="43"/>
      <c r="P788" s="43"/>
      <c r="Q788" s="43"/>
      <c r="R788" s="43"/>
      <c r="S788" s="43"/>
      <c r="T788" s="43"/>
      <c r="U788" s="43"/>
      <c r="V788" s="43"/>
      <c r="W788" s="43"/>
      <c r="X788" s="43"/>
      <c r="Y788" s="43"/>
    </row>
    <row r="789" ht="13.2" spans="1:25">
      <c r="A789" s="42">
        <v>788</v>
      </c>
      <c r="B789" s="43" t="s">
        <v>1130</v>
      </c>
      <c r="C789" s="43"/>
      <c r="D789" s="43"/>
      <c r="E789" s="43"/>
      <c r="F789" s="43"/>
      <c r="G789" s="43"/>
      <c r="H789" s="43"/>
      <c r="I789" s="43"/>
      <c r="J789" s="43"/>
      <c r="K789" s="43"/>
      <c r="L789" s="43"/>
      <c r="M789" s="43"/>
      <c r="N789" s="43"/>
      <c r="O789" s="43"/>
      <c r="P789" s="43"/>
      <c r="Q789" s="43"/>
      <c r="R789" s="43"/>
      <c r="S789" s="43"/>
      <c r="T789" s="43"/>
      <c r="U789" s="43"/>
      <c r="V789" s="43"/>
      <c r="W789" s="43"/>
      <c r="X789" s="43"/>
      <c r="Y789" s="43"/>
    </row>
    <row r="790" ht="13.2" spans="1:25">
      <c r="A790" s="42">
        <v>789</v>
      </c>
      <c r="B790" s="43" t="s">
        <v>1131</v>
      </c>
      <c r="C790" s="43"/>
      <c r="D790" s="43"/>
      <c r="E790" s="43"/>
      <c r="F790" s="43"/>
      <c r="G790" s="43"/>
      <c r="H790" s="43"/>
      <c r="I790" s="43"/>
      <c r="J790" s="43"/>
      <c r="K790" s="43"/>
      <c r="L790" s="43"/>
      <c r="M790" s="43"/>
      <c r="N790" s="43"/>
      <c r="O790" s="43"/>
      <c r="P790" s="43"/>
      <c r="Q790" s="43"/>
      <c r="R790" s="43"/>
      <c r="S790" s="43"/>
      <c r="T790" s="43"/>
      <c r="U790" s="43"/>
      <c r="V790" s="43"/>
      <c r="W790" s="43"/>
      <c r="X790" s="43"/>
      <c r="Y790" s="43"/>
    </row>
    <row r="791" ht="13.2" spans="1:25">
      <c r="A791" s="42">
        <v>790</v>
      </c>
      <c r="B791" s="43" t="s">
        <v>1132</v>
      </c>
      <c r="C791" s="43"/>
      <c r="D791" s="43"/>
      <c r="E791" s="43"/>
      <c r="F791" s="43"/>
      <c r="G791" s="43"/>
      <c r="H791" s="43"/>
      <c r="I791" s="43"/>
      <c r="J791" s="43"/>
      <c r="K791" s="43"/>
      <c r="L791" s="43"/>
      <c r="M791" s="43"/>
      <c r="N791" s="43"/>
      <c r="O791" s="43"/>
      <c r="P791" s="43"/>
      <c r="Q791" s="43"/>
      <c r="R791" s="43"/>
      <c r="S791" s="43"/>
      <c r="T791" s="43"/>
      <c r="U791" s="43"/>
      <c r="V791" s="43"/>
      <c r="W791" s="43"/>
      <c r="X791" s="43"/>
      <c r="Y791" s="43"/>
    </row>
    <row r="792" ht="13.2" spans="1:25">
      <c r="A792" s="42">
        <v>791</v>
      </c>
      <c r="B792" s="43" t="s">
        <v>187</v>
      </c>
      <c r="C792" s="43"/>
      <c r="D792" s="43"/>
      <c r="E792" s="43"/>
      <c r="F792" s="43"/>
      <c r="G792" s="43"/>
      <c r="H792" s="43"/>
      <c r="I792" s="43"/>
      <c r="J792" s="43"/>
      <c r="K792" s="43"/>
      <c r="L792" s="43"/>
      <c r="M792" s="43"/>
      <c r="N792" s="43"/>
      <c r="O792" s="43"/>
      <c r="P792" s="43"/>
      <c r="Q792" s="43"/>
      <c r="R792" s="43"/>
      <c r="S792" s="43"/>
      <c r="T792" s="43"/>
      <c r="U792" s="43"/>
      <c r="V792" s="43"/>
      <c r="W792" s="43"/>
      <c r="X792" s="43"/>
      <c r="Y792" s="43"/>
    </row>
    <row r="793" ht="13.2" spans="1:25">
      <c r="A793" s="42">
        <v>792</v>
      </c>
      <c r="B793" s="43" t="s">
        <v>1133</v>
      </c>
      <c r="C793" s="43"/>
      <c r="D793" s="43"/>
      <c r="E793" s="43"/>
      <c r="F793" s="43"/>
      <c r="G793" s="43"/>
      <c r="H793" s="43"/>
      <c r="I793" s="43"/>
      <c r="J793" s="43"/>
      <c r="K793" s="43"/>
      <c r="L793" s="43"/>
      <c r="M793" s="43"/>
      <c r="N793" s="43"/>
      <c r="O793" s="43"/>
      <c r="P793" s="43"/>
      <c r="Q793" s="43"/>
      <c r="R793" s="43"/>
      <c r="S793" s="43"/>
      <c r="T793" s="43"/>
      <c r="U793" s="43"/>
      <c r="V793" s="43"/>
      <c r="W793" s="43"/>
      <c r="X793" s="43"/>
      <c r="Y793" s="43"/>
    </row>
    <row r="794" ht="13.2" spans="1:25">
      <c r="A794" s="42">
        <v>793</v>
      </c>
      <c r="B794" s="43" t="s">
        <v>1134</v>
      </c>
      <c r="C794" s="43"/>
      <c r="D794" s="43"/>
      <c r="E794" s="43"/>
      <c r="F794" s="43"/>
      <c r="G794" s="43"/>
      <c r="H794" s="43"/>
      <c r="I794" s="43"/>
      <c r="J794" s="43"/>
      <c r="K794" s="43"/>
      <c r="L794" s="43"/>
      <c r="M794" s="43"/>
      <c r="N794" s="43"/>
      <c r="O794" s="43"/>
      <c r="P794" s="43"/>
      <c r="Q794" s="43"/>
      <c r="R794" s="43"/>
      <c r="S794" s="43"/>
      <c r="T794" s="43"/>
      <c r="U794" s="43"/>
      <c r="V794" s="43"/>
      <c r="W794" s="43"/>
      <c r="X794" s="43"/>
      <c r="Y794" s="43"/>
    </row>
    <row r="795" ht="13.2" spans="1:25">
      <c r="A795" s="42">
        <v>794</v>
      </c>
      <c r="B795" s="42" t="s">
        <v>1135</v>
      </c>
      <c r="C795" s="43"/>
      <c r="D795" s="43"/>
      <c r="E795" s="43"/>
      <c r="F795" s="43"/>
      <c r="G795" s="43"/>
      <c r="H795" s="43"/>
      <c r="I795" s="43"/>
      <c r="J795" s="43"/>
      <c r="K795" s="43"/>
      <c r="L795" s="43"/>
      <c r="M795" s="43"/>
      <c r="N795" s="43"/>
      <c r="O795" s="43"/>
      <c r="P795" s="43"/>
      <c r="Q795" s="43"/>
      <c r="R795" s="43"/>
      <c r="S795" s="43"/>
      <c r="T795" s="43"/>
      <c r="U795" s="43"/>
      <c r="V795" s="43"/>
      <c r="W795" s="43"/>
      <c r="X795" s="43"/>
      <c r="Y795" s="43"/>
    </row>
    <row r="796" ht="13.2" spans="1:25">
      <c r="A796" s="42">
        <v>795</v>
      </c>
      <c r="B796" s="43" t="s">
        <v>1136</v>
      </c>
      <c r="C796" s="43"/>
      <c r="D796" s="43"/>
      <c r="E796" s="43"/>
      <c r="F796" s="43"/>
      <c r="G796" s="43"/>
      <c r="H796" s="43"/>
      <c r="I796" s="43"/>
      <c r="J796" s="43"/>
      <c r="K796" s="43"/>
      <c r="L796" s="43"/>
      <c r="M796" s="43"/>
      <c r="N796" s="43"/>
      <c r="O796" s="43"/>
      <c r="P796" s="43"/>
      <c r="Q796" s="43"/>
      <c r="R796" s="43"/>
      <c r="S796" s="43"/>
      <c r="T796" s="43"/>
      <c r="U796" s="43"/>
      <c r="V796" s="43"/>
      <c r="W796" s="43"/>
      <c r="X796" s="43"/>
      <c r="Y796" s="43"/>
    </row>
    <row r="797" ht="13.2" spans="1:25">
      <c r="A797" s="42">
        <v>796</v>
      </c>
      <c r="B797" s="42" t="s">
        <v>1137</v>
      </c>
      <c r="C797" s="43"/>
      <c r="D797" s="43"/>
      <c r="E797" s="43"/>
      <c r="F797" s="43"/>
      <c r="G797" s="43"/>
      <c r="H797" s="43"/>
      <c r="I797" s="43"/>
      <c r="J797" s="43"/>
      <c r="K797" s="43"/>
      <c r="L797" s="43"/>
      <c r="M797" s="43"/>
      <c r="N797" s="43"/>
      <c r="O797" s="43"/>
      <c r="P797" s="43"/>
      <c r="Q797" s="43"/>
      <c r="R797" s="43"/>
      <c r="S797" s="43"/>
      <c r="T797" s="43"/>
      <c r="U797" s="43"/>
      <c r="V797" s="43"/>
      <c r="W797" s="43"/>
      <c r="X797" s="43"/>
      <c r="Y797" s="43"/>
    </row>
    <row r="798" ht="13.2" spans="1:25">
      <c r="A798" s="42">
        <v>797</v>
      </c>
      <c r="B798" s="43" t="s">
        <v>1138</v>
      </c>
      <c r="C798" s="43"/>
      <c r="D798" s="43"/>
      <c r="E798" s="43"/>
      <c r="F798" s="43"/>
      <c r="G798" s="43"/>
      <c r="H798" s="43"/>
      <c r="I798" s="43"/>
      <c r="J798" s="43"/>
      <c r="K798" s="43"/>
      <c r="L798" s="43"/>
      <c r="M798" s="43"/>
      <c r="N798" s="43"/>
      <c r="O798" s="43"/>
      <c r="P798" s="43"/>
      <c r="Q798" s="43"/>
      <c r="R798" s="43"/>
      <c r="S798" s="43"/>
      <c r="T798" s="43"/>
      <c r="U798" s="43"/>
      <c r="V798" s="43"/>
      <c r="W798" s="43"/>
      <c r="X798" s="43"/>
      <c r="Y798" s="43"/>
    </row>
    <row r="799" ht="13.2" spans="1:25">
      <c r="A799" s="42">
        <v>798</v>
      </c>
      <c r="B799" s="43" t="s">
        <v>1139</v>
      </c>
      <c r="C799" s="43"/>
      <c r="D799" s="43"/>
      <c r="E799" s="43"/>
      <c r="F799" s="43"/>
      <c r="G799" s="43"/>
      <c r="H799" s="43"/>
      <c r="I799" s="43"/>
      <c r="J799" s="43"/>
      <c r="K799" s="43"/>
      <c r="L799" s="43"/>
      <c r="M799" s="43"/>
      <c r="N799" s="43"/>
      <c r="O799" s="43"/>
      <c r="P799" s="43"/>
      <c r="Q799" s="43"/>
      <c r="R799" s="43"/>
      <c r="S799" s="43"/>
      <c r="T799" s="43"/>
      <c r="U799" s="43"/>
      <c r="V799" s="43"/>
      <c r="W799" s="43"/>
      <c r="X799" s="43"/>
      <c r="Y799" s="43"/>
    </row>
    <row r="800" ht="13.2" spans="1:25">
      <c r="A800" s="42">
        <v>799</v>
      </c>
      <c r="B800" s="43" t="s">
        <v>1140</v>
      </c>
      <c r="C800" s="43"/>
      <c r="D800" s="43"/>
      <c r="E800" s="43"/>
      <c r="F800" s="43"/>
      <c r="G800" s="43"/>
      <c r="H800" s="43"/>
      <c r="I800" s="43"/>
      <c r="J800" s="43"/>
      <c r="K800" s="43"/>
      <c r="L800" s="43"/>
      <c r="M800" s="43"/>
      <c r="N800" s="43"/>
      <c r="O800" s="43"/>
      <c r="P800" s="43"/>
      <c r="Q800" s="43"/>
      <c r="R800" s="43"/>
      <c r="S800" s="43"/>
      <c r="T800" s="43"/>
      <c r="U800" s="43"/>
      <c r="V800" s="43"/>
      <c r="W800" s="43"/>
      <c r="X800" s="43"/>
      <c r="Y800" s="43"/>
    </row>
    <row r="801" ht="13.2" spans="1:25">
      <c r="A801" s="42">
        <v>800</v>
      </c>
      <c r="B801" s="43" t="s">
        <v>1141</v>
      </c>
      <c r="C801" s="43"/>
      <c r="D801" s="43"/>
      <c r="E801" s="43"/>
      <c r="F801" s="43"/>
      <c r="G801" s="43"/>
      <c r="H801" s="43"/>
      <c r="I801" s="43"/>
      <c r="J801" s="43"/>
      <c r="K801" s="43"/>
      <c r="L801" s="43"/>
      <c r="M801" s="43"/>
      <c r="N801" s="43"/>
      <c r="O801" s="43"/>
      <c r="P801" s="43"/>
      <c r="Q801" s="43"/>
      <c r="R801" s="43"/>
      <c r="S801" s="43"/>
      <c r="T801" s="43"/>
      <c r="U801" s="43"/>
      <c r="V801" s="43"/>
      <c r="W801" s="43"/>
      <c r="X801" s="43"/>
      <c r="Y801" s="43"/>
    </row>
    <row r="802" ht="13.2" spans="1:25">
      <c r="A802" s="42">
        <v>801</v>
      </c>
      <c r="B802" s="42" t="s">
        <v>1142</v>
      </c>
      <c r="C802" s="43"/>
      <c r="D802" s="43"/>
      <c r="E802" s="43"/>
      <c r="F802" s="43"/>
      <c r="G802" s="43"/>
      <c r="H802" s="43"/>
      <c r="I802" s="43"/>
      <c r="J802" s="43"/>
      <c r="K802" s="43"/>
      <c r="L802" s="43"/>
      <c r="M802" s="43"/>
      <c r="N802" s="43"/>
      <c r="O802" s="43"/>
      <c r="P802" s="43"/>
      <c r="Q802" s="43"/>
      <c r="R802" s="43"/>
      <c r="S802" s="43"/>
      <c r="T802" s="43"/>
      <c r="U802" s="43"/>
      <c r="V802" s="43"/>
      <c r="W802" s="43"/>
      <c r="X802" s="43"/>
      <c r="Y802" s="43"/>
    </row>
    <row r="803" ht="13.2" spans="1:25">
      <c r="A803" s="42">
        <v>802</v>
      </c>
      <c r="B803" s="43" t="s">
        <v>1143</v>
      </c>
      <c r="C803" s="43"/>
      <c r="D803" s="43"/>
      <c r="E803" s="43"/>
      <c r="F803" s="43"/>
      <c r="G803" s="43"/>
      <c r="H803" s="43"/>
      <c r="I803" s="43"/>
      <c r="J803" s="43"/>
      <c r="K803" s="43"/>
      <c r="L803" s="43"/>
      <c r="M803" s="43"/>
      <c r="N803" s="43"/>
      <c r="O803" s="43"/>
      <c r="P803" s="43"/>
      <c r="Q803" s="43"/>
      <c r="R803" s="43"/>
      <c r="S803" s="43"/>
      <c r="T803" s="43"/>
      <c r="U803" s="43"/>
      <c r="V803" s="43"/>
      <c r="W803" s="43"/>
      <c r="X803" s="43"/>
      <c r="Y803" s="43"/>
    </row>
    <row r="804" ht="13.2" spans="1:25">
      <c r="A804" s="42">
        <v>803</v>
      </c>
      <c r="B804" s="43" t="s">
        <v>1144</v>
      </c>
      <c r="C804" s="43"/>
      <c r="D804" s="43"/>
      <c r="E804" s="43"/>
      <c r="F804" s="43"/>
      <c r="G804" s="43"/>
      <c r="H804" s="43"/>
      <c r="I804" s="43"/>
      <c r="J804" s="43"/>
      <c r="K804" s="43"/>
      <c r="L804" s="43"/>
      <c r="M804" s="43"/>
      <c r="N804" s="43"/>
      <c r="O804" s="43"/>
      <c r="P804" s="43"/>
      <c r="Q804" s="43"/>
      <c r="R804" s="43"/>
      <c r="S804" s="43"/>
      <c r="T804" s="43"/>
      <c r="U804" s="43"/>
      <c r="V804" s="43"/>
      <c r="W804" s="43"/>
      <c r="X804" s="43"/>
      <c r="Y804" s="43"/>
    </row>
    <row r="805" ht="13.2" spans="1:25">
      <c r="A805" s="42">
        <v>804</v>
      </c>
      <c r="B805" s="43" t="s">
        <v>1145</v>
      </c>
      <c r="C805" s="43"/>
      <c r="D805" s="43"/>
      <c r="E805" s="43"/>
      <c r="F805" s="43"/>
      <c r="G805" s="43"/>
      <c r="H805" s="43"/>
      <c r="I805" s="43"/>
      <c r="J805" s="43"/>
      <c r="K805" s="43"/>
      <c r="L805" s="43"/>
      <c r="M805" s="43"/>
      <c r="N805" s="43"/>
      <c r="O805" s="43"/>
      <c r="P805" s="43"/>
      <c r="Q805" s="43"/>
      <c r="R805" s="43"/>
      <c r="S805" s="43"/>
      <c r="T805" s="43"/>
      <c r="U805" s="43"/>
      <c r="V805" s="43"/>
      <c r="W805" s="43"/>
      <c r="X805" s="43"/>
      <c r="Y805" s="43"/>
    </row>
    <row r="806" ht="13.2" spans="1:25">
      <c r="A806" s="42">
        <v>805</v>
      </c>
      <c r="B806" s="43" t="s">
        <v>1146</v>
      </c>
      <c r="C806" s="43"/>
      <c r="D806" s="43"/>
      <c r="E806" s="43"/>
      <c r="F806" s="43"/>
      <c r="G806" s="43"/>
      <c r="H806" s="43"/>
      <c r="I806" s="43"/>
      <c r="J806" s="43"/>
      <c r="K806" s="43"/>
      <c r="L806" s="43"/>
      <c r="M806" s="43"/>
      <c r="N806" s="43"/>
      <c r="O806" s="43"/>
      <c r="P806" s="43"/>
      <c r="Q806" s="43"/>
      <c r="R806" s="43"/>
      <c r="S806" s="43"/>
      <c r="T806" s="43"/>
      <c r="U806" s="43"/>
      <c r="V806" s="43"/>
      <c r="W806" s="43"/>
      <c r="X806" s="43"/>
      <c r="Y806" s="43"/>
    </row>
    <row r="807" ht="13.2" spans="1:25">
      <c r="A807" s="42">
        <v>806</v>
      </c>
      <c r="B807" s="43" t="s">
        <v>1147</v>
      </c>
      <c r="C807" s="43"/>
      <c r="D807" s="43"/>
      <c r="E807" s="43"/>
      <c r="F807" s="43"/>
      <c r="G807" s="43"/>
      <c r="H807" s="43"/>
      <c r="I807" s="43"/>
      <c r="J807" s="43"/>
      <c r="K807" s="43"/>
      <c r="L807" s="43"/>
      <c r="M807" s="43"/>
      <c r="N807" s="43"/>
      <c r="O807" s="43"/>
      <c r="P807" s="43"/>
      <c r="Q807" s="43"/>
      <c r="R807" s="43"/>
      <c r="S807" s="43"/>
      <c r="T807" s="43"/>
      <c r="U807" s="43"/>
      <c r="V807" s="43"/>
      <c r="W807" s="43"/>
      <c r="X807" s="43"/>
      <c r="Y807" s="43"/>
    </row>
    <row r="808" ht="13.2" spans="1:25">
      <c r="A808" s="42">
        <v>807</v>
      </c>
      <c r="B808" s="43" t="s">
        <v>1148</v>
      </c>
      <c r="C808" s="43"/>
      <c r="D808" s="43"/>
      <c r="E808" s="43"/>
      <c r="F808" s="43"/>
      <c r="G808" s="43"/>
      <c r="H808" s="43"/>
      <c r="I808" s="43"/>
      <c r="J808" s="43"/>
      <c r="K808" s="43"/>
      <c r="L808" s="43"/>
      <c r="M808" s="43"/>
      <c r="N808" s="43"/>
      <c r="O808" s="43"/>
      <c r="P808" s="43"/>
      <c r="Q808" s="43"/>
      <c r="R808" s="43"/>
      <c r="S808" s="43"/>
      <c r="T808" s="43"/>
      <c r="U808" s="43"/>
      <c r="V808" s="43"/>
      <c r="W808" s="43"/>
      <c r="X808" s="43"/>
      <c r="Y808" s="43"/>
    </row>
    <row r="809" ht="13.2" spans="1:25">
      <c r="A809" s="42">
        <v>808</v>
      </c>
      <c r="B809" s="43" t="s">
        <v>1149</v>
      </c>
      <c r="C809" s="43"/>
      <c r="D809" s="43"/>
      <c r="E809" s="43"/>
      <c r="F809" s="43"/>
      <c r="G809" s="43"/>
      <c r="H809" s="43"/>
      <c r="I809" s="43"/>
      <c r="J809" s="43"/>
      <c r="K809" s="43"/>
      <c r="L809" s="43"/>
      <c r="M809" s="43"/>
      <c r="N809" s="43"/>
      <c r="O809" s="43"/>
      <c r="P809" s="43"/>
      <c r="Q809" s="43"/>
      <c r="R809" s="43"/>
      <c r="S809" s="43"/>
      <c r="T809" s="43"/>
      <c r="U809" s="43"/>
      <c r="V809" s="43"/>
      <c r="W809" s="43"/>
      <c r="X809" s="43"/>
      <c r="Y809" s="43"/>
    </row>
    <row r="810" ht="13.2" spans="1:25">
      <c r="A810" s="42">
        <v>809</v>
      </c>
      <c r="B810" s="43" t="s">
        <v>1150</v>
      </c>
      <c r="C810" s="43"/>
      <c r="D810" s="43"/>
      <c r="E810" s="43"/>
      <c r="F810" s="43"/>
      <c r="G810" s="43"/>
      <c r="H810" s="43"/>
      <c r="I810" s="43"/>
      <c r="J810" s="43"/>
      <c r="K810" s="43"/>
      <c r="L810" s="43"/>
      <c r="M810" s="43"/>
      <c r="N810" s="43"/>
      <c r="O810" s="43"/>
      <c r="P810" s="43"/>
      <c r="Q810" s="43"/>
      <c r="R810" s="43"/>
      <c r="S810" s="43"/>
      <c r="T810" s="43"/>
      <c r="U810" s="43"/>
      <c r="V810" s="43"/>
      <c r="W810" s="43"/>
      <c r="X810" s="43"/>
      <c r="Y810" s="43"/>
    </row>
    <row r="811" ht="13.2" spans="1:25">
      <c r="A811" s="42">
        <v>810</v>
      </c>
      <c r="B811" s="43" t="s">
        <v>1151</v>
      </c>
      <c r="C811" s="43"/>
      <c r="D811" s="43"/>
      <c r="E811" s="43"/>
      <c r="F811" s="43"/>
      <c r="G811" s="43"/>
      <c r="H811" s="43"/>
      <c r="I811" s="43"/>
      <c r="J811" s="43"/>
      <c r="K811" s="43"/>
      <c r="L811" s="43"/>
      <c r="M811" s="43"/>
      <c r="N811" s="43"/>
      <c r="O811" s="43"/>
      <c r="P811" s="43"/>
      <c r="Q811" s="43"/>
      <c r="R811" s="43"/>
      <c r="S811" s="43"/>
      <c r="T811" s="43"/>
      <c r="U811" s="43"/>
      <c r="V811" s="43"/>
      <c r="W811" s="43"/>
      <c r="X811" s="43"/>
      <c r="Y811" s="43"/>
    </row>
    <row r="812" ht="13.2" spans="1:25">
      <c r="A812" s="42">
        <v>811</v>
      </c>
      <c r="B812" s="43" t="s">
        <v>1152</v>
      </c>
      <c r="C812" s="43"/>
      <c r="D812" s="43"/>
      <c r="E812" s="43"/>
      <c r="F812" s="43"/>
      <c r="G812" s="43"/>
      <c r="H812" s="43"/>
      <c r="I812" s="43"/>
      <c r="J812" s="43"/>
      <c r="K812" s="43"/>
      <c r="L812" s="43"/>
      <c r="M812" s="43"/>
      <c r="N812" s="43"/>
      <c r="O812" s="43"/>
      <c r="P812" s="43"/>
      <c r="Q812" s="43"/>
      <c r="R812" s="43"/>
      <c r="S812" s="43"/>
      <c r="T812" s="43"/>
      <c r="U812" s="43"/>
      <c r="V812" s="43"/>
      <c r="W812" s="43"/>
      <c r="X812" s="43"/>
      <c r="Y812" s="43"/>
    </row>
    <row r="813" ht="13.2" spans="1:25">
      <c r="A813" s="42">
        <v>812</v>
      </c>
      <c r="B813" s="43" t="s">
        <v>1153</v>
      </c>
      <c r="C813" s="43"/>
      <c r="D813" s="43"/>
      <c r="E813" s="43"/>
      <c r="F813" s="43"/>
      <c r="G813" s="43"/>
      <c r="H813" s="43"/>
      <c r="I813" s="43"/>
      <c r="J813" s="43"/>
      <c r="K813" s="43"/>
      <c r="L813" s="43"/>
      <c r="M813" s="43"/>
      <c r="N813" s="43"/>
      <c r="O813" s="43"/>
      <c r="P813" s="43"/>
      <c r="Q813" s="43"/>
      <c r="R813" s="43"/>
      <c r="S813" s="43"/>
      <c r="T813" s="43"/>
      <c r="U813" s="43"/>
      <c r="V813" s="43"/>
      <c r="W813" s="43"/>
      <c r="X813" s="43"/>
      <c r="Y813" s="43"/>
    </row>
    <row r="814" ht="13.2" spans="1:25">
      <c r="A814" s="42">
        <v>813</v>
      </c>
      <c r="B814" s="43" t="s">
        <v>1154</v>
      </c>
      <c r="C814" s="43"/>
      <c r="D814" s="43"/>
      <c r="E814" s="43"/>
      <c r="F814" s="43"/>
      <c r="G814" s="43"/>
      <c r="H814" s="43"/>
      <c r="I814" s="43"/>
      <c r="J814" s="43"/>
      <c r="K814" s="43"/>
      <c r="L814" s="43"/>
      <c r="M814" s="43"/>
      <c r="N814" s="43"/>
      <c r="O814" s="43"/>
      <c r="P814" s="43"/>
      <c r="Q814" s="43"/>
      <c r="R814" s="43"/>
      <c r="S814" s="43"/>
      <c r="T814" s="43"/>
      <c r="U814" s="43"/>
      <c r="V814" s="43"/>
      <c r="W814" s="43"/>
      <c r="X814" s="43"/>
      <c r="Y814" s="43"/>
    </row>
    <row r="815" ht="13.2" spans="1:25">
      <c r="A815" s="42">
        <v>814</v>
      </c>
      <c r="B815" s="43" t="s">
        <v>1155</v>
      </c>
      <c r="C815" s="43"/>
      <c r="D815" s="43"/>
      <c r="E815" s="43"/>
      <c r="F815" s="43"/>
      <c r="G815" s="43"/>
      <c r="H815" s="43"/>
      <c r="I815" s="43"/>
      <c r="J815" s="43"/>
      <c r="K815" s="43"/>
      <c r="L815" s="43"/>
      <c r="M815" s="43"/>
      <c r="N815" s="43"/>
      <c r="O815" s="43"/>
      <c r="P815" s="43"/>
      <c r="Q815" s="43"/>
      <c r="R815" s="43"/>
      <c r="S815" s="43"/>
      <c r="T815" s="43"/>
      <c r="U815" s="43"/>
      <c r="V815" s="43"/>
      <c r="W815" s="43"/>
      <c r="X815" s="43"/>
      <c r="Y815" s="43"/>
    </row>
    <row r="816" ht="13.2" spans="1:25">
      <c r="A816" s="42">
        <v>815</v>
      </c>
      <c r="B816" s="43" t="s">
        <v>1156</v>
      </c>
      <c r="C816" s="43"/>
      <c r="D816" s="43"/>
      <c r="E816" s="43"/>
      <c r="F816" s="43"/>
      <c r="G816" s="43"/>
      <c r="H816" s="43"/>
      <c r="I816" s="43"/>
      <c r="J816" s="43"/>
      <c r="K816" s="43"/>
      <c r="L816" s="43"/>
      <c r="M816" s="43"/>
      <c r="N816" s="43"/>
      <c r="O816" s="43"/>
      <c r="P816" s="43"/>
      <c r="Q816" s="43"/>
      <c r="R816" s="43"/>
      <c r="S816" s="43"/>
      <c r="T816" s="43"/>
      <c r="U816" s="43"/>
      <c r="V816" s="43"/>
      <c r="W816" s="43"/>
      <c r="X816" s="43"/>
      <c r="Y816" s="43"/>
    </row>
    <row r="817" ht="13.2" spans="1:25">
      <c r="A817" s="42">
        <v>816</v>
      </c>
      <c r="B817" s="43" t="s">
        <v>1157</v>
      </c>
      <c r="C817" s="43"/>
      <c r="D817" s="43"/>
      <c r="E817" s="43"/>
      <c r="F817" s="43"/>
      <c r="G817" s="43"/>
      <c r="H817" s="43"/>
      <c r="I817" s="43"/>
      <c r="J817" s="43"/>
      <c r="K817" s="43"/>
      <c r="L817" s="43"/>
      <c r="M817" s="43"/>
      <c r="N817" s="43"/>
      <c r="O817" s="43"/>
      <c r="P817" s="43"/>
      <c r="Q817" s="43"/>
      <c r="R817" s="43"/>
      <c r="S817" s="43"/>
      <c r="T817" s="43"/>
      <c r="U817" s="43"/>
      <c r="V817" s="43"/>
      <c r="W817" s="43"/>
      <c r="X817" s="43"/>
      <c r="Y817" s="43"/>
    </row>
    <row r="818" ht="13.2" spans="1:25">
      <c r="A818" s="42">
        <v>817</v>
      </c>
      <c r="B818" s="43" t="s">
        <v>1158</v>
      </c>
      <c r="C818" s="43"/>
      <c r="D818" s="43"/>
      <c r="E818" s="43"/>
      <c r="F818" s="43"/>
      <c r="G818" s="43"/>
      <c r="H818" s="43"/>
      <c r="I818" s="43"/>
      <c r="J818" s="43"/>
      <c r="K818" s="43"/>
      <c r="L818" s="43"/>
      <c r="M818" s="43"/>
      <c r="N818" s="43"/>
      <c r="O818" s="43"/>
      <c r="P818" s="43"/>
      <c r="Q818" s="43"/>
      <c r="R818" s="43"/>
      <c r="S818" s="43"/>
      <c r="T818" s="43"/>
      <c r="U818" s="43"/>
      <c r="V818" s="43"/>
      <c r="W818" s="43"/>
      <c r="X818" s="43"/>
      <c r="Y818" s="43"/>
    </row>
    <row r="819" ht="13.2" spans="1:25">
      <c r="A819" s="42">
        <v>818</v>
      </c>
      <c r="B819" s="43" t="s">
        <v>1159</v>
      </c>
      <c r="C819" s="43"/>
      <c r="D819" s="43"/>
      <c r="E819" s="43"/>
      <c r="F819" s="43"/>
      <c r="G819" s="43"/>
      <c r="H819" s="43"/>
      <c r="I819" s="43"/>
      <c r="J819" s="43"/>
      <c r="K819" s="43"/>
      <c r="L819" s="43"/>
      <c r="M819" s="43"/>
      <c r="N819" s="43"/>
      <c r="O819" s="43"/>
      <c r="P819" s="43"/>
      <c r="Q819" s="43"/>
      <c r="R819" s="43"/>
      <c r="S819" s="43"/>
      <c r="T819" s="43"/>
      <c r="U819" s="43"/>
      <c r="V819" s="43"/>
      <c r="W819" s="43"/>
      <c r="X819" s="43"/>
      <c r="Y819" s="43"/>
    </row>
    <row r="820" ht="13.2" spans="1:25">
      <c r="A820" s="42">
        <v>819</v>
      </c>
      <c r="B820" s="43" t="s">
        <v>1160</v>
      </c>
      <c r="C820" s="43"/>
      <c r="D820" s="43"/>
      <c r="E820" s="43"/>
      <c r="F820" s="43"/>
      <c r="G820" s="43"/>
      <c r="H820" s="43"/>
      <c r="I820" s="43"/>
      <c r="J820" s="43"/>
      <c r="K820" s="43"/>
      <c r="L820" s="43"/>
      <c r="M820" s="43"/>
      <c r="N820" s="43"/>
      <c r="O820" s="43"/>
      <c r="P820" s="43"/>
      <c r="Q820" s="43"/>
      <c r="R820" s="43"/>
      <c r="S820" s="43"/>
      <c r="T820" s="43"/>
      <c r="U820" s="43"/>
      <c r="V820" s="43"/>
      <c r="W820" s="43"/>
      <c r="X820" s="43"/>
      <c r="Y820" s="43"/>
    </row>
    <row r="821" ht="13.2" spans="1:25">
      <c r="A821" s="42">
        <v>820</v>
      </c>
      <c r="B821" s="43" t="s">
        <v>1161</v>
      </c>
      <c r="C821" s="43"/>
      <c r="D821" s="43"/>
      <c r="E821" s="43"/>
      <c r="F821" s="43"/>
      <c r="G821" s="43"/>
      <c r="H821" s="43"/>
      <c r="I821" s="43"/>
      <c r="J821" s="43"/>
      <c r="K821" s="43"/>
      <c r="L821" s="43"/>
      <c r="M821" s="43"/>
      <c r="N821" s="43"/>
      <c r="O821" s="43"/>
      <c r="P821" s="43"/>
      <c r="Q821" s="43"/>
      <c r="R821" s="43"/>
      <c r="S821" s="43"/>
      <c r="T821" s="43"/>
      <c r="U821" s="43"/>
      <c r="V821" s="43"/>
      <c r="W821" s="43"/>
      <c r="X821" s="43"/>
      <c r="Y821" s="43"/>
    </row>
    <row r="822" ht="13.2" spans="1:25">
      <c r="A822" s="42">
        <v>821</v>
      </c>
      <c r="B822" s="43" t="s">
        <v>1162</v>
      </c>
      <c r="C822" s="43"/>
      <c r="D822" s="43"/>
      <c r="E822" s="43"/>
      <c r="F822" s="43"/>
      <c r="G822" s="43"/>
      <c r="H822" s="43"/>
      <c r="I822" s="43"/>
      <c r="J822" s="43"/>
      <c r="K822" s="43"/>
      <c r="L822" s="43"/>
      <c r="M822" s="43"/>
      <c r="N822" s="43"/>
      <c r="O822" s="43"/>
      <c r="P822" s="43"/>
      <c r="Q822" s="43"/>
      <c r="R822" s="43"/>
      <c r="S822" s="43"/>
      <c r="T822" s="43"/>
      <c r="U822" s="43"/>
      <c r="V822" s="43"/>
      <c r="W822" s="43"/>
      <c r="X822" s="43"/>
      <c r="Y822" s="43"/>
    </row>
    <row r="823" ht="13.2" spans="1:25">
      <c r="A823" s="42">
        <v>822</v>
      </c>
      <c r="B823" s="43" t="s">
        <v>1163</v>
      </c>
      <c r="C823" s="43"/>
      <c r="D823" s="43"/>
      <c r="E823" s="43"/>
      <c r="F823" s="43"/>
      <c r="G823" s="43"/>
      <c r="H823" s="43"/>
      <c r="I823" s="43"/>
      <c r="J823" s="43"/>
      <c r="K823" s="43"/>
      <c r="L823" s="43"/>
      <c r="M823" s="43"/>
      <c r="N823" s="43"/>
      <c r="O823" s="43"/>
      <c r="P823" s="43"/>
      <c r="Q823" s="43"/>
      <c r="R823" s="43"/>
      <c r="S823" s="43"/>
      <c r="T823" s="43"/>
      <c r="U823" s="43"/>
      <c r="V823" s="43"/>
      <c r="W823" s="43"/>
      <c r="X823" s="43"/>
      <c r="Y823" s="43"/>
    </row>
    <row r="824" ht="13.2" spans="1:25">
      <c r="A824" s="42">
        <v>823</v>
      </c>
      <c r="B824" s="43" t="s">
        <v>1164</v>
      </c>
      <c r="C824" s="43"/>
      <c r="D824" s="43"/>
      <c r="E824" s="43"/>
      <c r="F824" s="43"/>
      <c r="G824" s="43"/>
      <c r="H824" s="43"/>
      <c r="I824" s="43"/>
      <c r="J824" s="43"/>
      <c r="K824" s="43"/>
      <c r="L824" s="43"/>
      <c r="M824" s="43"/>
      <c r="N824" s="43"/>
      <c r="O824" s="43"/>
      <c r="P824" s="43"/>
      <c r="Q824" s="43"/>
      <c r="R824" s="43"/>
      <c r="S824" s="43"/>
      <c r="T824" s="43"/>
      <c r="U824" s="43"/>
      <c r="V824" s="43"/>
      <c r="W824" s="43"/>
      <c r="X824" s="43"/>
      <c r="Y824" s="43"/>
    </row>
    <row r="825" ht="13.2" spans="1:25">
      <c r="A825" s="42">
        <v>824</v>
      </c>
      <c r="B825" s="43" t="s">
        <v>1165</v>
      </c>
      <c r="C825" s="43"/>
      <c r="D825" s="43"/>
      <c r="E825" s="43"/>
      <c r="F825" s="43"/>
      <c r="G825" s="43"/>
      <c r="H825" s="43"/>
      <c r="I825" s="43"/>
      <c r="J825" s="43"/>
      <c r="K825" s="43"/>
      <c r="L825" s="43"/>
      <c r="M825" s="43"/>
      <c r="N825" s="43"/>
      <c r="O825" s="43"/>
      <c r="P825" s="43"/>
      <c r="Q825" s="43"/>
      <c r="R825" s="43"/>
      <c r="S825" s="43"/>
      <c r="T825" s="43"/>
      <c r="U825" s="43"/>
      <c r="V825" s="43"/>
      <c r="W825" s="43"/>
      <c r="X825" s="43"/>
      <c r="Y825" s="43"/>
    </row>
    <row r="826" ht="13.2" spans="1:25">
      <c r="A826" s="42">
        <v>825</v>
      </c>
      <c r="B826" s="43" t="s">
        <v>1166</v>
      </c>
      <c r="C826" s="43"/>
      <c r="D826" s="43"/>
      <c r="E826" s="43"/>
      <c r="F826" s="43"/>
      <c r="G826" s="43"/>
      <c r="H826" s="43"/>
      <c r="I826" s="43"/>
      <c r="J826" s="43"/>
      <c r="K826" s="43"/>
      <c r="L826" s="43"/>
      <c r="M826" s="43"/>
      <c r="N826" s="43"/>
      <c r="O826" s="43"/>
      <c r="P826" s="43"/>
      <c r="Q826" s="43"/>
      <c r="R826" s="43"/>
      <c r="S826" s="43"/>
      <c r="T826" s="43"/>
      <c r="U826" s="43"/>
      <c r="V826" s="43"/>
      <c r="W826" s="43"/>
      <c r="X826" s="43"/>
      <c r="Y826" s="43"/>
    </row>
    <row r="827" ht="13.2" spans="1:25">
      <c r="A827" s="42">
        <v>826</v>
      </c>
      <c r="B827" s="43" t="s">
        <v>1167</v>
      </c>
      <c r="C827" s="43"/>
      <c r="D827" s="43"/>
      <c r="E827" s="43"/>
      <c r="F827" s="43"/>
      <c r="G827" s="43"/>
      <c r="H827" s="43"/>
      <c r="I827" s="43"/>
      <c r="J827" s="43"/>
      <c r="K827" s="43"/>
      <c r="L827" s="43"/>
      <c r="M827" s="43"/>
      <c r="N827" s="43"/>
      <c r="O827" s="43"/>
      <c r="P827" s="43"/>
      <c r="Q827" s="43"/>
      <c r="R827" s="43"/>
      <c r="S827" s="43"/>
      <c r="T827" s="43"/>
      <c r="U827" s="43"/>
      <c r="V827" s="43"/>
      <c r="W827" s="43"/>
      <c r="X827" s="43"/>
      <c r="Y827" s="43"/>
    </row>
    <row r="828" ht="13.2" spans="1:25">
      <c r="A828" s="42">
        <v>827</v>
      </c>
      <c r="B828" s="43" t="s">
        <v>1168</v>
      </c>
      <c r="C828" s="43"/>
      <c r="D828" s="43"/>
      <c r="E828" s="43"/>
      <c r="F828" s="43"/>
      <c r="G828" s="43"/>
      <c r="H828" s="43"/>
      <c r="I828" s="43"/>
      <c r="J828" s="43"/>
      <c r="K828" s="43"/>
      <c r="L828" s="43"/>
      <c r="M828" s="43"/>
      <c r="N828" s="43"/>
      <c r="O828" s="43"/>
      <c r="P828" s="43"/>
      <c r="Q828" s="43"/>
      <c r="R828" s="43"/>
      <c r="S828" s="43"/>
      <c r="T828" s="43"/>
      <c r="U828" s="43"/>
      <c r="V828" s="43"/>
      <c r="W828" s="43"/>
      <c r="X828" s="43"/>
      <c r="Y828" s="43"/>
    </row>
    <row r="829" ht="13.2" spans="1:25">
      <c r="A829" s="42">
        <v>828</v>
      </c>
      <c r="B829" s="43" t="s">
        <v>1169</v>
      </c>
      <c r="C829" s="43"/>
      <c r="D829" s="43"/>
      <c r="E829" s="43"/>
      <c r="F829" s="43"/>
      <c r="G829" s="43"/>
      <c r="H829" s="43"/>
      <c r="I829" s="43"/>
      <c r="J829" s="43"/>
      <c r="K829" s="43"/>
      <c r="L829" s="43"/>
      <c r="M829" s="43"/>
      <c r="N829" s="43"/>
      <c r="O829" s="43"/>
      <c r="P829" s="43"/>
      <c r="Q829" s="43"/>
      <c r="R829" s="43"/>
      <c r="S829" s="43"/>
      <c r="T829" s="43"/>
      <c r="U829" s="43"/>
      <c r="V829" s="43"/>
      <c r="W829" s="43"/>
      <c r="X829" s="43"/>
      <c r="Y829" s="43"/>
    </row>
    <row r="830" ht="13.2" spans="1:25">
      <c r="A830" s="42">
        <v>829</v>
      </c>
      <c r="B830" s="43" t="s">
        <v>1170</v>
      </c>
      <c r="C830" s="43"/>
      <c r="D830" s="43"/>
      <c r="E830" s="43"/>
      <c r="F830" s="43"/>
      <c r="G830" s="43"/>
      <c r="H830" s="43"/>
      <c r="I830" s="43"/>
      <c r="J830" s="43"/>
      <c r="K830" s="43"/>
      <c r="L830" s="43"/>
      <c r="M830" s="43"/>
      <c r="N830" s="43"/>
      <c r="O830" s="43"/>
      <c r="P830" s="43"/>
      <c r="Q830" s="43"/>
      <c r="R830" s="43"/>
      <c r="S830" s="43"/>
      <c r="T830" s="43"/>
      <c r="U830" s="43"/>
      <c r="V830" s="43"/>
      <c r="W830" s="43"/>
      <c r="X830" s="43"/>
      <c r="Y830" s="43"/>
    </row>
    <row r="831" ht="13.2" spans="1:25">
      <c r="A831" s="42">
        <v>830</v>
      </c>
      <c r="B831" s="43" t="s">
        <v>1171</v>
      </c>
      <c r="C831" s="43"/>
      <c r="D831" s="43"/>
      <c r="E831" s="43"/>
      <c r="F831" s="43"/>
      <c r="G831" s="43"/>
      <c r="H831" s="43"/>
      <c r="I831" s="43"/>
      <c r="J831" s="43"/>
      <c r="K831" s="43"/>
      <c r="L831" s="43"/>
      <c r="M831" s="43"/>
      <c r="N831" s="43"/>
      <c r="O831" s="43"/>
      <c r="P831" s="43"/>
      <c r="Q831" s="43"/>
      <c r="R831" s="43"/>
      <c r="S831" s="43"/>
      <c r="T831" s="43"/>
      <c r="U831" s="43"/>
      <c r="V831" s="43"/>
      <c r="W831" s="43"/>
      <c r="X831" s="43"/>
      <c r="Y831" s="43"/>
    </row>
    <row r="832" ht="13.2" spans="1:25">
      <c r="A832" s="42">
        <v>831</v>
      </c>
      <c r="B832" s="43" t="s">
        <v>1172</v>
      </c>
      <c r="C832" s="43"/>
      <c r="D832" s="43"/>
      <c r="E832" s="43"/>
      <c r="F832" s="43"/>
      <c r="G832" s="43"/>
      <c r="H832" s="43"/>
      <c r="I832" s="43"/>
      <c r="J832" s="43"/>
      <c r="K832" s="43"/>
      <c r="L832" s="43"/>
      <c r="M832" s="43"/>
      <c r="N832" s="43"/>
      <c r="O832" s="43"/>
      <c r="P832" s="43"/>
      <c r="Q832" s="43"/>
      <c r="R832" s="43"/>
      <c r="S832" s="43"/>
      <c r="T832" s="43"/>
      <c r="U832" s="43"/>
      <c r="V832" s="43"/>
      <c r="W832" s="43"/>
      <c r="X832" s="43"/>
      <c r="Y832" s="43"/>
    </row>
    <row r="833" ht="13.2" spans="1:25">
      <c r="A833" s="42">
        <v>832</v>
      </c>
      <c r="B833" s="43" t="s">
        <v>1173</v>
      </c>
      <c r="C833" s="43"/>
      <c r="D833" s="43"/>
      <c r="E833" s="43"/>
      <c r="F833" s="43"/>
      <c r="G833" s="43"/>
      <c r="H833" s="43"/>
      <c r="I833" s="43"/>
      <c r="J833" s="43"/>
      <c r="K833" s="43"/>
      <c r="L833" s="43"/>
      <c r="M833" s="43"/>
      <c r="N833" s="43"/>
      <c r="O833" s="43"/>
      <c r="P833" s="43"/>
      <c r="Q833" s="43"/>
      <c r="R833" s="43"/>
      <c r="S833" s="43"/>
      <c r="T833" s="43"/>
      <c r="U833" s="43"/>
      <c r="V833" s="43"/>
      <c r="W833" s="43"/>
      <c r="X833" s="43"/>
      <c r="Y833" s="43"/>
    </row>
    <row r="834" ht="13.2" spans="1:25">
      <c r="A834" s="42">
        <v>833</v>
      </c>
      <c r="B834" s="43" t="s">
        <v>1174</v>
      </c>
      <c r="C834" s="43"/>
      <c r="D834" s="43"/>
      <c r="E834" s="43"/>
      <c r="F834" s="43"/>
      <c r="G834" s="43"/>
      <c r="H834" s="43"/>
      <c r="I834" s="43"/>
      <c r="J834" s="43"/>
      <c r="K834" s="43"/>
      <c r="L834" s="43"/>
      <c r="M834" s="43"/>
      <c r="N834" s="43"/>
      <c r="O834" s="43"/>
      <c r="P834" s="43"/>
      <c r="Q834" s="43"/>
      <c r="R834" s="43"/>
      <c r="S834" s="43"/>
      <c r="T834" s="43"/>
      <c r="U834" s="43"/>
      <c r="V834" s="43"/>
      <c r="W834" s="43"/>
      <c r="X834" s="43"/>
      <c r="Y834" s="43"/>
    </row>
    <row r="835" ht="13.2" spans="1:25">
      <c r="A835" s="42">
        <v>834</v>
      </c>
      <c r="B835" s="43" t="s">
        <v>1175</v>
      </c>
      <c r="C835" s="43"/>
      <c r="D835" s="43"/>
      <c r="E835" s="43"/>
      <c r="F835" s="43"/>
      <c r="G835" s="43"/>
      <c r="H835" s="43"/>
      <c r="I835" s="43"/>
      <c r="J835" s="43"/>
      <c r="K835" s="43"/>
      <c r="L835" s="43"/>
      <c r="M835" s="43"/>
      <c r="N835" s="43"/>
      <c r="O835" s="43"/>
      <c r="P835" s="43"/>
      <c r="Q835" s="43"/>
      <c r="R835" s="43"/>
      <c r="S835" s="43"/>
      <c r="T835" s="43"/>
      <c r="U835" s="43"/>
      <c r="V835" s="43"/>
      <c r="W835" s="43"/>
      <c r="X835" s="43"/>
      <c r="Y835" s="43"/>
    </row>
    <row r="836" ht="13.2" spans="1:25">
      <c r="A836" s="42">
        <v>835</v>
      </c>
      <c r="B836" s="43" t="s">
        <v>1176</v>
      </c>
      <c r="C836" s="43"/>
      <c r="D836" s="43"/>
      <c r="E836" s="43"/>
      <c r="F836" s="43"/>
      <c r="G836" s="43"/>
      <c r="H836" s="43"/>
      <c r="I836" s="43"/>
      <c r="J836" s="43"/>
      <c r="K836" s="43"/>
      <c r="L836" s="43"/>
      <c r="M836" s="43"/>
      <c r="N836" s="43"/>
      <c r="O836" s="43"/>
      <c r="P836" s="43"/>
      <c r="Q836" s="43"/>
      <c r="R836" s="43"/>
      <c r="S836" s="43"/>
      <c r="T836" s="43"/>
      <c r="U836" s="43"/>
      <c r="V836" s="43"/>
      <c r="W836" s="43"/>
      <c r="X836" s="43"/>
      <c r="Y836" s="43"/>
    </row>
    <row r="837" ht="13.2" spans="1:25">
      <c r="A837" s="42">
        <v>836</v>
      </c>
      <c r="B837" s="43" t="s">
        <v>1177</v>
      </c>
      <c r="C837" s="43"/>
      <c r="D837" s="43"/>
      <c r="E837" s="43"/>
      <c r="F837" s="43"/>
      <c r="G837" s="43"/>
      <c r="H837" s="43"/>
      <c r="I837" s="43"/>
      <c r="J837" s="43"/>
      <c r="K837" s="43"/>
      <c r="L837" s="43"/>
      <c r="M837" s="43"/>
      <c r="N837" s="43"/>
      <c r="O837" s="43"/>
      <c r="P837" s="43"/>
      <c r="Q837" s="43"/>
      <c r="R837" s="43"/>
      <c r="S837" s="43"/>
      <c r="T837" s="43"/>
      <c r="U837" s="43"/>
      <c r="V837" s="43"/>
      <c r="W837" s="43"/>
      <c r="X837" s="43"/>
      <c r="Y837" s="43"/>
    </row>
    <row r="838" ht="13.2" spans="1:25">
      <c r="A838" s="42">
        <v>837</v>
      </c>
      <c r="B838" s="43" t="s">
        <v>1178</v>
      </c>
      <c r="C838" s="43"/>
      <c r="D838" s="43"/>
      <c r="E838" s="43"/>
      <c r="F838" s="43"/>
      <c r="G838" s="43"/>
      <c r="H838" s="43"/>
      <c r="I838" s="43"/>
      <c r="J838" s="43"/>
      <c r="K838" s="43"/>
      <c r="L838" s="43"/>
      <c r="M838" s="43"/>
      <c r="N838" s="43"/>
      <c r="O838" s="43"/>
      <c r="P838" s="43"/>
      <c r="Q838" s="43"/>
      <c r="R838" s="43"/>
      <c r="S838" s="43"/>
      <c r="T838" s="43"/>
      <c r="U838" s="43"/>
      <c r="V838" s="43"/>
      <c r="W838" s="43"/>
      <c r="X838" s="43"/>
      <c r="Y838" s="43"/>
    </row>
    <row r="839" ht="13.2" spans="1:25">
      <c r="A839" s="42">
        <v>838</v>
      </c>
      <c r="B839" s="43" t="s">
        <v>1179</v>
      </c>
      <c r="C839" s="43"/>
      <c r="D839" s="43"/>
      <c r="E839" s="43"/>
      <c r="F839" s="43"/>
      <c r="G839" s="43"/>
      <c r="H839" s="43"/>
      <c r="I839" s="43"/>
      <c r="J839" s="43"/>
      <c r="K839" s="43"/>
      <c r="L839" s="43"/>
      <c r="M839" s="43"/>
      <c r="N839" s="43"/>
      <c r="O839" s="43"/>
      <c r="P839" s="43"/>
      <c r="Q839" s="43"/>
      <c r="R839" s="43"/>
      <c r="S839" s="43"/>
      <c r="T839" s="43"/>
      <c r="U839" s="43"/>
      <c r="V839" s="43"/>
      <c r="W839" s="43"/>
      <c r="X839" s="43"/>
      <c r="Y839" s="43"/>
    </row>
    <row r="840" ht="13.2" spans="1:25">
      <c r="A840" s="42">
        <v>839</v>
      </c>
      <c r="B840" s="43" t="s">
        <v>1180</v>
      </c>
      <c r="C840" s="43"/>
      <c r="D840" s="43"/>
      <c r="E840" s="43"/>
      <c r="F840" s="43"/>
      <c r="G840" s="43"/>
      <c r="H840" s="43"/>
      <c r="I840" s="43"/>
      <c r="J840" s="43"/>
      <c r="K840" s="43"/>
      <c r="L840" s="43"/>
      <c r="M840" s="43"/>
      <c r="N840" s="43"/>
      <c r="O840" s="43"/>
      <c r="P840" s="43"/>
      <c r="Q840" s="43"/>
      <c r="R840" s="43"/>
      <c r="S840" s="43"/>
      <c r="T840" s="43"/>
      <c r="U840" s="43"/>
      <c r="V840" s="43"/>
      <c r="W840" s="43"/>
      <c r="X840" s="43"/>
      <c r="Y840" s="43"/>
    </row>
    <row r="841" ht="13.2" spans="1:25">
      <c r="A841" s="42">
        <v>840</v>
      </c>
      <c r="B841" s="43" t="s">
        <v>1181</v>
      </c>
      <c r="C841" s="43"/>
      <c r="D841" s="43"/>
      <c r="E841" s="43"/>
      <c r="F841" s="43"/>
      <c r="G841" s="43"/>
      <c r="H841" s="43"/>
      <c r="I841" s="43"/>
      <c r="J841" s="43"/>
      <c r="K841" s="43"/>
      <c r="L841" s="43"/>
      <c r="M841" s="43"/>
      <c r="N841" s="43"/>
      <c r="O841" s="43"/>
      <c r="P841" s="43"/>
      <c r="Q841" s="43"/>
      <c r="R841" s="43"/>
      <c r="S841" s="43"/>
      <c r="T841" s="43"/>
      <c r="U841" s="43"/>
      <c r="V841" s="43"/>
      <c r="W841" s="43"/>
      <c r="X841" s="43"/>
      <c r="Y841" s="43"/>
    </row>
    <row r="842" ht="13.2" spans="1:25">
      <c r="A842" s="42">
        <v>841</v>
      </c>
      <c r="B842" s="43" t="s">
        <v>1182</v>
      </c>
      <c r="C842" s="43"/>
      <c r="D842" s="43"/>
      <c r="E842" s="43"/>
      <c r="F842" s="43"/>
      <c r="G842" s="43"/>
      <c r="H842" s="43"/>
      <c r="I842" s="43"/>
      <c r="J842" s="43"/>
      <c r="K842" s="43"/>
      <c r="L842" s="43"/>
      <c r="M842" s="43"/>
      <c r="N842" s="43"/>
      <c r="O842" s="43"/>
      <c r="P842" s="43"/>
      <c r="Q842" s="43"/>
      <c r="R842" s="43"/>
      <c r="S842" s="43"/>
      <c r="T842" s="43"/>
      <c r="U842" s="43"/>
      <c r="V842" s="43"/>
      <c r="W842" s="43"/>
      <c r="X842" s="43"/>
      <c r="Y842" s="43"/>
    </row>
    <row r="843" ht="13.2" spans="1:25">
      <c r="A843" s="42">
        <v>842</v>
      </c>
      <c r="B843" s="43" t="s">
        <v>1183</v>
      </c>
      <c r="C843" s="43"/>
      <c r="D843" s="43"/>
      <c r="E843" s="43"/>
      <c r="F843" s="43"/>
      <c r="G843" s="43"/>
      <c r="H843" s="43"/>
      <c r="I843" s="43"/>
      <c r="J843" s="43"/>
      <c r="K843" s="43"/>
      <c r="L843" s="43"/>
      <c r="M843" s="43"/>
      <c r="N843" s="43"/>
      <c r="O843" s="43"/>
      <c r="P843" s="43"/>
      <c r="Q843" s="43"/>
      <c r="R843" s="43"/>
      <c r="S843" s="43"/>
      <c r="T843" s="43"/>
      <c r="U843" s="43"/>
      <c r="V843" s="43"/>
      <c r="W843" s="43"/>
      <c r="X843" s="43"/>
      <c r="Y843" s="43"/>
    </row>
    <row r="844" ht="13.2" spans="1:25">
      <c r="A844" s="42">
        <v>843</v>
      </c>
      <c r="B844" s="43" t="s">
        <v>1184</v>
      </c>
      <c r="C844" s="43"/>
      <c r="D844" s="43"/>
      <c r="E844" s="43"/>
      <c r="F844" s="43"/>
      <c r="G844" s="43"/>
      <c r="H844" s="43"/>
      <c r="I844" s="43"/>
      <c r="J844" s="43"/>
      <c r="K844" s="43"/>
      <c r="L844" s="43"/>
      <c r="M844" s="43"/>
      <c r="N844" s="43"/>
      <c r="O844" s="43"/>
      <c r="P844" s="43"/>
      <c r="Q844" s="43"/>
      <c r="R844" s="43"/>
      <c r="S844" s="43"/>
      <c r="T844" s="43"/>
      <c r="U844" s="43"/>
      <c r="V844" s="43"/>
      <c r="W844" s="43"/>
      <c r="X844" s="43"/>
      <c r="Y844" s="43"/>
    </row>
    <row r="845" ht="13.2" spans="1:25">
      <c r="A845" s="42">
        <v>844</v>
      </c>
      <c r="B845" s="43" t="s">
        <v>1185</v>
      </c>
      <c r="C845" s="43"/>
      <c r="D845" s="43"/>
      <c r="E845" s="43"/>
      <c r="F845" s="43"/>
      <c r="G845" s="43"/>
      <c r="H845" s="43"/>
      <c r="I845" s="43"/>
      <c r="J845" s="43"/>
      <c r="K845" s="43"/>
      <c r="L845" s="43"/>
      <c r="M845" s="43"/>
      <c r="N845" s="43"/>
      <c r="O845" s="43"/>
      <c r="P845" s="43"/>
      <c r="Q845" s="43"/>
      <c r="R845" s="43"/>
      <c r="S845" s="43"/>
      <c r="T845" s="43"/>
      <c r="U845" s="43"/>
      <c r="V845" s="43"/>
      <c r="W845" s="43"/>
      <c r="X845" s="43"/>
      <c r="Y845" s="43"/>
    </row>
    <row r="846" ht="13.2" spans="1:25">
      <c r="A846" s="42">
        <v>845</v>
      </c>
      <c r="B846" s="43" t="s">
        <v>1186</v>
      </c>
      <c r="C846" s="43"/>
      <c r="D846" s="43"/>
      <c r="E846" s="43"/>
      <c r="F846" s="43"/>
      <c r="G846" s="43"/>
      <c r="H846" s="43"/>
      <c r="I846" s="43"/>
      <c r="J846" s="43"/>
      <c r="K846" s="43"/>
      <c r="L846" s="43"/>
      <c r="M846" s="43"/>
      <c r="N846" s="43"/>
      <c r="O846" s="43"/>
      <c r="P846" s="43"/>
      <c r="Q846" s="43"/>
      <c r="R846" s="43"/>
      <c r="S846" s="43"/>
      <c r="T846" s="43"/>
      <c r="U846" s="43"/>
      <c r="V846" s="43"/>
      <c r="W846" s="43"/>
      <c r="X846" s="43"/>
      <c r="Y846" s="43"/>
    </row>
    <row r="847" ht="13.2" spans="1:25">
      <c r="A847" s="42">
        <v>846</v>
      </c>
      <c r="B847" s="43" t="s">
        <v>1187</v>
      </c>
      <c r="C847" s="43"/>
      <c r="D847" s="43"/>
      <c r="E847" s="43"/>
      <c r="F847" s="43"/>
      <c r="G847" s="43"/>
      <c r="H847" s="43"/>
      <c r="I847" s="43"/>
      <c r="J847" s="43"/>
      <c r="K847" s="43"/>
      <c r="L847" s="43"/>
      <c r="M847" s="43"/>
      <c r="N847" s="43"/>
      <c r="O847" s="43"/>
      <c r="P847" s="43"/>
      <c r="Q847" s="43"/>
      <c r="R847" s="43"/>
      <c r="S847" s="43"/>
      <c r="T847" s="43"/>
      <c r="U847" s="43"/>
      <c r="V847" s="43"/>
      <c r="W847" s="43"/>
      <c r="X847" s="43"/>
      <c r="Y847" s="43"/>
    </row>
    <row r="848" ht="13.2" spans="1:25">
      <c r="A848" s="42">
        <v>847</v>
      </c>
      <c r="B848" s="43" t="s">
        <v>1188</v>
      </c>
      <c r="C848" s="43"/>
      <c r="D848" s="43"/>
      <c r="E848" s="43"/>
      <c r="F848" s="43"/>
      <c r="G848" s="43"/>
      <c r="H848" s="43"/>
      <c r="I848" s="43"/>
      <c r="J848" s="43"/>
      <c r="K848" s="43"/>
      <c r="L848" s="43"/>
      <c r="M848" s="43"/>
      <c r="N848" s="43"/>
      <c r="O848" s="43"/>
      <c r="P848" s="43"/>
      <c r="Q848" s="43"/>
      <c r="R848" s="43"/>
      <c r="S848" s="43"/>
      <c r="T848" s="43"/>
      <c r="U848" s="43"/>
      <c r="V848" s="43"/>
      <c r="W848" s="43"/>
      <c r="X848" s="43"/>
      <c r="Y848" s="43"/>
    </row>
    <row r="849" ht="13.2" spans="1:25">
      <c r="A849" s="42">
        <v>848</v>
      </c>
      <c r="B849" s="43" t="s">
        <v>1189</v>
      </c>
      <c r="C849" s="43"/>
      <c r="D849" s="43"/>
      <c r="E849" s="43"/>
      <c r="F849" s="43"/>
      <c r="G849" s="43"/>
      <c r="H849" s="43"/>
      <c r="I849" s="43"/>
      <c r="J849" s="43"/>
      <c r="K849" s="43"/>
      <c r="L849" s="43"/>
      <c r="M849" s="43"/>
      <c r="N849" s="43"/>
      <c r="O849" s="43"/>
      <c r="P849" s="43"/>
      <c r="Q849" s="43"/>
      <c r="R849" s="43"/>
      <c r="S849" s="43"/>
      <c r="T849" s="43"/>
      <c r="U849" s="43"/>
      <c r="V849" s="43"/>
      <c r="W849" s="43"/>
      <c r="X849" s="43"/>
      <c r="Y849" s="43"/>
    </row>
    <row r="850" ht="13.2" spans="1:25">
      <c r="A850" s="42">
        <v>849</v>
      </c>
      <c r="B850" s="43" t="s">
        <v>1190</v>
      </c>
      <c r="C850" s="43"/>
      <c r="D850" s="43"/>
      <c r="E850" s="43"/>
      <c r="F850" s="43"/>
      <c r="G850" s="43"/>
      <c r="H850" s="43"/>
      <c r="I850" s="43"/>
      <c r="J850" s="43"/>
      <c r="K850" s="43"/>
      <c r="L850" s="43"/>
      <c r="M850" s="43"/>
      <c r="N850" s="43"/>
      <c r="O850" s="43"/>
      <c r="P850" s="43"/>
      <c r="Q850" s="43"/>
      <c r="R850" s="43"/>
      <c r="S850" s="43"/>
      <c r="T850" s="43"/>
      <c r="U850" s="43"/>
      <c r="V850" s="43"/>
      <c r="W850" s="43"/>
      <c r="X850" s="43"/>
      <c r="Y850" s="43"/>
    </row>
    <row r="851" ht="13.2" spans="1:25">
      <c r="A851" s="42">
        <v>850</v>
      </c>
      <c r="B851" s="43" t="s">
        <v>1191</v>
      </c>
      <c r="C851" s="43"/>
      <c r="D851" s="43"/>
      <c r="E851" s="43"/>
      <c r="F851" s="43"/>
      <c r="G851" s="43"/>
      <c r="H851" s="43"/>
      <c r="I851" s="43"/>
      <c r="J851" s="43"/>
      <c r="K851" s="43"/>
      <c r="L851" s="43"/>
      <c r="M851" s="43"/>
      <c r="N851" s="43"/>
      <c r="O851" s="43"/>
      <c r="P851" s="43"/>
      <c r="Q851" s="43"/>
      <c r="R851" s="43"/>
      <c r="S851" s="43"/>
      <c r="T851" s="43"/>
      <c r="U851" s="43"/>
      <c r="V851" s="43"/>
      <c r="W851" s="43"/>
      <c r="X851" s="43"/>
      <c r="Y851" s="43"/>
    </row>
    <row r="852" ht="13.2" spans="1:25">
      <c r="A852" s="42">
        <v>851</v>
      </c>
      <c r="B852" s="43" t="s">
        <v>1192</v>
      </c>
      <c r="C852" s="43"/>
      <c r="D852" s="43"/>
      <c r="E852" s="43"/>
      <c r="F852" s="43"/>
      <c r="G852" s="43"/>
      <c r="H852" s="43"/>
      <c r="I852" s="43"/>
      <c r="J852" s="43"/>
      <c r="K852" s="43"/>
      <c r="L852" s="43"/>
      <c r="M852" s="43"/>
      <c r="N852" s="43"/>
      <c r="O852" s="43"/>
      <c r="P852" s="43"/>
      <c r="Q852" s="43"/>
      <c r="R852" s="43"/>
      <c r="S852" s="43"/>
      <c r="T852" s="43"/>
      <c r="U852" s="43"/>
      <c r="V852" s="43"/>
      <c r="W852" s="43"/>
      <c r="X852" s="43"/>
      <c r="Y852" s="43"/>
    </row>
    <row r="853" ht="13.2" spans="1:25">
      <c r="A853" s="42">
        <v>852</v>
      </c>
      <c r="B853" s="43" t="s">
        <v>1193</v>
      </c>
      <c r="C853" s="43"/>
      <c r="D853" s="43"/>
      <c r="E853" s="43"/>
      <c r="F853" s="43"/>
      <c r="G853" s="43"/>
      <c r="H853" s="43"/>
      <c r="I853" s="43"/>
      <c r="J853" s="43"/>
      <c r="K853" s="43"/>
      <c r="L853" s="43"/>
      <c r="M853" s="43"/>
      <c r="N853" s="43"/>
      <c r="O853" s="43"/>
      <c r="P853" s="43"/>
      <c r="Q853" s="43"/>
      <c r="R853" s="43"/>
      <c r="S853" s="43"/>
      <c r="T853" s="43"/>
      <c r="U853" s="43"/>
      <c r="V853" s="43"/>
      <c r="W853" s="43"/>
      <c r="X853" s="43"/>
      <c r="Y853" s="43"/>
    </row>
    <row r="854" ht="13.2" spans="1:25">
      <c r="A854" s="42">
        <v>853</v>
      </c>
      <c r="B854" s="43" t="s">
        <v>1194</v>
      </c>
      <c r="C854" s="43"/>
      <c r="D854" s="43"/>
      <c r="E854" s="43"/>
      <c r="F854" s="43"/>
      <c r="G854" s="43"/>
      <c r="H854" s="43"/>
      <c r="I854" s="43"/>
      <c r="J854" s="43"/>
      <c r="K854" s="43"/>
      <c r="L854" s="43"/>
      <c r="M854" s="43"/>
      <c r="N854" s="43"/>
      <c r="O854" s="43"/>
      <c r="P854" s="43"/>
      <c r="Q854" s="43"/>
      <c r="R854" s="43"/>
      <c r="S854" s="43"/>
      <c r="T854" s="43"/>
      <c r="U854" s="43"/>
      <c r="V854" s="43"/>
      <c r="W854" s="43"/>
      <c r="X854" s="43"/>
      <c r="Y854" s="43"/>
    </row>
    <row r="855" ht="13.2" spans="1:25">
      <c r="A855" s="42">
        <v>854</v>
      </c>
      <c r="B855" s="43" t="s">
        <v>1195</v>
      </c>
      <c r="C855" s="43"/>
      <c r="D855" s="43"/>
      <c r="E855" s="43"/>
      <c r="F855" s="43"/>
      <c r="G855" s="43"/>
      <c r="H855" s="43"/>
      <c r="I855" s="43"/>
      <c r="J855" s="43"/>
      <c r="K855" s="43"/>
      <c r="L855" s="43"/>
      <c r="M855" s="43"/>
      <c r="N855" s="43"/>
      <c r="O855" s="43"/>
      <c r="P855" s="43"/>
      <c r="Q855" s="43"/>
      <c r="R855" s="43"/>
      <c r="S855" s="43"/>
      <c r="T855" s="43"/>
      <c r="U855" s="43"/>
      <c r="V855" s="43"/>
      <c r="W855" s="43"/>
      <c r="X855" s="43"/>
      <c r="Y855" s="43"/>
    </row>
    <row r="856" ht="13.2" spans="1:25">
      <c r="A856" s="42">
        <v>855</v>
      </c>
      <c r="B856" s="43" t="s">
        <v>1196</v>
      </c>
      <c r="C856" s="43"/>
      <c r="D856" s="43"/>
      <c r="E856" s="43"/>
      <c r="F856" s="43"/>
      <c r="G856" s="43"/>
      <c r="H856" s="43"/>
      <c r="I856" s="43"/>
      <c r="J856" s="43"/>
      <c r="K856" s="43"/>
      <c r="L856" s="43"/>
      <c r="M856" s="43"/>
      <c r="N856" s="43"/>
      <c r="O856" s="43"/>
      <c r="P856" s="43"/>
      <c r="Q856" s="43"/>
      <c r="R856" s="43"/>
      <c r="S856" s="43"/>
      <c r="T856" s="43"/>
      <c r="U856" s="43"/>
      <c r="V856" s="43"/>
      <c r="W856" s="43"/>
      <c r="X856" s="43"/>
      <c r="Y856" s="43"/>
    </row>
    <row r="857" ht="13.2" spans="1:25">
      <c r="A857" s="42">
        <v>856</v>
      </c>
      <c r="B857" s="43" t="s">
        <v>1197</v>
      </c>
      <c r="C857" s="43"/>
      <c r="D857" s="43"/>
      <c r="E857" s="43"/>
      <c r="F857" s="43"/>
      <c r="G857" s="43"/>
      <c r="H857" s="43"/>
      <c r="I857" s="43"/>
      <c r="J857" s="43"/>
      <c r="K857" s="43"/>
      <c r="L857" s="43"/>
      <c r="M857" s="43"/>
      <c r="N857" s="43"/>
      <c r="O857" s="43"/>
      <c r="P857" s="43"/>
      <c r="Q857" s="43"/>
      <c r="R857" s="43"/>
      <c r="S857" s="43"/>
      <c r="T857" s="43"/>
      <c r="U857" s="43"/>
      <c r="V857" s="43"/>
      <c r="W857" s="43"/>
      <c r="X857" s="43"/>
      <c r="Y857" s="43"/>
    </row>
    <row r="858" ht="13.2" spans="1:25">
      <c r="A858" s="42">
        <v>857</v>
      </c>
      <c r="B858" s="43" t="s">
        <v>1198</v>
      </c>
      <c r="C858" s="43"/>
      <c r="D858" s="43"/>
      <c r="E858" s="43"/>
      <c r="F858" s="43"/>
      <c r="G858" s="43"/>
      <c r="H858" s="43"/>
      <c r="I858" s="43"/>
      <c r="J858" s="43"/>
      <c r="K858" s="43"/>
      <c r="L858" s="43"/>
      <c r="M858" s="43"/>
      <c r="N858" s="43"/>
      <c r="O858" s="43"/>
      <c r="P858" s="43"/>
      <c r="Q858" s="43"/>
      <c r="R858" s="43"/>
      <c r="S858" s="43"/>
      <c r="T858" s="43"/>
      <c r="U858" s="43"/>
      <c r="V858" s="43"/>
      <c r="W858" s="43"/>
      <c r="X858" s="43"/>
      <c r="Y858" s="43"/>
    </row>
    <row r="859" ht="13.2" spans="1:25">
      <c r="A859" s="42">
        <v>858</v>
      </c>
      <c r="B859" s="43" t="s">
        <v>1199</v>
      </c>
      <c r="C859" s="43"/>
      <c r="D859" s="43"/>
      <c r="E859" s="43"/>
      <c r="F859" s="43"/>
      <c r="G859" s="43"/>
      <c r="H859" s="43"/>
      <c r="I859" s="43"/>
      <c r="J859" s="43"/>
      <c r="K859" s="43"/>
      <c r="L859" s="43"/>
      <c r="M859" s="43"/>
      <c r="N859" s="43"/>
      <c r="O859" s="43"/>
      <c r="P859" s="43"/>
      <c r="Q859" s="43"/>
      <c r="R859" s="43"/>
      <c r="S859" s="43"/>
      <c r="T859" s="43"/>
      <c r="U859" s="43"/>
      <c r="V859" s="43"/>
      <c r="W859" s="43"/>
      <c r="X859" s="43"/>
      <c r="Y859" s="43"/>
    </row>
    <row r="860" ht="13.2" spans="1:25">
      <c r="A860" s="42">
        <v>859</v>
      </c>
      <c r="B860" s="43" t="s">
        <v>1200</v>
      </c>
      <c r="C860" s="43"/>
      <c r="D860" s="43"/>
      <c r="E860" s="43"/>
      <c r="F860" s="43"/>
      <c r="G860" s="43"/>
      <c r="H860" s="43"/>
      <c r="I860" s="43"/>
      <c r="J860" s="43"/>
      <c r="K860" s="43"/>
      <c r="L860" s="43"/>
      <c r="M860" s="43"/>
      <c r="N860" s="43"/>
      <c r="O860" s="43"/>
      <c r="P860" s="43"/>
      <c r="Q860" s="43"/>
      <c r="R860" s="43"/>
      <c r="S860" s="43"/>
      <c r="T860" s="43"/>
      <c r="U860" s="43"/>
      <c r="V860" s="43"/>
      <c r="W860" s="43"/>
      <c r="X860" s="43"/>
      <c r="Y860" s="43"/>
    </row>
    <row r="861" ht="13.2" spans="1:25">
      <c r="A861" s="42">
        <v>860</v>
      </c>
      <c r="B861" s="43" t="s">
        <v>1201</v>
      </c>
      <c r="C861" s="43"/>
      <c r="D861" s="43"/>
      <c r="E861" s="43"/>
      <c r="F861" s="43"/>
      <c r="G861" s="43"/>
      <c r="H861" s="43"/>
      <c r="I861" s="43"/>
      <c r="J861" s="43"/>
      <c r="K861" s="43"/>
      <c r="L861" s="43"/>
      <c r="M861" s="43"/>
      <c r="N861" s="43"/>
      <c r="O861" s="43"/>
      <c r="P861" s="43"/>
      <c r="Q861" s="43"/>
      <c r="R861" s="43"/>
      <c r="S861" s="43"/>
      <c r="T861" s="43"/>
      <c r="U861" s="43"/>
      <c r="V861" s="43"/>
      <c r="W861" s="43"/>
      <c r="X861" s="43"/>
      <c r="Y861" s="43"/>
    </row>
    <row r="862" ht="13.2" spans="1:25">
      <c r="A862" s="42">
        <v>861</v>
      </c>
      <c r="B862" s="43" t="s">
        <v>1202</v>
      </c>
      <c r="C862" s="43"/>
      <c r="D862" s="43"/>
      <c r="E862" s="43"/>
      <c r="F862" s="43"/>
      <c r="G862" s="43"/>
      <c r="H862" s="43"/>
      <c r="I862" s="43"/>
      <c r="J862" s="43"/>
      <c r="K862" s="43"/>
      <c r="L862" s="43"/>
      <c r="M862" s="43"/>
      <c r="N862" s="43"/>
      <c r="O862" s="43"/>
      <c r="P862" s="43"/>
      <c r="Q862" s="43"/>
      <c r="R862" s="43"/>
      <c r="S862" s="43"/>
      <c r="T862" s="43"/>
      <c r="U862" s="43"/>
      <c r="V862" s="43"/>
      <c r="W862" s="43"/>
      <c r="X862" s="43"/>
      <c r="Y862" s="43"/>
    </row>
    <row r="863" ht="13.2" spans="1:25">
      <c r="A863" s="42">
        <v>862</v>
      </c>
      <c r="B863" s="43" t="s">
        <v>1203</v>
      </c>
      <c r="C863" s="43"/>
      <c r="D863" s="43"/>
      <c r="E863" s="43"/>
      <c r="F863" s="43"/>
      <c r="G863" s="43"/>
      <c r="H863" s="43"/>
      <c r="I863" s="43"/>
      <c r="J863" s="43"/>
      <c r="K863" s="43"/>
      <c r="L863" s="43"/>
      <c r="M863" s="43"/>
      <c r="N863" s="43"/>
      <c r="O863" s="43"/>
      <c r="P863" s="43"/>
      <c r="Q863" s="43"/>
      <c r="R863" s="43"/>
      <c r="S863" s="43"/>
      <c r="T863" s="43"/>
      <c r="U863" s="43"/>
      <c r="V863" s="43"/>
      <c r="W863" s="43"/>
      <c r="X863" s="43"/>
      <c r="Y863" s="43"/>
    </row>
    <row r="864" ht="13.2" spans="1:25">
      <c r="A864" s="42">
        <v>863</v>
      </c>
      <c r="B864" s="43" t="s">
        <v>1204</v>
      </c>
      <c r="C864" s="43"/>
      <c r="D864" s="43"/>
      <c r="E864" s="43"/>
      <c r="F864" s="43"/>
      <c r="G864" s="43"/>
      <c r="H864" s="43"/>
      <c r="I864" s="43"/>
      <c r="J864" s="43"/>
      <c r="K864" s="43"/>
      <c r="L864" s="43"/>
      <c r="M864" s="43"/>
      <c r="N864" s="43"/>
      <c r="O864" s="43"/>
      <c r="P864" s="43"/>
      <c r="Q864" s="43"/>
      <c r="R864" s="43"/>
      <c r="S864" s="43"/>
      <c r="T864" s="43"/>
      <c r="U864" s="43"/>
      <c r="V864" s="43"/>
      <c r="W864" s="43"/>
      <c r="X864" s="43"/>
      <c r="Y864" s="43"/>
    </row>
    <row r="865" ht="13.2" spans="1:25">
      <c r="A865" s="42">
        <v>864</v>
      </c>
      <c r="B865" s="43" t="s">
        <v>194</v>
      </c>
      <c r="C865" s="43"/>
      <c r="D865" s="43"/>
      <c r="E865" s="43"/>
      <c r="F865" s="43"/>
      <c r="G865" s="43"/>
      <c r="H865" s="43"/>
      <c r="I865" s="43"/>
      <c r="J865" s="43"/>
      <c r="K865" s="43"/>
      <c r="L865" s="43"/>
      <c r="M865" s="43"/>
      <c r="N865" s="43"/>
      <c r="O865" s="43"/>
      <c r="P865" s="43"/>
      <c r="Q865" s="43"/>
      <c r="R865" s="43"/>
      <c r="S865" s="43"/>
      <c r="T865" s="43"/>
      <c r="U865" s="43"/>
      <c r="V865" s="43"/>
      <c r="W865" s="43"/>
      <c r="X865" s="43"/>
      <c r="Y865" s="43"/>
    </row>
    <row r="866" ht="13.2" spans="1:25">
      <c r="A866" s="42">
        <v>865</v>
      </c>
      <c r="B866" s="43" t="s">
        <v>1205</v>
      </c>
      <c r="C866" s="43"/>
      <c r="D866" s="43"/>
      <c r="E866" s="43"/>
      <c r="F866" s="43"/>
      <c r="G866" s="43"/>
      <c r="H866" s="43"/>
      <c r="I866" s="43"/>
      <c r="J866" s="43"/>
      <c r="K866" s="43"/>
      <c r="L866" s="43"/>
      <c r="M866" s="43"/>
      <c r="N866" s="43"/>
      <c r="O866" s="43"/>
      <c r="P866" s="43"/>
      <c r="Q866" s="43"/>
      <c r="R866" s="43"/>
      <c r="S866" s="43"/>
      <c r="T866" s="43"/>
      <c r="U866" s="43"/>
      <c r="V866" s="43"/>
      <c r="W866" s="43"/>
      <c r="X866" s="43"/>
      <c r="Y866" s="43"/>
    </row>
    <row r="867" ht="13.2" spans="1:25">
      <c r="A867" s="42">
        <v>866</v>
      </c>
      <c r="B867" s="43" t="s">
        <v>1206</v>
      </c>
      <c r="C867" s="43"/>
      <c r="D867" s="43"/>
      <c r="E867" s="43"/>
      <c r="F867" s="43"/>
      <c r="G867" s="43"/>
      <c r="H867" s="43"/>
      <c r="I867" s="43"/>
      <c r="J867" s="43"/>
      <c r="K867" s="43"/>
      <c r="L867" s="43"/>
      <c r="M867" s="43"/>
      <c r="N867" s="43"/>
      <c r="O867" s="43"/>
      <c r="P867" s="43"/>
      <c r="Q867" s="43"/>
      <c r="R867" s="43"/>
      <c r="S867" s="43"/>
      <c r="T867" s="43"/>
      <c r="U867" s="43"/>
      <c r="V867" s="43"/>
      <c r="W867" s="43"/>
      <c r="X867" s="43"/>
      <c r="Y867" s="43"/>
    </row>
    <row r="868" ht="13.2" spans="1:25">
      <c r="A868" s="42">
        <v>867</v>
      </c>
      <c r="B868" s="43" t="s">
        <v>1207</v>
      </c>
      <c r="C868" s="43"/>
      <c r="D868" s="43"/>
      <c r="E868" s="43"/>
      <c r="F868" s="43"/>
      <c r="G868" s="43"/>
      <c r="H868" s="43"/>
      <c r="I868" s="43"/>
      <c r="J868" s="43"/>
      <c r="K868" s="43"/>
      <c r="L868" s="43"/>
      <c r="M868" s="43"/>
      <c r="N868" s="43"/>
      <c r="O868" s="43"/>
      <c r="P868" s="43"/>
      <c r="Q868" s="43"/>
      <c r="R868" s="43"/>
      <c r="S868" s="43"/>
      <c r="T868" s="43"/>
      <c r="U868" s="43"/>
      <c r="V868" s="43"/>
      <c r="W868" s="43"/>
      <c r="X868" s="43"/>
      <c r="Y868" s="43"/>
    </row>
    <row r="869" ht="13.2" spans="1:25">
      <c r="A869" s="42">
        <v>868</v>
      </c>
      <c r="B869" s="43" t="s">
        <v>1208</v>
      </c>
      <c r="C869" s="43"/>
      <c r="D869" s="43"/>
      <c r="E869" s="43"/>
      <c r="F869" s="43"/>
      <c r="G869" s="43"/>
      <c r="H869" s="43"/>
      <c r="I869" s="43"/>
      <c r="J869" s="43"/>
      <c r="K869" s="43"/>
      <c r="L869" s="43"/>
      <c r="M869" s="43"/>
      <c r="N869" s="43"/>
      <c r="O869" s="43"/>
      <c r="P869" s="43"/>
      <c r="Q869" s="43"/>
      <c r="R869" s="43"/>
      <c r="S869" s="43"/>
      <c r="T869" s="43"/>
      <c r="U869" s="43"/>
      <c r="V869" s="43"/>
      <c r="W869" s="43"/>
      <c r="X869" s="43"/>
      <c r="Y869" s="43"/>
    </row>
    <row r="870" ht="13.2" spans="1:25">
      <c r="A870" s="42">
        <v>869</v>
      </c>
      <c r="B870" s="43" t="s">
        <v>201</v>
      </c>
      <c r="C870" s="43"/>
      <c r="D870" s="43"/>
      <c r="E870" s="43"/>
      <c r="F870" s="43"/>
      <c r="G870" s="43"/>
      <c r="H870" s="43"/>
      <c r="I870" s="43"/>
      <c r="J870" s="43"/>
      <c r="K870" s="43"/>
      <c r="L870" s="43"/>
      <c r="M870" s="43"/>
      <c r="N870" s="43"/>
      <c r="O870" s="43"/>
      <c r="P870" s="43"/>
      <c r="Q870" s="43"/>
      <c r="R870" s="43"/>
      <c r="S870" s="43"/>
      <c r="T870" s="43"/>
      <c r="U870" s="43"/>
      <c r="V870" s="43"/>
      <c r="W870" s="43"/>
      <c r="X870" s="43"/>
      <c r="Y870" s="43"/>
    </row>
    <row r="871" ht="13.2" spans="1:25">
      <c r="A871" s="42">
        <v>870</v>
      </c>
      <c r="B871" s="43" t="s">
        <v>1209</v>
      </c>
      <c r="C871" s="43"/>
      <c r="D871" s="43"/>
      <c r="E871" s="43"/>
      <c r="F871" s="43"/>
      <c r="G871" s="43"/>
      <c r="H871" s="43"/>
      <c r="I871" s="43"/>
      <c r="J871" s="43"/>
      <c r="K871" s="43"/>
      <c r="L871" s="43"/>
      <c r="M871" s="43"/>
      <c r="N871" s="43"/>
      <c r="O871" s="43"/>
      <c r="P871" s="43"/>
      <c r="Q871" s="43"/>
      <c r="R871" s="43"/>
      <c r="S871" s="43"/>
      <c r="T871" s="43"/>
      <c r="U871" s="43"/>
      <c r="V871" s="43"/>
      <c r="W871" s="43"/>
      <c r="X871" s="43"/>
      <c r="Y871" s="43"/>
    </row>
    <row r="872" ht="13.2" spans="1:25">
      <c r="A872" s="42">
        <v>871</v>
      </c>
      <c r="B872" s="43" t="s">
        <v>1210</v>
      </c>
      <c r="C872" s="43"/>
      <c r="D872" s="43"/>
      <c r="E872" s="43"/>
      <c r="F872" s="43"/>
      <c r="G872" s="43"/>
      <c r="H872" s="43"/>
      <c r="I872" s="43"/>
      <c r="J872" s="43"/>
      <c r="K872" s="43"/>
      <c r="L872" s="43"/>
      <c r="M872" s="43"/>
      <c r="N872" s="43"/>
      <c r="O872" s="43"/>
      <c r="P872" s="43"/>
      <c r="Q872" s="43"/>
      <c r="R872" s="43"/>
      <c r="S872" s="43"/>
      <c r="T872" s="43"/>
      <c r="U872" s="43"/>
      <c r="V872" s="43"/>
      <c r="W872" s="43"/>
      <c r="X872" s="43"/>
      <c r="Y872" s="43"/>
    </row>
    <row r="873" ht="13.2" spans="1:25">
      <c r="A873" s="42">
        <v>872</v>
      </c>
      <c r="B873" s="43" t="s">
        <v>1211</v>
      </c>
      <c r="C873" s="43"/>
      <c r="D873" s="43"/>
      <c r="E873" s="43"/>
      <c r="F873" s="43"/>
      <c r="G873" s="43"/>
      <c r="H873" s="43"/>
      <c r="I873" s="43"/>
      <c r="J873" s="43"/>
      <c r="K873" s="43"/>
      <c r="L873" s="43"/>
      <c r="M873" s="43"/>
      <c r="N873" s="43"/>
      <c r="O873" s="43"/>
      <c r="P873" s="43"/>
      <c r="Q873" s="43"/>
      <c r="R873" s="43"/>
      <c r="S873" s="43"/>
      <c r="T873" s="43"/>
      <c r="U873" s="43"/>
      <c r="V873" s="43"/>
      <c r="W873" s="43"/>
      <c r="X873" s="43"/>
      <c r="Y873" s="43"/>
    </row>
    <row r="874" ht="13.2" spans="1:25">
      <c r="A874" s="42">
        <v>873</v>
      </c>
      <c r="B874" s="43" t="s">
        <v>1212</v>
      </c>
      <c r="C874" s="43"/>
      <c r="D874" s="43"/>
      <c r="E874" s="43"/>
      <c r="F874" s="43"/>
      <c r="G874" s="43"/>
      <c r="H874" s="43"/>
      <c r="I874" s="43"/>
      <c r="J874" s="43"/>
      <c r="K874" s="43"/>
      <c r="L874" s="43"/>
      <c r="M874" s="43"/>
      <c r="N874" s="43"/>
      <c r="O874" s="43"/>
      <c r="P874" s="43"/>
      <c r="Q874" s="43"/>
      <c r="R874" s="43"/>
      <c r="S874" s="43"/>
      <c r="T874" s="43"/>
      <c r="U874" s="43"/>
      <c r="V874" s="43"/>
      <c r="W874" s="43"/>
      <c r="X874" s="43"/>
      <c r="Y874" s="43"/>
    </row>
    <row r="875" ht="13.2" spans="1:25">
      <c r="A875" s="42">
        <v>874</v>
      </c>
      <c r="B875" s="43" t="s">
        <v>1213</v>
      </c>
      <c r="C875" s="43"/>
      <c r="D875" s="43"/>
      <c r="E875" s="43"/>
      <c r="F875" s="43"/>
      <c r="G875" s="43"/>
      <c r="H875" s="43"/>
      <c r="I875" s="43"/>
      <c r="J875" s="43"/>
      <c r="K875" s="43"/>
      <c r="L875" s="43"/>
      <c r="M875" s="43"/>
      <c r="N875" s="43"/>
      <c r="O875" s="43"/>
      <c r="P875" s="43"/>
      <c r="Q875" s="43"/>
      <c r="R875" s="43"/>
      <c r="S875" s="43"/>
      <c r="T875" s="43"/>
      <c r="U875" s="43"/>
      <c r="V875" s="43"/>
      <c r="W875" s="43"/>
      <c r="X875" s="43"/>
      <c r="Y875" s="43"/>
    </row>
    <row r="876" ht="13.2" spans="1:25">
      <c r="A876" s="42">
        <v>875</v>
      </c>
      <c r="B876" s="43" t="s">
        <v>1214</v>
      </c>
      <c r="C876" s="43"/>
      <c r="D876" s="43"/>
      <c r="E876" s="43"/>
      <c r="F876" s="43"/>
      <c r="G876" s="43"/>
      <c r="H876" s="43"/>
      <c r="I876" s="43"/>
      <c r="J876" s="43"/>
      <c r="K876" s="43"/>
      <c r="L876" s="43"/>
      <c r="M876" s="43"/>
      <c r="N876" s="43"/>
      <c r="O876" s="43"/>
      <c r="P876" s="43"/>
      <c r="Q876" s="43"/>
      <c r="R876" s="43"/>
      <c r="S876" s="43"/>
      <c r="T876" s="43"/>
      <c r="U876" s="43"/>
      <c r="V876" s="43"/>
      <c r="W876" s="43"/>
      <c r="X876" s="43"/>
      <c r="Y876" s="43"/>
    </row>
    <row r="877" ht="13.2" spans="1:25">
      <c r="A877" s="42">
        <v>876</v>
      </c>
      <c r="B877" s="43" t="s">
        <v>1215</v>
      </c>
      <c r="C877" s="43"/>
      <c r="D877" s="43"/>
      <c r="E877" s="43"/>
      <c r="F877" s="43"/>
      <c r="G877" s="43"/>
      <c r="H877" s="43"/>
      <c r="I877" s="43"/>
      <c r="J877" s="43"/>
      <c r="K877" s="43"/>
      <c r="L877" s="43"/>
      <c r="M877" s="43"/>
      <c r="N877" s="43"/>
      <c r="O877" s="43"/>
      <c r="P877" s="43"/>
      <c r="Q877" s="43"/>
      <c r="R877" s="43"/>
      <c r="S877" s="43"/>
      <c r="T877" s="43"/>
      <c r="U877" s="43"/>
      <c r="V877" s="43"/>
      <c r="W877" s="43"/>
      <c r="X877" s="43"/>
      <c r="Y877" s="43"/>
    </row>
    <row r="878" ht="13.2" spans="1:25">
      <c r="A878" s="42">
        <v>877</v>
      </c>
      <c r="B878" s="43" t="s">
        <v>1216</v>
      </c>
      <c r="C878" s="43"/>
      <c r="D878" s="43"/>
      <c r="E878" s="43"/>
      <c r="F878" s="43"/>
      <c r="G878" s="43"/>
      <c r="H878" s="43"/>
      <c r="I878" s="43"/>
      <c r="J878" s="43"/>
      <c r="K878" s="43"/>
      <c r="L878" s="43"/>
      <c r="M878" s="43"/>
      <c r="N878" s="43"/>
      <c r="O878" s="43"/>
      <c r="P878" s="43"/>
      <c r="Q878" s="43"/>
      <c r="R878" s="43"/>
      <c r="S878" s="43"/>
      <c r="T878" s="43"/>
      <c r="U878" s="43"/>
      <c r="V878" s="43"/>
      <c r="W878" s="43"/>
      <c r="X878" s="43"/>
      <c r="Y878" s="43"/>
    </row>
    <row r="879" ht="13.2" spans="1:25">
      <c r="A879" s="42">
        <v>878</v>
      </c>
      <c r="B879" s="43" t="s">
        <v>1217</v>
      </c>
      <c r="C879" s="43"/>
      <c r="D879" s="43"/>
      <c r="E879" s="43"/>
      <c r="F879" s="43"/>
      <c r="G879" s="43"/>
      <c r="H879" s="43"/>
      <c r="I879" s="43"/>
      <c r="J879" s="43"/>
      <c r="K879" s="43"/>
      <c r="L879" s="43"/>
      <c r="M879" s="43"/>
      <c r="N879" s="43"/>
      <c r="O879" s="43"/>
      <c r="P879" s="43"/>
      <c r="Q879" s="43"/>
      <c r="R879" s="43"/>
      <c r="S879" s="43"/>
      <c r="T879" s="43"/>
      <c r="U879" s="43"/>
      <c r="V879" s="43"/>
      <c r="W879" s="43"/>
      <c r="X879" s="43"/>
      <c r="Y879" s="43"/>
    </row>
    <row r="880" ht="13.2" spans="1:25">
      <c r="A880" s="42">
        <v>879</v>
      </c>
      <c r="B880" s="42" t="s">
        <v>208</v>
      </c>
      <c r="C880" s="43"/>
      <c r="D880" s="43"/>
      <c r="E880" s="43"/>
      <c r="F880" s="43"/>
      <c r="G880" s="43"/>
      <c r="H880" s="43"/>
      <c r="I880" s="43"/>
      <c r="J880" s="43"/>
      <c r="K880" s="43"/>
      <c r="L880" s="43"/>
      <c r="M880" s="43"/>
      <c r="N880" s="43"/>
      <c r="O880" s="43"/>
      <c r="P880" s="43"/>
      <c r="Q880" s="43"/>
      <c r="R880" s="43"/>
      <c r="S880" s="43"/>
      <c r="T880" s="43"/>
      <c r="U880" s="43"/>
      <c r="V880" s="43"/>
      <c r="W880" s="43"/>
      <c r="X880" s="43"/>
      <c r="Y880" s="43"/>
    </row>
    <row r="881" ht="13.2" spans="1:25">
      <c r="A881" s="42">
        <v>880</v>
      </c>
      <c r="B881" s="43" t="s">
        <v>1218</v>
      </c>
      <c r="C881" s="43"/>
      <c r="D881" s="43"/>
      <c r="E881" s="43"/>
      <c r="F881" s="43"/>
      <c r="G881" s="43"/>
      <c r="H881" s="43"/>
      <c r="I881" s="43"/>
      <c r="J881" s="43"/>
      <c r="K881" s="43"/>
      <c r="L881" s="43"/>
      <c r="M881" s="43"/>
      <c r="N881" s="43"/>
      <c r="O881" s="43"/>
      <c r="P881" s="43"/>
      <c r="Q881" s="43"/>
      <c r="R881" s="43"/>
      <c r="S881" s="43"/>
      <c r="T881" s="43"/>
      <c r="U881" s="43"/>
      <c r="V881" s="43"/>
      <c r="W881" s="43"/>
      <c r="X881" s="43"/>
      <c r="Y881" s="43"/>
    </row>
    <row r="882" ht="13.2" spans="1:25">
      <c r="A882" s="42">
        <v>881</v>
      </c>
      <c r="B882" s="43" t="s">
        <v>1219</v>
      </c>
      <c r="C882" s="43"/>
      <c r="D882" s="43"/>
      <c r="E882" s="43"/>
      <c r="F882" s="43"/>
      <c r="G882" s="43"/>
      <c r="H882" s="43"/>
      <c r="I882" s="43"/>
      <c r="J882" s="43"/>
      <c r="K882" s="43"/>
      <c r="L882" s="43"/>
      <c r="M882" s="43"/>
      <c r="N882" s="43"/>
      <c r="O882" s="43"/>
      <c r="P882" s="43"/>
      <c r="Q882" s="43"/>
      <c r="R882" s="43"/>
      <c r="S882" s="43"/>
      <c r="T882" s="43"/>
      <c r="U882" s="43"/>
      <c r="V882" s="43"/>
      <c r="W882" s="43"/>
      <c r="X882" s="43"/>
      <c r="Y882" s="43"/>
    </row>
    <row r="883" ht="13.2" spans="1:25">
      <c r="A883" s="42">
        <v>882</v>
      </c>
      <c r="B883" s="43" t="s">
        <v>1220</v>
      </c>
      <c r="C883" s="43"/>
      <c r="D883" s="43"/>
      <c r="E883" s="43"/>
      <c r="F883" s="43"/>
      <c r="G883" s="43"/>
      <c r="H883" s="43"/>
      <c r="I883" s="43"/>
      <c r="J883" s="43"/>
      <c r="K883" s="43"/>
      <c r="L883" s="43"/>
      <c r="M883" s="43"/>
      <c r="N883" s="43"/>
      <c r="O883" s="43"/>
      <c r="P883" s="43"/>
      <c r="Q883" s="43"/>
      <c r="R883" s="43"/>
      <c r="S883" s="43"/>
      <c r="T883" s="43"/>
      <c r="U883" s="43"/>
      <c r="V883" s="43"/>
      <c r="W883" s="43"/>
      <c r="X883" s="43"/>
      <c r="Y883" s="43"/>
    </row>
    <row r="884" ht="13.2" spans="1:25">
      <c r="A884" s="42">
        <v>883</v>
      </c>
      <c r="B884" s="43" t="s">
        <v>1221</v>
      </c>
      <c r="C884" s="43"/>
      <c r="D884" s="43"/>
      <c r="E884" s="43"/>
      <c r="F884" s="43"/>
      <c r="G884" s="43"/>
      <c r="H884" s="43"/>
      <c r="I884" s="43"/>
      <c r="J884" s="43"/>
      <c r="K884" s="43"/>
      <c r="L884" s="43"/>
      <c r="M884" s="43"/>
      <c r="N884" s="43"/>
      <c r="O884" s="43"/>
      <c r="P884" s="43"/>
      <c r="Q884" s="43"/>
      <c r="R884" s="43"/>
      <c r="S884" s="43"/>
      <c r="T884" s="43"/>
      <c r="U884" s="43"/>
      <c r="V884" s="43"/>
      <c r="W884" s="43"/>
      <c r="X884" s="43"/>
      <c r="Y884" s="43"/>
    </row>
    <row r="885" ht="13.2" spans="1:25">
      <c r="A885" s="42">
        <v>884</v>
      </c>
      <c r="B885" s="43" t="s">
        <v>1222</v>
      </c>
      <c r="C885" s="43"/>
      <c r="D885" s="43"/>
      <c r="E885" s="43"/>
      <c r="F885" s="43"/>
      <c r="G885" s="43"/>
      <c r="H885" s="43"/>
      <c r="I885" s="43"/>
      <c r="J885" s="43"/>
      <c r="K885" s="43"/>
      <c r="L885" s="43"/>
      <c r="M885" s="43"/>
      <c r="N885" s="43"/>
      <c r="O885" s="43"/>
      <c r="P885" s="43"/>
      <c r="Q885" s="43"/>
      <c r="R885" s="43"/>
      <c r="S885" s="43"/>
      <c r="T885" s="43"/>
      <c r="U885" s="43"/>
      <c r="V885" s="43"/>
      <c r="W885" s="43"/>
      <c r="X885" s="43"/>
      <c r="Y885" s="43"/>
    </row>
    <row r="886" ht="13.2" spans="1:25">
      <c r="A886" s="42">
        <v>885</v>
      </c>
      <c r="B886" s="43" t="s">
        <v>1223</v>
      </c>
      <c r="C886" s="43"/>
      <c r="D886" s="43"/>
      <c r="E886" s="43"/>
      <c r="F886" s="43"/>
      <c r="G886" s="43"/>
      <c r="H886" s="43"/>
      <c r="I886" s="43"/>
      <c r="J886" s="43"/>
      <c r="K886" s="43"/>
      <c r="L886" s="43"/>
      <c r="M886" s="43"/>
      <c r="N886" s="43"/>
      <c r="O886" s="43"/>
      <c r="P886" s="43"/>
      <c r="Q886" s="43"/>
      <c r="R886" s="43"/>
      <c r="S886" s="43"/>
      <c r="T886" s="43"/>
      <c r="U886" s="43"/>
      <c r="V886" s="43"/>
      <c r="W886" s="43"/>
      <c r="X886" s="43"/>
      <c r="Y886" s="43"/>
    </row>
    <row r="887" ht="13.2" spans="1:25">
      <c r="A887" s="42">
        <v>886</v>
      </c>
      <c r="B887" s="43" t="s">
        <v>1224</v>
      </c>
      <c r="C887" s="43"/>
      <c r="D887" s="43"/>
      <c r="E887" s="43"/>
      <c r="F887" s="43"/>
      <c r="G887" s="43"/>
      <c r="H887" s="43"/>
      <c r="I887" s="43"/>
      <c r="J887" s="43"/>
      <c r="K887" s="43"/>
      <c r="L887" s="43"/>
      <c r="M887" s="43"/>
      <c r="N887" s="43"/>
      <c r="O887" s="43"/>
      <c r="P887" s="43"/>
      <c r="Q887" s="43"/>
      <c r="R887" s="43"/>
      <c r="S887" s="43"/>
      <c r="T887" s="43"/>
      <c r="U887" s="43"/>
      <c r="V887" s="43"/>
      <c r="W887" s="43"/>
      <c r="X887" s="43"/>
      <c r="Y887" s="43"/>
    </row>
    <row r="888" ht="13.2" spans="1:25">
      <c r="A888" s="42">
        <v>887</v>
      </c>
      <c r="B888" s="43" t="s">
        <v>1225</v>
      </c>
      <c r="C888" s="43"/>
      <c r="D888" s="43"/>
      <c r="E888" s="43"/>
      <c r="F888" s="43"/>
      <c r="G888" s="43"/>
      <c r="H888" s="43"/>
      <c r="I888" s="43"/>
      <c r="J888" s="43"/>
      <c r="K888" s="43"/>
      <c r="L888" s="43"/>
      <c r="M888" s="43"/>
      <c r="N888" s="43"/>
      <c r="O888" s="43"/>
      <c r="P888" s="43"/>
      <c r="Q888" s="43"/>
      <c r="R888" s="43"/>
      <c r="S888" s="43"/>
      <c r="T888" s="43"/>
      <c r="U888" s="43"/>
      <c r="V888" s="43"/>
      <c r="W888" s="43"/>
      <c r="X888" s="43"/>
      <c r="Y888" s="43"/>
    </row>
    <row r="889" ht="13.2" spans="1:25">
      <c r="A889" s="42">
        <v>888</v>
      </c>
      <c r="B889" s="43" t="s">
        <v>1226</v>
      </c>
      <c r="C889" s="43"/>
      <c r="D889" s="43"/>
      <c r="E889" s="43"/>
      <c r="F889" s="43"/>
      <c r="G889" s="43"/>
      <c r="H889" s="43"/>
      <c r="I889" s="43"/>
      <c r="J889" s="43"/>
      <c r="K889" s="43"/>
      <c r="L889" s="43"/>
      <c r="M889" s="43"/>
      <c r="N889" s="43"/>
      <c r="O889" s="43"/>
      <c r="P889" s="43"/>
      <c r="Q889" s="43"/>
      <c r="R889" s="43"/>
      <c r="S889" s="43"/>
      <c r="T889" s="43"/>
      <c r="U889" s="43"/>
      <c r="V889" s="43"/>
      <c r="W889" s="43"/>
      <c r="X889" s="43"/>
      <c r="Y889" s="43"/>
    </row>
    <row r="890" ht="13.2" spans="1:25">
      <c r="A890" s="42">
        <v>889</v>
      </c>
      <c r="B890" s="43" t="s">
        <v>1227</v>
      </c>
      <c r="C890" s="43"/>
      <c r="D890" s="43"/>
      <c r="E890" s="43"/>
      <c r="F890" s="43"/>
      <c r="G890" s="43"/>
      <c r="H890" s="43"/>
      <c r="I890" s="43"/>
      <c r="J890" s="43"/>
      <c r="K890" s="43"/>
      <c r="L890" s="43"/>
      <c r="M890" s="43"/>
      <c r="N890" s="43"/>
      <c r="O890" s="43"/>
      <c r="P890" s="43"/>
      <c r="Q890" s="43"/>
      <c r="R890" s="43"/>
      <c r="S890" s="43"/>
      <c r="T890" s="43"/>
      <c r="U890" s="43"/>
      <c r="V890" s="43"/>
      <c r="W890" s="43"/>
      <c r="X890" s="43"/>
      <c r="Y890" s="43"/>
    </row>
    <row r="891" ht="13.2" spans="1:25">
      <c r="A891" s="42">
        <v>890</v>
      </c>
      <c r="B891" s="43" t="s">
        <v>1228</v>
      </c>
      <c r="C891" s="43"/>
      <c r="D891" s="43"/>
      <c r="E891" s="43"/>
      <c r="F891" s="43"/>
      <c r="G891" s="43"/>
      <c r="H891" s="43"/>
      <c r="I891" s="43"/>
      <c r="J891" s="43"/>
      <c r="K891" s="43"/>
      <c r="L891" s="43"/>
      <c r="M891" s="43"/>
      <c r="N891" s="43"/>
      <c r="O891" s="43"/>
      <c r="P891" s="43"/>
      <c r="Q891" s="43"/>
      <c r="R891" s="43"/>
      <c r="S891" s="43"/>
      <c r="T891" s="43"/>
      <c r="U891" s="43"/>
      <c r="V891" s="43"/>
      <c r="W891" s="43"/>
      <c r="X891" s="43"/>
      <c r="Y891" s="43"/>
    </row>
    <row r="892" ht="13.2" spans="1:25">
      <c r="A892" s="42">
        <v>891</v>
      </c>
      <c r="B892" s="43" t="s">
        <v>1229</v>
      </c>
      <c r="C892" s="43"/>
      <c r="D892" s="43"/>
      <c r="E892" s="43"/>
      <c r="F892" s="43"/>
      <c r="G892" s="43"/>
      <c r="H892" s="43"/>
      <c r="I892" s="43"/>
      <c r="J892" s="43"/>
      <c r="K892" s="43"/>
      <c r="L892" s="43"/>
      <c r="M892" s="43"/>
      <c r="N892" s="43"/>
      <c r="O892" s="43"/>
      <c r="P892" s="43"/>
      <c r="Q892" s="43"/>
      <c r="R892" s="43"/>
      <c r="S892" s="43"/>
      <c r="T892" s="43"/>
      <c r="U892" s="43"/>
      <c r="V892" s="43"/>
      <c r="W892" s="43"/>
      <c r="X892" s="43"/>
      <c r="Y892" s="43"/>
    </row>
    <row r="893" ht="13.2" spans="1:25">
      <c r="A893" s="42">
        <v>892</v>
      </c>
      <c r="B893" s="43" t="s">
        <v>1230</v>
      </c>
      <c r="C893" s="43"/>
      <c r="D893" s="43"/>
      <c r="E893" s="43"/>
      <c r="F893" s="43"/>
      <c r="G893" s="43"/>
      <c r="H893" s="43"/>
      <c r="I893" s="43"/>
      <c r="J893" s="43"/>
      <c r="K893" s="43"/>
      <c r="L893" s="43"/>
      <c r="M893" s="43"/>
      <c r="N893" s="43"/>
      <c r="O893" s="43"/>
      <c r="P893" s="43"/>
      <c r="Q893" s="43"/>
      <c r="R893" s="43"/>
      <c r="S893" s="43"/>
      <c r="T893" s="43"/>
      <c r="U893" s="43"/>
      <c r="V893" s="43"/>
      <c r="W893" s="43"/>
      <c r="X893" s="43"/>
      <c r="Y893" s="43"/>
    </row>
    <row r="894" ht="13.2" spans="1:25">
      <c r="A894" s="42">
        <v>893</v>
      </c>
      <c r="B894" s="43" t="s">
        <v>1231</v>
      </c>
      <c r="C894" s="43"/>
      <c r="D894" s="43"/>
      <c r="E894" s="43"/>
      <c r="F894" s="43"/>
      <c r="G894" s="43"/>
      <c r="H894" s="43"/>
      <c r="I894" s="43"/>
      <c r="J894" s="43"/>
      <c r="K894" s="43"/>
      <c r="L894" s="43"/>
      <c r="M894" s="43"/>
      <c r="N894" s="43"/>
      <c r="O894" s="43"/>
      <c r="P894" s="43"/>
      <c r="Q894" s="43"/>
      <c r="R894" s="43"/>
      <c r="S894" s="43"/>
      <c r="T894" s="43"/>
      <c r="U894" s="43"/>
      <c r="V894" s="43"/>
      <c r="W894" s="43"/>
      <c r="X894" s="43"/>
      <c r="Y894" s="43"/>
    </row>
    <row r="895" ht="13.2" spans="1:25">
      <c r="A895" s="42">
        <v>894</v>
      </c>
      <c r="B895" s="43" t="s">
        <v>1232</v>
      </c>
      <c r="C895" s="43"/>
      <c r="D895" s="43"/>
      <c r="E895" s="43"/>
      <c r="F895" s="43"/>
      <c r="G895" s="43"/>
      <c r="H895" s="43"/>
      <c r="I895" s="43"/>
      <c r="J895" s="43"/>
      <c r="K895" s="43"/>
      <c r="L895" s="43"/>
      <c r="M895" s="43"/>
      <c r="N895" s="43"/>
      <c r="O895" s="43"/>
      <c r="P895" s="43"/>
      <c r="Q895" s="43"/>
      <c r="R895" s="43"/>
      <c r="S895" s="43"/>
      <c r="T895" s="43"/>
      <c r="U895" s="43"/>
      <c r="V895" s="43"/>
      <c r="W895" s="43"/>
      <c r="X895" s="43"/>
      <c r="Y895" s="43"/>
    </row>
    <row r="896" ht="13.2" spans="1:25">
      <c r="A896" s="42">
        <v>895</v>
      </c>
      <c r="B896" s="43" t="s">
        <v>1233</v>
      </c>
      <c r="C896" s="43"/>
      <c r="D896" s="43"/>
      <c r="E896" s="43"/>
      <c r="F896" s="43"/>
      <c r="G896" s="43"/>
      <c r="H896" s="43"/>
      <c r="I896" s="43"/>
      <c r="J896" s="43"/>
      <c r="K896" s="43"/>
      <c r="L896" s="43"/>
      <c r="M896" s="43"/>
      <c r="N896" s="43"/>
      <c r="O896" s="43"/>
      <c r="P896" s="43"/>
      <c r="Q896" s="43"/>
      <c r="R896" s="43"/>
      <c r="S896" s="43"/>
      <c r="T896" s="43"/>
      <c r="U896" s="43"/>
      <c r="V896" s="43"/>
      <c r="W896" s="43"/>
      <c r="X896" s="43"/>
      <c r="Y896" s="43"/>
    </row>
    <row r="897" ht="13.2" spans="1:25">
      <c r="A897" s="42">
        <v>896</v>
      </c>
      <c r="B897" s="43" t="s">
        <v>1234</v>
      </c>
      <c r="C897" s="43"/>
      <c r="D897" s="43"/>
      <c r="E897" s="43"/>
      <c r="F897" s="43"/>
      <c r="G897" s="43"/>
      <c r="H897" s="43"/>
      <c r="I897" s="43"/>
      <c r="J897" s="43"/>
      <c r="K897" s="43"/>
      <c r="L897" s="43"/>
      <c r="M897" s="43"/>
      <c r="N897" s="43"/>
      <c r="O897" s="43"/>
      <c r="P897" s="43"/>
      <c r="Q897" s="43"/>
      <c r="R897" s="43"/>
      <c r="S897" s="43"/>
      <c r="T897" s="43"/>
      <c r="U897" s="43"/>
      <c r="V897" s="43"/>
      <c r="W897" s="43"/>
      <c r="X897" s="43"/>
      <c r="Y897" s="43"/>
    </row>
    <row r="898" ht="13.2" spans="1:25">
      <c r="A898" s="42">
        <v>897</v>
      </c>
      <c r="B898" s="43" t="s">
        <v>1235</v>
      </c>
      <c r="C898" s="43"/>
      <c r="D898" s="43"/>
      <c r="E898" s="43"/>
      <c r="F898" s="43"/>
      <c r="G898" s="43"/>
      <c r="H898" s="43"/>
      <c r="I898" s="43"/>
      <c r="J898" s="43"/>
      <c r="K898" s="43"/>
      <c r="L898" s="43"/>
      <c r="M898" s="43"/>
      <c r="N898" s="43"/>
      <c r="O898" s="43"/>
      <c r="P898" s="43"/>
      <c r="Q898" s="43"/>
      <c r="R898" s="43"/>
      <c r="S898" s="43"/>
      <c r="T898" s="43"/>
      <c r="U898" s="43"/>
      <c r="V898" s="43"/>
      <c r="W898" s="43"/>
      <c r="X898" s="43"/>
      <c r="Y898" s="43"/>
    </row>
    <row r="899" ht="13.2" spans="1:25">
      <c r="A899" s="42">
        <v>898</v>
      </c>
      <c r="B899" s="43" t="s">
        <v>1236</v>
      </c>
      <c r="C899" s="43"/>
      <c r="D899" s="43"/>
      <c r="E899" s="43"/>
      <c r="F899" s="43"/>
      <c r="G899" s="43"/>
      <c r="H899" s="43"/>
      <c r="I899" s="43"/>
      <c r="J899" s="43"/>
      <c r="K899" s="43"/>
      <c r="L899" s="43"/>
      <c r="M899" s="43"/>
      <c r="N899" s="43"/>
      <c r="O899" s="43"/>
      <c r="P899" s="43"/>
      <c r="Q899" s="43"/>
      <c r="R899" s="43"/>
      <c r="S899" s="43"/>
      <c r="T899" s="43"/>
      <c r="U899" s="43"/>
      <c r="V899" s="43"/>
      <c r="W899" s="43"/>
      <c r="X899" s="43"/>
      <c r="Y899" s="43"/>
    </row>
    <row r="900" ht="13.2" spans="1:25">
      <c r="A900" s="42">
        <v>899</v>
      </c>
      <c r="B900" s="43" t="s">
        <v>1237</v>
      </c>
      <c r="C900" s="43"/>
      <c r="D900" s="43"/>
      <c r="E900" s="43"/>
      <c r="F900" s="43"/>
      <c r="G900" s="43"/>
      <c r="H900" s="43"/>
      <c r="I900" s="43"/>
      <c r="J900" s="43"/>
      <c r="K900" s="43"/>
      <c r="L900" s="43"/>
      <c r="M900" s="43"/>
      <c r="N900" s="43"/>
      <c r="O900" s="43"/>
      <c r="P900" s="43"/>
      <c r="Q900" s="43"/>
      <c r="R900" s="43"/>
      <c r="S900" s="43"/>
      <c r="T900" s="43"/>
      <c r="U900" s="43"/>
      <c r="V900" s="43"/>
      <c r="W900" s="43"/>
      <c r="X900" s="43"/>
      <c r="Y900" s="43"/>
    </row>
    <row r="901" ht="13.2" spans="1:25">
      <c r="A901" s="42">
        <v>900</v>
      </c>
      <c r="B901" s="42" t="s">
        <v>1238</v>
      </c>
      <c r="C901" s="43"/>
      <c r="D901" s="43"/>
      <c r="E901" s="43"/>
      <c r="F901" s="43"/>
      <c r="G901" s="43"/>
      <c r="H901" s="43"/>
      <c r="I901" s="43"/>
      <c r="J901" s="43"/>
      <c r="K901" s="43"/>
      <c r="L901" s="43"/>
      <c r="M901" s="43"/>
      <c r="N901" s="43"/>
      <c r="O901" s="43"/>
      <c r="P901" s="43"/>
      <c r="Q901" s="43"/>
      <c r="R901" s="43"/>
      <c r="S901" s="43"/>
      <c r="T901" s="43"/>
      <c r="U901" s="43"/>
      <c r="V901" s="43"/>
      <c r="W901" s="43"/>
      <c r="X901" s="43"/>
      <c r="Y901" s="43"/>
    </row>
    <row r="902" ht="13.2" spans="1:25">
      <c r="A902" s="42">
        <v>901</v>
      </c>
      <c r="B902" s="43" t="s">
        <v>1239</v>
      </c>
      <c r="C902" s="43"/>
      <c r="D902" s="43"/>
      <c r="E902" s="43"/>
      <c r="F902" s="43"/>
      <c r="G902" s="43"/>
      <c r="H902" s="43"/>
      <c r="I902" s="43"/>
      <c r="J902" s="43"/>
      <c r="K902" s="43"/>
      <c r="L902" s="43"/>
      <c r="M902" s="43"/>
      <c r="N902" s="43"/>
      <c r="O902" s="43"/>
      <c r="P902" s="43"/>
      <c r="Q902" s="43"/>
      <c r="R902" s="43"/>
      <c r="S902" s="43"/>
      <c r="T902" s="43"/>
      <c r="U902" s="43"/>
      <c r="V902" s="43"/>
      <c r="W902" s="43"/>
      <c r="X902" s="43"/>
      <c r="Y902" s="43"/>
    </row>
    <row r="903" ht="13.2" spans="1:25">
      <c r="A903" s="42">
        <v>902</v>
      </c>
      <c r="B903" s="43" t="s">
        <v>1240</v>
      </c>
      <c r="C903" s="43"/>
      <c r="D903" s="43"/>
      <c r="E903" s="43"/>
      <c r="F903" s="43"/>
      <c r="G903" s="43"/>
      <c r="H903" s="43"/>
      <c r="I903" s="43"/>
      <c r="J903" s="43"/>
      <c r="K903" s="43"/>
      <c r="L903" s="43"/>
      <c r="M903" s="43"/>
      <c r="N903" s="43"/>
      <c r="O903" s="43"/>
      <c r="P903" s="43"/>
      <c r="Q903" s="43"/>
      <c r="R903" s="43"/>
      <c r="S903" s="43"/>
      <c r="T903" s="43"/>
      <c r="U903" s="43"/>
      <c r="V903" s="43"/>
      <c r="W903" s="43"/>
      <c r="X903" s="43"/>
      <c r="Y903" s="43"/>
    </row>
    <row r="904" ht="13.2" spans="1:25">
      <c r="A904" s="42">
        <v>903</v>
      </c>
      <c r="B904" s="43" t="s">
        <v>1241</v>
      </c>
      <c r="C904" s="43"/>
      <c r="D904" s="43"/>
      <c r="E904" s="43"/>
      <c r="F904" s="43"/>
      <c r="G904" s="43"/>
      <c r="H904" s="43"/>
      <c r="I904" s="43"/>
      <c r="J904" s="43"/>
      <c r="K904" s="43"/>
      <c r="L904" s="43"/>
      <c r="M904" s="43"/>
      <c r="N904" s="43"/>
      <c r="O904" s="43"/>
      <c r="P904" s="43"/>
      <c r="Q904" s="43"/>
      <c r="R904" s="43"/>
      <c r="S904" s="43"/>
      <c r="T904" s="43"/>
      <c r="U904" s="43"/>
      <c r="V904" s="43"/>
      <c r="W904" s="43"/>
      <c r="X904" s="43"/>
      <c r="Y904" s="43"/>
    </row>
    <row r="905" ht="13.2" spans="1:25">
      <c r="A905" s="42">
        <v>904</v>
      </c>
      <c r="B905" s="43" t="s">
        <v>1242</v>
      </c>
      <c r="C905" s="43"/>
      <c r="D905" s="43"/>
      <c r="E905" s="43"/>
      <c r="F905" s="43"/>
      <c r="G905" s="43"/>
      <c r="H905" s="43"/>
      <c r="I905" s="43"/>
      <c r="J905" s="43"/>
      <c r="K905" s="43"/>
      <c r="L905" s="43"/>
      <c r="M905" s="43"/>
      <c r="N905" s="43"/>
      <c r="O905" s="43"/>
      <c r="P905" s="43"/>
      <c r="Q905" s="43"/>
      <c r="R905" s="43"/>
      <c r="S905" s="43"/>
      <c r="T905" s="43"/>
      <c r="U905" s="43"/>
      <c r="V905" s="43"/>
      <c r="W905" s="43"/>
      <c r="X905" s="43"/>
      <c r="Y905" s="43"/>
    </row>
    <row r="906" ht="13.2" spans="1:25">
      <c r="A906" s="42">
        <v>905</v>
      </c>
      <c r="B906" s="43" t="s">
        <v>1243</v>
      </c>
      <c r="C906" s="43"/>
      <c r="D906" s="43"/>
      <c r="E906" s="43"/>
      <c r="F906" s="43"/>
      <c r="G906" s="43"/>
      <c r="H906" s="43"/>
      <c r="I906" s="43"/>
      <c r="J906" s="43"/>
      <c r="K906" s="43"/>
      <c r="L906" s="43"/>
      <c r="M906" s="43"/>
      <c r="N906" s="43"/>
      <c r="O906" s="43"/>
      <c r="P906" s="43"/>
      <c r="Q906" s="43"/>
      <c r="R906" s="43"/>
      <c r="S906" s="43"/>
      <c r="T906" s="43"/>
      <c r="U906" s="43"/>
      <c r="V906" s="43"/>
      <c r="W906" s="43"/>
      <c r="X906" s="43"/>
      <c r="Y906" s="43"/>
    </row>
    <row r="907" ht="13.2" spans="1:25">
      <c r="A907" s="42">
        <v>906</v>
      </c>
      <c r="B907" s="43" t="s">
        <v>1244</v>
      </c>
      <c r="C907" s="43"/>
      <c r="D907" s="43"/>
      <c r="E907" s="43"/>
      <c r="F907" s="43"/>
      <c r="G907" s="43"/>
      <c r="H907" s="43"/>
      <c r="I907" s="43"/>
      <c r="J907" s="43"/>
      <c r="K907" s="43"/>
      <c r="L907" s="43"/>
      <c r="M907" s="43"/>
      <c r="N907" s="43"/>
      <c r="O907" s="43"/>
      <c r="P907" s="43"/>
      <c r="Q907" s="43"/>
      <c r="R907" s="43"/>
      <c r="S907" s="43"/>
      <c r="T907" s="43"/>
      <c r="U907" s="43"/>
      <c r="V907" s="43"/>
      <c r="W907" s="43"/>
      <c r="X907" s="43"/>
      <c r="Y907" s="43"/>
    </row>
    <row r="908" ht="13.2" spans="1:25">
      <c r="A908" s="42">
        <v>907</v>
      </c>
      <c r="B908" s="43" t="s">
        <v>1245</v>
      </c>
      <c r="C908" s="43"/>
      <c r="D908" s="43"/>
      <c r="E908" s="43"/>
      <c r="F908" s="43"/>
      <c r="G908" s="43"/>
      <c r="H908" s="43"/>
      <c r="I908" s="43"/>
      <c r="J908" s="43"/>
      <c r="K908" s="43"/>
      <c r="L908" s="43"/>
      <c r="M908" s="43"/>
      <c r="N908" s="43"/>
      <c r="O908" s="43"/>
      <c r="P908" s="43"/>
      <c r="Q908" s="43"/>
      <c r="R908" s="43"/>
      <c r="S908" s="43"/>
      <c r="T908" s="43"/>
      <c r="U908" s="43"/>
      <c r="V908" s="43"/>
      <c r="W908" s="43"/>
      <c r="X908" s="43"/>
      <c r="Y908" s="43"/>
    </row>
    <row r="909" ht="13.2" spans="1:25">
      <c r="A909" s="42">
        <v>908</v>
      </c>
      <c r="B909" s="43" t="s">
        <v>1246</v>
      </c>
      <c r="C909" s="43"/>
      <c r="D909" s="43"/>
      <c r="E909" s="43"/>
      <c r="F909" s="43"/>
      <c r="G909" s="43"/>
      <c r="H909" s="43"/>
      <c r="I909" s="43"/>
      <c r="J909" s="43"/>
      <c r="K909" s="43"/>
      <c r="L909" s="43"/>
      <c r="M909" s="43"/>
      <c r="N909" s="43"/>
      <c r="O909" s="43"/>
      <c r="P909" s="43"/>
      <c r="Q909" s="43"/>
      <c r="R909" s="43"/>
      <c r="S909" s="43"/>
      <c r="T909" s="43"/>
      <c r="U909" s="43"/>
      <c r="V909" s="43"/>
      <c r="W909" s="43"/>
      <c r="X909" s="43"/>
      <c r="Y909" s="43"/>
    </row>
    <row r="910" ht="13.2" spans="1:25">
      <c r="A910" s="42">
        <v>909</v>
      </c>
      <c r="B910" s="43" t="s">
        <v>1247</v>
      </c>
      <c r="C910" s="43"/>
      <c r="D910" s="43"/>
      <c r="E910" s="43"/>
      <c r="F910" s="43"/>
      <c r="G910" s="43"/>
      <c r="H910" s="43"/>
      <c r="I910" s="43"/>
      <c r="J910" s="43"/>
      <c r="K910" s="43"/>
      <c r="L910" s="43"/>
      <c r="M910" s="43"/>
      <c r="N910" s="43"/>
      <c r="O910" s="43"/>
      <c r="P910" s="43"/>
      <c r="Q910" s="43"/>
      <c r="R910" s="43"/>
      <c r="S910" s="43"/>
      <c r="T910" s="43"/>
      <c r="U910" s="43"/>
      <c r="V910" s="43"/>
      <c r="W910" s="43"/>
      <c r="X910" s="43"/>
      <c r="Y910" s="43"/>
    </row>
    <row r="911" ht="13.2" spans="1:25">
      <c r="A911" s="42">
        <v>910</v>
      </c>
      <c r="B911" s="43" t="s">
        <v>215</v>
      </c>
      <c r="C911" s="43"/>
      <c r="D911" s="43"/>
      <c r="E911" s="43"/>
      <c r="F911" s="43"/>
      <c r="G911" s="43"/>
      <c r="H911" s="43"/>
      <c r="I911" s="43"/>
      <c r="J911" s="43"/>
      <c r="K911" s="43"/>
      <c r="L911" s="43"/>
      <c r="M911" s="43"/>
      <c r="N911" s="43"/>
      <c r="O911" s="43"/>
      <c r="P911" s="43"/>
      <c r="Q911" s="43"/>
      <c r="R911" s="43"/>
      <c r="S911" s="43"/>
      <c r="T911" s="43"/>
      <c r="U911" s="43"/>
      <c r="V911" s="43"/>
      <c r="W911" s="43"/>
      <c r="X911" s="43"/>
      <c r="Y911" s="43"/>
    </row>
    <row r="912" ht="13.2" spans="1:25">
      <c r="A912" s="42">
        <v>911</v>
      </c>
      <c r="B912" s="43" t="s">
        <v>1248</v>
      </c>
      <c r="C912" s="43"/>
      <c r="D912" s="43"/>
      <c r="E912" s="43"/>
      <c r="F912" s="43"/>
      <c r="G912" s="43"/>
      <c r="H912" s="43"/>
      <c r="I912" s="43"/>
      <c r="J912" s="43"/>
      <c r="K912" s="43"/>
      <c r="L912" s="43"/>
      <c r="M912" s="43"/>
      <c r="N912" s="43"/>
      <c r="O912" s="43"/>
      <c r="P912" s="43"/>
      <c r="Q912" s="43"/>
      <c r="R912" s="43"/>
      <c r="S912" s="43"/>
      <c r="T912" s="43"/>
      <c r="U912" s="43"/>
      <c r="V912" s="43"/>
      <c r="W912" s="43"/>
      <c r="X912" s="43"/>
      <c r="Y912" s="43"/>
    </row>
    <row r="913" ht="13.2" spans="1:25">
      <c r="A913" s="42">
        <v>912</v>
      </c>
      <c r="B913" s="43" t="s">
        <v>1249</v>
      </c>
      <c r="C913" s="43"/>
      <c r="D913" s="43"/>
      <c r="E913" s="43"/>
      <c r="F913" s="43"/>
      <c r="G913" s="43"/>
      <c r="H913" s="43"/>
      <c r="I913" s="43"/>
      <c r="J913" s="43"/>
      <c r="K913" s="43"/>
      <c r="L913" s="43"/>
      <c r="M913" s="43"/>
      <c r="N913" s="43"/>
      <c r="O913" s="43"/>
      <c r="P913" s="43"/>
      <c r="Q913" s="43"/>
      <c r="R913" s="43"/>
      <c r="S913" s="43"/>
      <c r="T913" s="43"/>
      <c r="U913" s="43"/>
      <c r="V913" s="43"/>
      <c r="W913" s="43"/>
      <c r="X913" s="43"/>
      <c r="Y913" s="43"/>
    </row>
    <row r="914" ht="13.2" spans="1:25">
      <c r="A914" s="42">
        <v>913</v>
      </c>
      <c r="B914" s="43" t="s">
        <v>1250</v>
      </c>
      <c r="C914" s="43"/>
      <c r="D914" s="43"/>
      <c r="E914" s="43"/>
      <c r="F914" s="43"/>
      <c r="G914" s="43"/>
      <c r="H914" s="43"/>
      <c r="I914" s="43"/>
      <c r="J914" s="43"/>
      <c r="K914" s="43"/>
      <c r="L914" s="43"/>
      <c r="M914" s="43"/>
      <c r="N914" s="43"/>
      <c r="O914" s="43"/>
      <c r="P914" s="43"/>
      <c r="Q914" s="43"/>
      <c r="R914" s="43"/>
      <c r="S914" s="43"/>
      <c r="T914" s="43"/>
      <c r="U914" s="43"/>
      <c r="V914" s="43"/>
      <c r="W914" s="43"/>
      <c r="X914" s="43"/>
      <c r="Y914" s="43"/>
    </row>
    <row r="915" ht="13.2" spans="1:25">
      <c r="A915" s="42">
        <v>914</v>
      </c>
      <c r="B915" s="43" t="s">
        <v>1251</v>
      </c>
      <c r="C915" s="43"/>
      <c r="D915" s="43"/>
      <c r="E915" s="43"/>
      <c r="F915" s="43"/>
      <c r="G915" s="43"/>
      <c r="H915" s="43"/>
      <c r="I915" s="43"/>
      <c r="J915" s="43"/>
      <c r="K915" s="43"/>
      <c r="L915" s="43"/>
      <c r="M915" s="43"/>
      <c r="N915" s="43"/>
      <c r="O915" s="43"/>
      <c r="P915" s="43"/>
      <c r="Q915" s="43"/>
      <c r="R915" s="43"/>
      <c r="S915" s="43"/>
      <c r="T915" s="43"/>
      <c r="U915" s="43"/>
      <c r="V915" s="43"/>
      <c r="W915" s="43"/>
      <c r="X915" s="43"/>
      <c r="Y915" s="43"/>
    </row>
    <row r="916" ht="13.2" spans="1:25">
      <c r="A916" s="42">
        <v>915</v>
      </c>
      <c r="B916" s="43" t="s">
        <v>1252</v>
      </c>
      <c r="C916" s="43"/>
      <c r="D916" s="43"/>
      <c r="E916" s="43"/>
      <c r="F916" s="43"/>
      <c r="G916" s="43"/>
      <c r="H916" s="43"/>
      <c r="I916" s="43"/>
      <c r="J916" s="43"/>
      <c r="K916" s="43"/>
      <c r="L916" s="43"/>
      <c r="M916" s="43"/>
      <c r="N916" s="43"/>
      <c r="O916" s="43"/>
      <c r="P916" s="43"/>
      <c r="Q916" s="43"/>
      <c r="R916" s="43"/>
      <c r="S916" s="43"/>
      <c r="T916" s="43"/>
      <c r="U916" s="43"/>
      <c r="V916" s="43"/>
      <c r="W916" s="43"/>
      <c r="X916" s="43"/>
      <c r="Y916" s="43"/>
    </row>
    <row r="917" ht="13.2" spans="1:25">
      <c r="A917" s="42">
        <v>916</v>
      </c>
      <c r="B917" s="43" t="s">
        <v>1253</v>
      </c>
      <c r="C917" s="43"/>
      <c r="D917" s="43"/>
      <c r="E917" s="43"/>
      <c r="F917" s="43"/>
      <c r="G917" s="43"/>
      <c r="H917" s="43"/>
      <c r="I917" s="43"/>
      <c r="J917" s="43"/>
      <c r="K917" s="43"/>
      <c r="L917" s="43"/>
      <c r="M917" s="43"/>
      <c r="N917" s="43"/>
      <c r="O917" s="43"/>
      <c r="P917" s="43"/>
      <c r="Q917" s="43"/>
      <c r="R917" s="43"/>
      <c r="S917" s="43"/>
      <c r="T917" s="43"/>
      <c r="U917" s="43"/>
      <c r="V917" s="43"/>
      <c r="W917" s="43"/>
      <c r="X917" s="43"/>
      <c r="Y917" s="43"/>
    </row>
    <row r="918" ht="13.2" spans="1:25">
      <c r="A918" s="42">
        <v>917</v>
      </c>
      <c r="B918" s="43" t="s">
        <v>1254</v>
      </c>
      <c r="C918" s="43"/>
      <c r="D918" s="43"/>
      <c r="E918" s="43"/>
      <c r="F918" s="43"/>
      <c r="G918" s="43"/>
      <c r="H918" s="43"/>
      <c r="I918" s="43"/>
      <c r="J918" s="43"/>
      <c r="K918" s="43"/>
      <c r="L918" s="43"/>
      <c r="M918" s="43"/>
      <c r="N918" s="43"/>
      <c r="O918" s="43"/>
      <c r="P918" s="43"/>
      <c r="Q918" s="43"/>
      <c r="R918" s="43"/>
      <c r="S918" s="43"/>
      <c r="T918" s="43"/>
      <c r="U918" s="43"/>
      <c r="V918" s="43"/>
      <c r="W918" s="43"/>
      <c r="X918" s="43"/>
      <c r="Y918" s="43"/>
    </row>
    <row r="919" ht="13.2" spans="1:25">
      <c r="A919" s="42">
        <v>918</v>
      </c>
      <c r="B919" s="43" t="s">
        <v>1255</v>
      </c>
      <c r="C919" s="43"/>
      <c r="D919" s="43"/>
      <c r="E919" s="43"/>
      <c r="F919" s="43"/>
      <c r="G919" s="43"/>
      <c r="H919" s="43"/>
      <c r="I919" s="43"/>
      <c r="J919" s="43"/>
      <c r="K919" s="43"/>
      <c r="L919" s="43"/>
      <c r="M919" s="43"/>
      <c r="N919" s="43"/>
      <c r="O919" s="43"/>
      <c r="P919" s="43"/>
      <c r="Q919" s="43"/>
      <c r="R919" s="43"/>
      <c r="S919" s="43"/>
      <c r="T919" s="43"/>
      <c r="U919" s="43"/>
      <c r="V919" s="43"/>
      <c r="W919" s="43"/>
      <c r="X919" s="43"/>
      <c r="Y919" s="43"/>
    </row>
    <row r="920" ht="13.2" spans="1:25">
      <c r="A920" s="42">
        <v>919</v>
      </c>
      <c r="B920" s="43" t="s">
        <v>1256</v>
      </c>
      <c r="C920" s="43"/>
      <c r="D920" s="43"/>
      <c r="E920" s="43"/>
      <c r="F920" s="43"/>
      <c r="G920" s="43"/>
      <c r="H920" s="43"/>
      <c r="I920" s="43"/>
      <c r="J920" s="43"/>
      <c r="K920" s="43"/>
      <c r="L920" s="43"/>
      <c r="M920" s="43"/>
      <c r="N920" s="43"/>
      <c r="O920" s="43"/>
      <c r="P920" s="43"/>
      <c r="Q920" s="43"/>
      <c r="R920" s="43"/>
      <c r="S920" s="43"/>
      <c r="T920" s="43"/>
      <c r="U920" s="43"/>
      <c r="V920" s="43"/>
      <c r="W920" s="43"/>
      <c r="X920" s="43"/>
      <c r="Y920" s="43"/>
    </row>
    <row r="921" ht="13.2" spans="1:25">
      <c r="A921" s="42">
        <v>920</v>
      </c>
      <c r="B921" s="43" t="s">
        <v>1257</v>
      </c>
      <c r="C921" s="43"/>
      <c r="D921" s="43"/>
      <c r="E921" s="43"/>
      <c r="F921" s="43"/>
      <c r="G921" s="43"/>
      <c r="H921" s="43"/>
      <c r="I921" s="43"/>
      <c r="J921" s="43"/>
      <c r="K921" s="43"/>
      <c r="L921" s="43"/>
      <c r="M921" s="43"/>
      <c r="N921" s="43"/>
      <c r="O921" s="43"/>
      <c r="P921" s="43"/>
      <c r="Q921" s="43"/>
      <c r="R921" s="43"/>
      <c r="S921" s="43"/>
      <c r="T921" s="43"/>
      <c r="U921" s="43"/>
      <c r="V921" s="43"/>
      <c r="W921" s="43"/>
      <c r="X921" s="43"/>
      <c r="Y921" s="43"/>
    </row>
    <row r="922" ht="13.2" spans="1:25">
      <c r="A922" s="42">
        <v>921</v>
      </c>
      <c r="B922" s="43" t="s">
        <v>1258</v>
      </c>
      <c r="C922" s="43"/>
      <c r="D922" s="43"/>
      <c r="E922" s="43"/>
      <c r="F922" s="43"/>
      <c r="G922" s="43"/>
      <c r="H922" s="43"/>
      <c r="I922" s="43"/>
      <c r="J922" s="43"/>
      <c r="K922" s="43"/>
      <c r="L922" s="43"/>
      <c r="M922" s="43"/>
      <c r="N922" s="43"/>
      <c r="O922" s="43"/>
      <c r="P922" s="43"/>
      <c r="Q922" s="43"/>
      <c r="R922" s="43"/>
      <c r="S922" s="43"/>
      <c r="T922" s="43"/>
      <c r="U922" s="43"/>
      <c r="V922" s="43"/>
      <c r="W922" s="43"/>
      <c r="X922" s="43"/>
      <c r="Y922" s="43"/>
    </row>
    <row r="923" ht="13.2" spans="1:25">
      <c r="A923" s="42">
        <v>922</v>
      </c>
      <c r="B923" s="43" t="s">
        <v>1259</v>
      </c>
      <c r="C923" s="43"/>
      <c r="D923" s="43"/>
      <c r="E923" s="43"/>
      <c r="F923" s="43"/>
      <c r="G923" s="43"/>
      <c r="H923" s="43"/>
      <c r="I923" s="43"/>
      <c r="J923" s="43"/>
      <c r="K923" s="43"/>
      <c r="L923" s="43"/>
      <c r="M923" s="43"/>
      <c r="N923" s="43"/>
      <c r="O923" s="43"/>
      <c r="P923" s="43"/>
      <c r="Q923" s="43"/>
      <c r="R923" s="43"/>
      <c r="S923" s="43"/>
      <c r="T923" s="43"/>
      <c r="U923" s="43"/>
      <c r="V923" s="43"/>
      <c r="W923" s="43"/>
      <c r="X923" s="43"/>
      <c r="Y923" s="43"/>
    </row>
    <row r="924" ht="13.2" spans="1:25">
      <c r="A924" s="42">
        <v>923</v>
      </c>
      <c r="B924" s="43" t="s">
        <v>1260</v>
      </c>
      <c r="C924" s="43"/>
      <c r="D924" s="43"/>
      <c r="E924" s="43"/>
      <c r="F924" s="43"/>
      <c r="G924" s="43"/>
      <c r="H924" s="43"/>
      <c r="I924" s="43"/>
      <c r="J924" s="43"/>
      <c r="K924" s="43"/>
      <c r="L924" s="43"/>
      <c r="M924" s="43"/>
      <c r="N924" s="43"/>
      <c r="O924" s="43"/>
      <c r="P924" s="43"/>
      <c r="Q924" s="43"/>
      <c r="R924" s="43"/>
      <c r="S924" s="43"/>
      <c r="T924" s="43"/>
      <c r="U924" s="43"/>
      <c r="V924" s="43"/>
      <c r="W924" s="43"/>
      <c r="X924" s="43"/>
      <c r="Y924" s="43"/>
    </row>
    <row r="925" ht="13.2" spans="1:25">
      <c r="A925" s="42">
        <v>924</v>
      </c>
      <c r="B925" s="43" t="s">
        <v>1261</v>
      </c>
      <c r="C925" s="43"/>
      <c r="D925" s="43"/>
      <c r="E925" s="43"/>
      <c r="F925" s="43"/>
      <c r="G925" s="43"/>
      <c r="H925" s="43"/>
      <c r="I925" s="43"/>
      <c r="J925" s="43"/>
      <c r="K925" s="43"/>
      <c r="L925" s="43"/>
      <c r="M925" s="43"/>
      <c r="N925" s="43"/>
      <c r="O925" s="43"/>
      <c r="P925" s="43"/>
      <c r="Q925" s="43"/>
      <c r="R925" s="43"/>
      <c r="S925" s="43"/>
      <c r="T925" s="43"/>
      <c r="U925" s="43"/>
      <c r="V925" s="43"/>
      <c r="W925" s="43"/>
      <c r="X925" s="43"/>
      <c r="Y925" s="43"/>
    </row>
    <row r="926" ht="13.2" spans="1:25">
      <c r="A926" s="42">
        <v>925</v>
      </c>
      <c r="B926" s="43" t="s">
        <v>1262</v>
      </c>
      <c r="C926" s="43"/>
      <c r="D926" s="43"/>
      <c r="E926" s="43"/>
      <c r="F926" s="43"/>
      <c r="G926" s="43"/>
      <c r="H926" s="43"/>
      <c r="I926" s="43"/>
      <c r="J926" s="43"/>
      <c r="K926" s="43"/>
      <c r="L926" s="43"/>
      <c r="M926" s="43"/>
      <c r="N926" s="43"/>
      <c r="O926" s="43"/>
      <c r="P926" s="43"/>
      <c r="Q926" s="43"/>
      <c r="R926" s="43"/>
      <c r="S926" s="43"/>
      <c r="T926" s="43"/>
      <c r="U926" s="43"/>
      <c r="V926" s="43"/>
      <c r="W926" s="43"/>
      <c r="X926" s="43"/>
      <c r="Y926" s="43"/>
    </row>
    <row r="927" ht="13.2" spans="1:25">
      <c r="A927" s="42">
        <v>926</v>
      </c>
      <c r="B927" s="43" t="s">
        <v>1263</v>
      </c>
      <c r="C927" s="43"/>
      <c r="D927" s="43"/>
      <c r="E927" s="43"/>
      <c r="F927" s="43"/>
      <c r="G927" s="43"/>
      <c r="H927" s="43"/>
      <c r="I927" s="43"/>
      <c r="J927" s="43"/>
      <c r="K927" s="43"/>
      <c r="L927" s="43"/>
      <c r="M927" s="43"/>
      <c r="N927" s="43"/>
      <c r="O927" s="43"/>
      <c r="P927" s="43"/>
      <c r="Q927" s="43"/>
      <c r="R927" s="43"/>
      <c r="S927" s="43"/>
      <c r="T927" s="43"/>
      <c r="U927" s="43"/>
      <c r="V927" s="43"/>
      <c r="W927" s="43"/>
      <c r="X927" s="43"/>
      <c r="Y927" s="43"/>
    </row>
    <row r="928" ht="13.2" spans="1:25">
      <c r="A928" s="42">
        <v>927</v>
      </c>
      <c r="B928" s="43" t="s">
        <v>1264</v>
      </c>
      <c r="C928" s="43"/>
      <c r="D928" s="43"/>
      <c r="E928" s="43"/>
      <c r="F928" s="43"/>
      <c r="G928" s="43"/>
      <c r="H928" s="43"/>
      <c r="I928" s="43"/>
      <c r="J928" s="43"/>
      <c r="K928" s="43"/>
      <c r="L928" s="43"/>
      <c r="M928" s="43"/>
      <c r="N928" s="43"/>
      <c r="O928" s="43"/>
      <c r="P928" s="43"/>
      <c r="Q928" s="43"/>
      <c r="R928" s="43"/>
      <c r="S928" s="43"/>
      <c r="T928" s="43"/>
      <c r="U928" s="43"/>
      <c r="V928" s="43"/>
      <c r="W928" s="43"/>
      <c r="X928" s="43"/>
      <c r="Y928" s="43"/>
    </row>
    <row r="929" ht="13.2" spans="1:25">
      <c r="A929" s="42">
        <v>928</v>
      </c>
      <c r="B929" s="43" t="s">
        <v>1265</v>
      </c>
      <c r="C929" s="43"/>
      <c r="D929" s="43"/>
      <c r="E929" s="43"/>
      <c r="F929" s="43"/>
      <c r="G929" s="43"/>
      <c r="H929" s="43"/>
      <c r="I929" s="43"/>
      <c r="J929" s="43"/>
      <c r="K929" s="43"/>
      <c r="L929" s="43"/>
      <c r="M929" s="43"/>
      <c r="N929" s="43"/>
      <c r="O929" s="43"/>
      <c r="P929" s="43"/>
      <c r="Q929" s="43"/>
      <c r="R929" s="43"/>
      <c r="S929" s="43"/>
      <c r="T929" s="43"/>
      <c r="U929" s="43"/>
      <c r="V929" s="43"/>
      <c r="W929" s="43"/>
      <c r="X929" s="43"/>
      <c r="Y929" s="43"/>
    </row>
    <row r="930" ht="13.2" spans="1:25">
      <c r="A930" s="42">
        <v>929</v>
      </c>
      <c r="B930" s="43" t="s">
        <v>1266</v>
      </c>
      <c r="C930" s="43"/>
      <c r="D930" s="43"/>
      <c r="E930" s="43"/>
      <c r="F930" s="43"/>
      <c r="G930" s="43"/>
      <c r="H930" s="43"/>
      <c r="I930" s="43"/>
      <c r="J930" s="43"/>
      <c r="K930" s="43"/>
      <c r="L930" s="43"/>
      <c r="M930" s="43"/>
      <c r="N930" s="43"/>
      <c r="O930" s="43"/>
      <c r="P930" s="43"/>
      <c r="Q930" s="43"/>
      <c r="R930" s="43"/>
      <c r="S930" s="43"/>
      <c r="T930" s="43"/>
      <c r="U930" s="43"/>
      <c r="V930" s="43"/>
      <c r="W930" s="43"/>
      <c r="X930" s="43"/>
      <c r="Y930" s="43"/>
    </row>
    <row r="931" ht="13.2" spans="1:25">
      <c r="A931" s="42">
        <v>930</v>
      </c>
      <c r="B931" s="43" t="s">
        <v>1267</v>
      </c>
      <c r="C931" s="43"/>
      <c r="D931" s="43"/>
      <c r="E931" s="43"/>
      <c r="F931" s="43"/>
      <c r="G931" s="43"/>
      <c r="H931" s="43"/>
      <c r="I931" s="43"/>
      <c r="J931" s="43"/>
      <c r="K931" s="43"/>
      <c r="L931" s="43"/>
      <c r="M931" s="43"/>
      <c r="N931" s="43"/>
      <c r="O931" s="43"/>
      <c r="P931" s="43"/>
      <c r="Q931" s="43"/>
      <c r="R931" s="43"/>
      <c r="S931" s="43"/>
      <c r="T931" s="43"/>
      <c r="U931" s="43"/>
      <c r="V931" s="43"/>
      <c r="W931" s="43"/>
      <c r="X931" s="43"/>
      <c r="Y931" s="43"/>
    </row>
    <row r="932" ht="13.2" spans="1:25">
      <c r="A932" s="42">
        <v>931</v>
      </c>
      <c r="B932" s="43" t="s">
        <v>1268</v>
      </c>
      <c r="C932" s="43"/>
      <c r="D932" s="43"/>
      <c r="E932" s="43"/>
      <c r="F932" s="43"/>
      <c r="G932" s="43"/>
      <c r="H932" s="43"/>
      <c r="I932" s="43"/>
      <c r="J932" s="43"/>
      <c r="K932" s="43"/>
      <c r="L932" s="43"/>
      <c r="M932" s="43"/>
      <c r="N932" s="43"/>
      <c r="O932" s="43"/>
      <c r="P932" s="43"/>
      <c r="Q932" s="43"/>
      <c r="R932" s="43"/>
      <c r="S932" s="43"/>
      <c r="T932" s="43"/>
      <c r="U932" s="43"/>
      <c r="V932" s="43"/>
      <c r="W932" s="43"/>
      <c r="X932" s="43"/>
      <c r="Y932" s="43"/>
    </row>
    <row r="933" ht="13.2" spans="1:25">
      <c r="A933" s="42">
        <v>932</v>
      </c>
      <c r="B933" s="43" t="s">
        <v>1269</v>
      </c>
      <c r="C933" s="43"/>
      <c r="D933" s="43"/>
      <c r="E933" s="43"/>
      <c r="F933" s="43"/>
      <c r="G933" s="43"/>
      <c r="H933" s="43"/>
      <c r="I933" s="43"/>
      <c r="J933" s="43"/>
      <c r="K933" s="43"/>
      <c r="L933" s="43"/>
      <c r="M933" s="43"/>
      <c r="N933" s="43"/>
      <c r="O933" s="43"/>
      <c r="P933" s="43"/>
      <c r="Q933" s="43"/>
      <c r="R933" s="43"/>
      <c r="S933" s="43"/>
      <c r="T933" s="43"/>
      <c r="U933" s="43"/>
      <c r="V933" s="43"/>
      <c r="W933" s="43"/>
      <c r="X933" s="43"/>
      <c r="Y933" s="43"/>
    </row>
    <row r="934" ht="13.2" spans="1:25">
      <c r="A934" s="42">
        <v>933</v>
      </c>
      <c r="B934" s="43" t="s">
        <v>1270</v>
      </c>
      <c r="C934" s="43"/>
      <c r="D934" s="43"/>
      <c r="E934" s="43"/>
      <c r="F934" s="43"/>
      <c r="G934" s="43"/>
      <c r="H934" s="43"/>
      <c r="I934" s="43"/>
      <c r="J934" s="43"/>
      <c r="K934" s="43"/>
      <c r="L934" s="43"/>
      <c r="M934" s="43"/>
      <c r="N934" s="43"/>
      <c r="O934" s="43"/>
      <c r="P934" s="43"/>
      <c r="Q934" s="43"/>
      <c r="R934" s="43"/>
      <c r="S934" s="43"/>
      <c r="T934" s="43"/>
      <c r="U934" s="43"/>
      <c r="V934" s="43"/>
      <c r="W934" s="43"/>
      <c r="X934" s="43"/>
      <c r="Y934" s="43"/>
    </row>
    <row r="935" ht="13.2" spans="1:25">
      <c r="A935" s="42">
        <v>934</v>
      </c>
      <c r="B935" s="43" t="s">
        <v>1271</v>
      </c>
      <c r="C935" s="43"/>
      <c r="D935" s="43"/>
      <c r="E935" s="43"/>
      <c r="F935" s="43"/>
      <c r="G935" s="43"/>
      <c r="H935" s="43"/>
      <c r="I935" s="43"/>
      <c r="J935" s="43"/>
      <c r="K935" s="43"/>
      <c r="L935" s="43"/>
      <c r="M935" s="43"/>
      <c r="N935" s="43"/>
      <c r="O935" s="43"/>
      <c r="P935" s="43"/>
      <c r="Q935" s="43"/>
      <c r="R935" s="43"/>
      <c r="S935" s="43"/>
      <c r="T935" s="43"/>
      <c r="U935" s="43"/>
      <c r="V935" s="43"/>
      <c r="W935" s="43"/>
      <c r="X935" s="43"/>
      <c r="Y935" s="43"/>
    </row>
    <row r="936" ht="13.2" spans="1:25">
      <c r="A936" s="42">
        <v>935</v>
      </c>
      <c r="B936" s="43" t="s">
        <v>1272</v>
      </c>
      <c r="C936" s="43"/>
      <c r="D936" s="43"/>
      <c r="E936" s="43"/>
      <c r="F936" s="43"/>
      <c r="G936" s="43"/>
      <c r="H936" s="43"/>
      <c r="I936" s="43"/>
      <c r="J936" s="43"/>
      <c r="K936" s="43"/>
      <c r="L936" s="43"/>
      <c r="M936" s="43"/>
      <c r="N936" s="43"/>
      <c r="O936" s="43"/>
      <c r="P936" s="43"/>
      <c r="Q936" s="43"/>
      <c r="R936" s="43"/>
      <c r="S936" s="43"/>
      <c r="T936" s="43"/>
      <c r="U936" s="43"/>
      <c r="V936" s="43"/>
      <c r="W936" s="43"/>
      <c r="X936" s="43"/>
      <c r="Y936" s="43"/>
    </row>
    <row r="937" ht="13.2" spans="1:25">
      <c r="A937" s="42">
        <v>936</v>
      </c>
      <c r="B937" s="43" t="s">
        <v>1273</v>
      </c>
      <c r="C937" s="43"/>
      <c r="D937" s="43"/>
      <c r="E937" s="43"/>
      <c r="F937" s="43"/>
      <c r="G937" s="43"/>
      <c r="H937" s="43"/>
      <c r="I937" s="43"/>
      <c r="J937" s="43"/>
      <c r="K937" s="43"/>
      <c r="L937" s="43"/>
      <c r="M937" s="43"/>
      <c r="N937" s="43"/>
      <c r="O937" s="43"/>
      <c r="P937" s="43"/>
      <c r="Q937" s="43"/>
      <c r="R937" s="43"/>
      <c r="S937" s="43"/>
      <c r="T937" s="43"/>
      <c r="U937" s="43"/>
      <c r="V937" s="43"/>
      <c r="W937" s="43"/>
      <c r="X937" s="43"/>
      <c r="Y937" s="43"/>
    </row>
    <row r="938" ht="13.2" spans="1:25">
      <c r="A938" s="42">
        <v>937</v>
      </c>
      <c r="B938" s="43" t="s">
        <v>1274</v>
      </c>
      <c r="C938" s="43"/>
      <c r="D938" s="43"/>
      <c r="E938" s="43"/>
      <c r="F938" s="43"/>
      <c r="G938" s="43"/>
      <c r="H938" s="43"/>
      <c r="I938" s="43"/>
      <c r="J938" s="43"/>
      <c r="K938" s="43"/>
      <c r="L938" s="43"/>
      <c r="M938" s="43"/>
      <c r="N938" s="43"/>
      <c r="O938" s="43"/>
      <c r="P938" s="43"/>
      <c r="Q938" s="43"/>
      <c r="R938" s="43"/>
      <c r="S938" s="43"/>
      <c r="T938" s="43"/>
      <c r="U938" s="43"/>
      <c r="V938" s="43"/>
      <c r="W938" s="43"/>
      <c r="X938" s="43"/>
      <c r="Y938" s="43"/>
    </row>
    <row r="939" ht="13.2" spans="1:25">
      <c r="A939" s="42">
        <v>938</v>
      </c>
      <c r="B939" s="43" t="s">
        <v>1275</v>
      </c>
      <c r="C939" s="43"/>
      <c r="D939" s="43"/>
      <c r="E939" s="43"/>
      <c r="F939" s="43"/>
      <c r="G939" s="43"/>
      <c r="H939" s="43"/>
      <c r="I939" s="43"/>
      <c r="J939" s="43"/>
      <c r="K939" s="43"/>
      <c r="L939" s="43"/>
      <c r="M939" s="43"/>
      <c r="N939" s="43"/>
      <c r="O939" s="43"/>
      <c r="P939" s="43"/>
      <c r="Q939" s="43"/>
      <c r="R939" s="43"/>
      <c r="S939" s="43"/>
      <c r="T939" s="43"/>
      <c r="U939" s="43"/>
      <c r="V939" s="43"/>
      <c r="W939" s="43"/>
      <c r="X939" s="43"/>
      <c r="Y939" s="43"/>
    </row>
    <row r="940" ht="13.2" spans="1:25">
      <c r="A940" s="42">
        <v>939</v>
      </c>
      <c r="B940" s="43" t="s">
        <v>1276</v>
      </c>
      <c r="C940" s="43"/>
      <c r="D940" s="43"/>
      <c r="E940" s="43"/>
      <c r="F940" s="43"/>
      <c r="G940" s="43"/>
      <c r="H940" s="43"/>
      <c r="I940" s="43"/>
      <c r="J940" s="43"/>
      <c r="K940" s="43"/>
      <c r="L940" s="43"/>
      <c r="M940" s="43"/>
      <c r="N940" s="43"/>
      <c r="O940" s="43"/>
      <c r="P940" s="43"/>
      <c r="Q940" s="43"/>
      <c r="R940" s="43"/>
      <c r="S940" s="43"/>
      <c r="T940" s="43"/>
      <c r="U940" s="43"/>
      <c r="V940" s="43"/>
      <c r="W940" s="43"/>
      <c r="X940" s="43"/>
      <c r="Y940" s="43"/>
    </row>
    <row r="941" ht="13.2" spans="1:25">
      <c r="A941" s="42">
        <v>940</v>
      </c>
      <c r="B941" s="43" t="s">
        <v>1277</v>
      </c>
      <c r="C941" s="43"/>
      <c r="D941" s="43"/>
      <c r="E941" s="43"/>
      <c r="F941" s="43"/>
      <c r="G941" s="43"/>
      <c r="H941" s="43"/>
      <c r="I941" s="43"/>
      <c r="J941" s="43"/>
      <c r="K941" s="43"/>
      <c r="L941" s="43"/>
      <c r="M941" s="43"/>
      <c r="N941" s="43"/>
      <c r="O941" s="43"/>
      <c r="P941" s="43"/>
      <c r="Q941" s="43"/>
      <c r="R941" s="43"/>
      <c r="S941" s="43"/>
      <c r="T941" s="43"/>
      <c r="U941" s="43"/>
      <c r="V941" s="43"/>
      <c r="W941" s="43"/>
      <c r="X941" s="43"/>
      <c r="Y941" s="43"/>
    </row>
    <row r="942" ht="13.2" spans="1:25">
      <c r="A942" s="42">
        <v>941</v>
      </c>
      <c r="B942" s="43" t="s">
        <v>1278</v>
      </c>
      <c r="C942" s="43"/>
      <c r="D942" s="43"/>
      <c r="E942" s="43"/>
      <c r="F942" s="43"/>
      <c r="G942" s="43"/>
      <c r="H942" s="43"/>
      <c r="I942" s="43"/>
      <c r="J942" s="43"/>
      <c r="K942" s="43"/>
      <c r="L942" s="43"/>
      <c r="M942" s="43"/>
      <c r="N942" s="43"/>
      <c r="O942" s="43"/>
      <c r="P942" s="43"/>
      <c r="Q942" s="43"/>
      <c r="R942" s="43"/>
      <c r="S942" s="43"/>
      <c r="T942" s="43"/>
      <c r="U942" s="43"/>
      <c r="V942" s="43"/>
      <c r="W942" s="43"/>
      <c r="X942" s="43"/>
      <c r="Y942" s="43"/>
    </row>
    <row r="943" ht="13.2" spans="1:25">
      <c r="A943" s="42">
        <v>942</v>
      </c>
      <c r="B943" s="43" t="s">
        <v>1279</v>
      </c>
      <c r="C943" s="43"/>
      <c r="D943" s="43"/>
      <c r="E943" s="43"/>
      <c r="F943" s="43"/>
      <c r="G943" s="43"/>
      <c r="H943" s="43"/>
      <c r="I943" s="43"/>
      <c r="J943" s="43"/>
      <c r="K943" s="43"/>
      <c r="L943" s="43"/>
      <c r="M943" s="43"/>
      <c r="N943" s="43"/>
      <c r="O943" s="43"/>
      <c r="P943" s="43"/>
      <c r="Q943" s="43"/>
      <c r="R943" s="43"/>
      <c r="S943" s="43"/>
      <c r="T943" s="43"/>
      <c r="U943" s="43"/>
      <c r="V943" s="43"/>
      <c r="W943" s="43"/>
      <c r="X943" s="43"/>
      <c r="Y943" s="43"/>
    </row>
    <row r="944" ht="13.2" spans="1:25">
      <c r="A944" s="42">
        <v>943</v>
      </c>
      <c r="B944" s="43" t="s">
        <v>1280</v>
      </c>
      <c r="C944" s="43"/>
      <c r="D944" s="43"/>
      <c r="E944" s="43"/>
      <c r="F944" s="43"/>
      <c r="G944" s="43"/>
      <c r="H944" s="43"/>
      <c r="I944" s="43"/>
      <c r="J944" s="43"/>
      <c r="K944" s="43"/>
      <c r="L944" s="43"/>
      <c r="M944" s="43"/>
      <c r="N944" s="43"/>
      <c r="O944" s="43"/>
      <c r="P944" s="43"/>
      <c r="Q944" s="43"/>
      <c r="R944" s="43"/>
      <c r="S944" s="43"/>
      <c r="T944" s="43"/>
      <c r="U944" s="43"/>
      <c r="V944" s="43"/>
      <c r="W944" s="43"/>
      <c r="X944" s="43"/>
      <c r="Y944" s="43"/>
    </row>
    <row r="945" ht="13.2" spans="1:25">
      <c r="A945" s="42">
        <v>944</v>
      </c>
      <c r="B945" s="43" t="s">
        <v>1281</v>
      </c>
      <c r="C945" s="43"/>
      <c r="D945" s="43"/>
      <c r="E945" s="43"/>
      <c r="F945" s="43"/>
      <c r="G945" s="43"/>
      <c r="H945" s="43"/>
      <c r="I945" s="43"/>
      <c r="J945" s="43"/>
      <c r="K945" s="43"/>
      <c r="L945" s="43"/>
      <c r="M945" s="43"/>
      <c r="N945" s="43"/>
      <c r="O945" s="43"/>
      <c r="P945" s="43"/>
      <c r="Q945" s="43"/>
      <c r="R945" s="43"/>
      <c r="S945" s="43"/>
      <c r="T945" s="43"/>
      <c r="U945" s="43"/>
      <c r="V945" s="43"/>
      <c r="W945" s="43"/>
      <c r="X945" s="43"/>
      <c r="Y945" s="43"/>
    </row>
    <row r="946" ht="13.2" spans="1:25">
      <c r="A946" s="42">
        <v>945</v>
      </c>
      <c r="B946" s="43" t="s">
        <v>1282</v>
      </c>
      <c r="C946" s="43"/>
      <c r="D946" s="43"/>
      <c r="E946" s="43"/>
      <c r="F946" s="43"/>
      <c r="G946" s="43"/>
      <c r="H946" s="43"/>
      <c r="I946" s="43"/>
      <c r="J946" s="43"/>
      <c r="K946" s="43"/>
      <c r="L946" s="43"/>
      <c r="M946" s="43"/>
      <c r="N946" s="43"/>
      <c r="O946" s="43"/>
      <c r="P946" s="43"/>
      <c r="Q946" s="43"/>
      <c r="R946" s="43"/>
      <c r="S946" s="43"/>
      <c r="T946" s="43"/>
      <c r="U946" s="43"/>
      <c r="V946" s="43"/>
      <c r="W946" s="43"/>
      <c r="X946" s="43"/>
      <c r="Y946" s="43"/>
    </row>
    <row r="947" ht="13.2" spans="1:25">
      <c r="A947" s="42">
        <v>946</v>
      </c>
      <c r="B947" s="43" t="s">
        <v>1283</v>
      </c>
      <c r="C947" s="43"/>
      <c r="D947" s="43"/>
      <c r="E947" s="43"/>
      <c r="F947" s="43"/>
      <c r="G947" s="43"/>
      <c r="H947" s="43"/>
      <c r="I947" s="43"/>
      <c r="J947" s="43"/>
      <c r="K947" s="43"/>
      <c r="L947" s="43"/>
      <c r="M947" s="43"/>
      <c r="N947" s="43"/>
      <c r="O947" s="43"/>
      <c r="P947" s="43"/>
      <c r="Q947" s="43"/>
      <c r="R947" s="43"/>
      <c r="S947" s="43"/>
      <c r="T947" s="43"/>
      <c r="U947" s="43"/>
      <c r="V947" s="43"/>
      <c r="W947" s="43"/>
      <c r="X947" s="43"/>
      <c r="Y947" s="43"/>
    </row>
    <row r="948" ht="13.2" spans="1:25">
      <c r="A948" s="42">
        <v>947</v>
      </c>
      <c r="B948" s="43" t="s">
        <v>1284</v>
      </c>
      <c r="C948" s="43"/>
      <c r="D948" s="43"/>
      <c r="E948" s="43"/>
      <c r="F948" s="43"/>
      <c r="G948" s="43"/>
      <c r="H948" s="43"/>
      <c r="I948" s="43"/>
      <c r="J948" s="43"/>
      <c r="K948" s="43"/>
      <c r="L948" s="43"/>
      <c r="M948" s="43"/>
      <c r="N948" s="43"/>
      <c r="O948" s="43"/>
      <c r="P948" s="43"/>
      <c r="Q948" s="43"/>
      <c r="R948" s="43"/>
      <c r="S948" s="43"/>
      <c r="T948" s="43"/>
      <c r="U948" s="43"/>
      <c r="V948" s="43"/>
      <c r="W948" s="43"/>
      <c r="X948" s="43"/>
      <c r="Y948" s="43"/>
    </row>
    <row r="949" ht="13.2" spans="1:25">
      <c r="A949" s="42">
        <v>948</v>
      </c>
      <c r="B949" s="43" t="s">
        <v>1285</v>
      </c>
      <c r="C949" s="43"/>
      <c r="D949" s="43"/>
      <c r="E949" s="43"/>
      <c r="F949" s="43"/>
      <c r="G949" s="43"/>
      <c r="H949" s="43"/>
      <c r="I949" s="43"/>
      <c r="J949" s="43"/>
      <c r="K949" s="43"/>
      <c r="L949" s="43"/>
      <c r="M949" s="43"/>
      <c r="N949" s="43"/>
      <c r="O949" s="43"/>
      <c r="P949" s="43"/>
      <c r="Q949" s="43"/>
      <c r="R949" s="43"/>
      <c r="S949" s="43"/>
      <c r="T949" s="43"/>
      <c r="U949" s="43"/>
      <c r="V949" s="43"/>
      <c r="W949" s="43"/>
      <c r="X949" s="43"/>
      <c r="Y949" s="43"/>
    </row>
    <row r="950" ht="13.2" spans="1:25">
      <c r="A950" s="42">
        <v>949</v>
      </c>
      <c r="B950" s="43" t="s">
        <v>1286</v>
      </c>
      <c r="C950" s="43"/>
      <c r="D950" s="43"/>
      <c r="E950" s="43"/>
      <c r="F950" s="43"/>
      <c r="G950" s="43"/>
      <c r="H950" s="43"/>
      <c r="I950" s="43"/>
      <c r="J950" s="43"/>
      <c r="K950" s="43"/>
      <c r="L950" s="43"/>
      <c r="M950" s="43"/>
      <c r="N950" s="43"/>
      <c r="O950" s="43"/>
      <c r="P950" s="43"/>
      <c r="Q950" s="43"/>
      <c r="R950" s="43"/>
      <c r="S950" s="43"/>
      <c r="T950" s="43"/>
      <c r="U950" s="43"/>
      <c r="V950" s="43"/>
      <c r="W950" s="43"/>
      <c r="X950" s="43"/>
      <c r="Y950" s="43"/>
    </row>
    <row r="951" ht="13.2" spans="1:25">
      <c r="A951" s="42">
        <v>950</v>
      </c>
      <c r="B951" s="43" t="s">
        <v>1287</v>
      </c>
      <c r="C951" s="43"/>
      <c r="D951" s="43"/>
      <c r="E951" s="43"/>
      <c r="F951" s="43"/>
      <c r="G951" s="43"/>
      <c r="H951" s="43"/>
      <c r="I951" s="43"/>
      <c r="J951" s="43"/>
      <c r="K951" s="43"/>
      <c r="L951" s="43"/>
      <c r="M951" s="43"/>
      <c r="N951" s="43"/>
      <c r="O951" s="43"/>
      <c r="P951" s="43"/>
      <c r="Q951" s="43"/>
      <c r="R951" s="43"/>
      <c r="S951" s="43"/>
      <c r="T951" s="43"/>
      <c r="U951" s="43"/>
      <c r="V951" s="43"/>
      <c r="W951" s="43"/>
      <c r="X951" s="43"/>
      <c r="Y951" s="43"/>
    </row>
    <row r="952" ht="13.2" spans="1:25">
      <c r="A952" s="42">
        <v>951</v>
      </c>
      <c r="B952" s="43" t="s">
        <v>1288</v>
      </c>
      <c r="C952" s="43"/>
      <c r="D952" s="43"/>
      <c r="E952" s="43"/>
      <c r="F952" s="43"/>
      <c r="G952" s="43"/>
      <c r="H952" s="43"/>
      <c r="I952" s="43"/>
      <c r="J952" s="43"/>
      <c r="K952" s="43"/>
      <c r="L952" s="43"/>
      <c r="M952" s="43"/>
      <c r="N952" s="43"/>
      <c r="O952" s="43"/>
      <c r="P952" s="43"/>
      <c r="Q952" s="43"/>
      <c r="R952" s="43"/>
      <c r="S952" s="43"/>
      <c r="T952" s="43"/>
      <c r="U952" s="43"/>
      <c r="V952" s="43"/>
      <c r="W952" s="43"/>
      <c r="X952" s="43"/>
      <c r="Y952" s="43"/>
    </row>
    <row r="953" ht="13.2" spans="1:25">
      <c r="A953" s="42">
        <v>952</v>
      </c>
      <c r="B953" s="43" t="s">
        <v>1289</v>
      </c>
      <c r="C953" s="43"/>
      <c r="D953" s="43"/>
      <c r="E953" s="43"/>
      <c r="F953" s="43"/>
      <c r="G953" s="43"/>
      <c r="H953" s="43"/>
      <c r="I953" s="43"/>
      <c r="J953" s="43"/>
      <c r="K953" s="43"/>
      <c r="L953" s="43"/>
      <c r="M953" s="43"/>
      <c r="N953" s="43"/>
      <c r="O953" s="43"/>
      <c r="P953" s="43"/>
      <c r="Q953" s="43"/>
      <c r="R953" s="43"/>
      <c r="S953" s="43"/>
      <c r="T953" s="43"/>
      <c r="U953" s="43"/>
      <c r="V953" s="43"/>
      <c r="W953" s="43"/>
      <c r="X953" s="43"/>
      <c r="Y953" s="43"/>
    </row>
    <row r="954" ht="13.2" spans="1:25">
      <c r="A954" s="42">
        <v>953</v>
      </c>
      <c r="B954" s="43" t="s">
        <v>1290</v>
      </c>
      <c r="C954" s="43"/>
      <c r="D954" s="43"/>
      <c r="E954" s="43"/>
      <c r="F954" s="43"/>
      <c r="G954" s="43"/>
      <c r="H954" s="43"/>
      <c r="I954" s="43"/>
      <c r="J954" s="43"/>
      <c r="K954" s="43"/>
      <c r="L954" s="43"/>
      <c r="M954" s="43"/>
      <c r="N954" s="43"/>
      <c r="O954" s="43"/>
      <c r="P954" s="43"/>
      <c r="Q954" s="43"/>
      <c r="R954" s="43"/>
      <c r="S954" s="43"/>
      <c r="T954" s="43"/>
      <c r="U954" s="43"/>
      <c r="V954" s="43"/>
      <c r="W954" s="43"/>
      <c r="X954" s="43"/>
      <c r="Y954" s="43"/>
    </row>
    <row r="955" ht="13.2" spans="1:25">
      <c r="A955" s="42">
        <v>954</v>
      </c>
      <c r="B955" s="43" t="s">
        <v>1291</v>
      </c>
      <c r="C955" s="43"/>
      <c r="D955" s="43"/>
      <c r="E955" s="43"/>
      <c r="F955" s="43"/>
      <c r="G955" s="43"/>
      <c r="H955" s="43"/>
      <c r="I955" s="43"/>
      <c r="J955" s="43"/>
      <c r="K955" s="43"/>
      <c r="L955" s="43"/>
      <c r="M955" s="43"/>
      <c r="N955" s="43"/>
      <c r="O955" s="43"/>
      <c r="P955" s="43"/>
      <c r="Q955" s="43"/>
      <c r="R955" s="43"/>
      <c r="S955" s="43"/>
      <c r="T955" s="43"/>
      <c r="U955" s="43"/>
      <c r="V955" s="43"/>
      <c r="W955" s="43"/>
      <c r="X955" s="43"/>
      <c r="Y955" s="43"/>
    </row>
    <row r="956" ht="13.2" spans="1:25">
      <c r="A956" s="42">
        <v>955</v>
      </c>
      <c r="B956" s="42" t="s">
        <v>1292</v>
      </c>
      <c r="C956" s="43"/>
      <c r="D956" s="43"/>
      <c r="E956" s="43"/>
      <c r="F956" s="43"/>
      <c r="G956" s="43"/>
      <c r="H956" s="43"/>
      <c r="I956" s="43"/>
      <c r="J956" s="43"/>
      <c r="K956" s="43"/>
      <c r="L956" s="43"/>
      <c r="M956" s="43"/>
      <c r="N956" s="43"/>
      <c r="O956" s="43"/>
      <c r="P956" s="43"/>
      <c r="Q956" s="43"/>
      <c r="R956" s="43"/>
      <c r="S956" s="43"/>
      <c r="T956" s="43"/>
      <c r="U956" s="43"/>
      <c r="V956" s="43"/>
      <c r="W956" s="43"/>
      <c r="X956" s="43"/>
      <c r="Y956" s="43"/>
    </row>
    <row r="957" ht="13.2" spans="1:25">
      <c r="A957" s="42">
        <v>956</v>
      </c>
      <c r="B957" s="43" t="s">
        <v>1293</v>
      </c>
      <c r="C957" s="43"/>
      <c r="D957" s="43"/>
      <c r="E957" s="43"/>
      <c r="F957" s="43"/>
      <c r="G957" s="43"/>
      <c r="H957" s="43"/>
      <c r="I957" s="43"/>
      <c r="J957" s="43"/>
      <c r="K957" s="43"/>
      <c r="L957" s="43"/>
      <c r="M957" s="43"/>
      <c r="N957" s="43"/>
      <c r="O957" s="43"/>
      <c r="P957" s="43"/>
      <c r="Q957" s="43"/>
      <c r="R957" s="43"/>
      <c r="S957" s="43"/>
      <c r="T957" s="43"/>
      <c r="U957" s="43"/>
      <c r="V957" s="43"/>
      <c r="W957" s="43"/>
      <c r="X957" s="43"/>
      <c r="Y957" s="43"/>
    </row>
    <row r="958" ht="13.2" spans="1:25">
      <c r="A958" s="42">
        <v>957</v>
      </c>
      <c r="B958" s="43" t="s">
        <v>1294</v>
      </c>
      <c r="C958" s="43"/>
      <c r="D958" s="43"/>
      <c r="E958" s="43"/>
      <c r="F958" s="43"/>
      <c r="G958" s="43"/>
      <c r="H958" s="43"/>
      <c r="I958" s="43"/>
      <c r="J958" s="43"/>
      <c r="K958" s="43"/>
      <c r="L958" s="43"/>
      <c r="M958" s="43"/>
      <c r="N958" s="43"/>
      <c r="O958" s="43"/>
      <c r="P958" s="43"/>
      <c r="Q958" s="43"/>
      <c r="R958" s="43"/>
      <c r="S958" s="43"/>
      <c r="T958" s="43"/>
      <c r="U958" s="43"/>
      <c r="V958" s="43"/>
      <c r="W958" s="43"/>
      <c r="X958" s="43"/>
      <c r="Y958" s="43"/>
    </row>
    <row r="959" ht="13.2" spans="1:25">
      <c r="A959" s="42">
        <v>958</v>
      </c>
      <c r="B959" s="43" t="s">
        <v>1295</v>
      </c>
      <c r="C959" s="43"/>
      <c r="D959" s="43"/>
      <c r="E959" s="43"/>
      <c r="F959" s="43"/>
      <c r="G959" s="43"/>
      <c r="H959" s="43"/>
      <c r="I959" s="43"/>
      <c r="J959" s="43"/>
      <c r="K959" s="43"/>
      <c r="L959" s="43"/>
      <c r="M959" s="43"/>
      <c r="N959" s="43"/>
      <c r="O959" s="43"/>
      <c r="P959" s="43"/>
      <c r="Q959" s="43"/>
      <c r="R959" s="43"/>
      <c r="S959" s="43"/>
      <c r="T959" s="43"/>
      <c r="U959" s="43"/>
      <c r="V959" s="43"/>
      <c r="W959" s="43"/>
      <c r="X959" s="43"/>
      <c r="Y959" s="43"/>
    </row>
    <row r="960" ht="13.2" spans="1:25">
      <c r="A960" s="42">
        <v>959</v>
      </c>
      <c r="B960" s="43" t="s">
        <v>1296</v>
      </c>
      <c r="C960" s="43"/>
      <c r="D960" s="43"/>
      <c r="E960" s="43"/>
      <c r="F960" s="43"/>
      <c r="G960" s="43"/>
      <c r="H960" s="43"/>
      <c r="I960" s="43"/>
      <c r="J960" s="43"/>
      <c r="K960" s="43"/>
      <c r="L960" s="43"/>
      <c r="M960" s="43"/>
      <c r="N960" s="43"/>
      <c r="O960" s="43"/>
      <c r="P960" s="43"/>
      <c r="Q960" s="43"/>
      <c r="R960" s="43"/>
      <c r="S960" s="43"/>
      <c r="T960" s="43"/>
      <c r="U960" s="43"/>
      <c r="V960" s="43"/>
      <c r="W960" s="43"/>
      <c r="X960" s="43"/>
      <c r="Y960" s="43"/>
    </row>
    <row r="961" ht="13.2" spans="1:25">
      <c r="A961" s="42">
        <v>960</v>
      </c>
      <c r="B961" s="43" t="s">
        <v>1297</v>
      </c>
      <c r="C961" s="43"/>
      <c r="D961" s="43"/>
      <c r="E961" s="43"/>
      <c r="F961" s="43"/>
      <c r="G961" s="43"/>
      <c r="H961" s="43"/>
      <c r="I961" s="43"/>
      <c r="J961" s="43"/>
      <c r="K961" s="43"/>
      <c r="L961" s="43"/>
      <c r="M961" s="43"/>
      <c r="N961" s="43"/>
      <c r="O961" s="43"/>
      <c r="P961" s="43"/>
      <c r="Q961" s="43"/>
      <c r="R961" s="43"/>
      <c r="S961" s="43"/>
      <c r="T961" s="43"/>
      <c r="U961" s="43"/>
      <c r="V961" s="43"/>
      <c r="W961" s="43"/>
      <c r="X961" s="43"/>
      <c r="Y961" s="43"/>
    </row>
    <row r="962" ht="13.2" spans="1:25">
      <c r="A962" s="42">
        <v>961</v>
      </c>
      <c r="B962" s="43" t="s">
        <v>1298</v>
      </c>
      <c r="C962" s="43"/>
      <c r="D962" s="43"/>
      <c r="E962" s="43"/>
      <c r="F962" s="43"/>
      <c r="G962" s="43"/>
      <c r="H962" s="43"/>
      <c r="I962" s="43"/>
      <c r="J962" s="43"/>
      <c r="K962" s="43"/>
      <c r="L962" s="43"/>
      <c r="M962" s="43"/>
      <c r="N962" s="43"/>
      <c r="O962" s="43"/>
      <c r="P962" s="43"/>
      <c r="Q962" s="43"/>
      <c r="R962" s="43"/>
      <c r="S962" s="43"/>
      <c r="T962" s="43"/>
      <c r="U962" s="43"/>
      <c r="V962" s="43"/>
      <c r="W962" s="43"/>
      <c r="X962" s="43"/>
      <c r="Y962" s="43"/>
    </row>
    <row r="963" ht="13.2" spans="1:25">
      <c r="A963" s="42">
        <v>962</v>
      </c>
      <c r="B963" s="43" t="s">
        <v>1299</v>
      </c>
      <c r="C963" s="43"/>
      <c r="D963" s="43"/>
      <c r="E963" s="43"/>
      <c r="F963" s="43"/>
      <c r="G963" s="43"/>
      <c r="H963" s="43"/>
      <c r="I963" s="43"/>
      <c r="J963" s="43"/>
      <c r="K963" s="43"/>
      <c r="L963" s="43"/>
      <c r="M963" s="43"/>
      <c r="N963" s="43"/>
      <c r="O963" s="43"/>
      <c r="P963" s="43"/>
      <c r="Q963" s="43"/>
      <c r="R963" s="43"/>
      <c r="S963" s="43"/>
      <c r="T963" s="43"/>
      <c r="U963" s="43"/>
      <c r="V963" s="43"/>
      <c r="W963" s="43"/>
      <c r="X963" s="43"/>
      <c r="Y963" s="43"/>
    </row>
    <row r="964" ht="13.2" spans="1:25">
      <c r="A964" s="42">
        <v>963</v>
      </c>
      <c r="B964" s="43" t="s">
        <v>1300</v>
      </c>
      <c r="C964" s="43"/>
      <c r="D964" s="43"/>
      <c r="E964" s="43"/>
      <c r="F964" s="43"/>
      <c r="G964" s="43"/>
      <c r="H964" s="43"/>
      <c r="I964" s="43"/>
      <c r="J964" s="43"/>
      <c r="K964" s="43"/>
      <c r="L964" s="43"/>
      <c r="M964" s="43"/>
      <c r="N964" s="43"/>
      <c r="O964" s="43"/>
      <c r="P964" s="43"/>
      <c r="Q964" s="43"/>
      <c r="R964" s="43"/>
      <c r="S964" s="43"/>
      <c r="T964" s="43"/>
      <c r="U964" s="43"/>
      <c r="V964" s="43"/>
      <c r="W964" s="43"/>
      <c r="X964" s="43"/>
      <c r="Y964" s="43"/>
    </row>
    <row r="965" ht="13.2" spans="1:25">
      <c r="A965" s="42">
        <v>964</v>
      </c>
      <c r="B965" s="43" t="s">
        <v>1301</v>
      </c>
      <c r="C965" s="43"/>
      <c r="D965" s="43"/>
      <c r="E965" s="43"/>
      <c r="F965" s="43"/>
      <c r="G965" s="43"/>
      <c r="H965" s="43"/>
      <c r="I965" s="43"/>
      <c r="J965" s="43"/>
      <c r="K965" s="43"/>
      <c r="L965" s="43"/>
      <c r="M965" s="43"/>
      <c r="N965" s="43"/>
      <c r="O965" s="43"/>
      <c r="P965" s="43"/>
      <c r="Q965" s="43"/>
      <c r="R965" s="43"/>
      <c r="S965" s="43"/>
      <c r="T965" s="43"/>
      <c r="U965" s="43"/>
      <c r="V965" s="43"/>
      <c r="W965" s="43"/>
      <c r="X965" s="43"/>
      <c r="Y965" s="43"/>
    </row>
    <row r="966" ht="13.2" spans="1:25">
      <c r="A966" s="42">
        <v>965</v>
      </c>
      <c r="B966" s="43" t="s">
        <v>1302</v>
      </c>
      <c r="C966" s="43"/>
      <c r="D966" s="43"/>
      <c r="E966" s="43"/>
      <c r="F966" s="43"/>
      <c r="G966" s="43"/>
      <c r="H966" s="43"/>
      <c r="I966" s="43"/>
      <c r="J966" s="43"/>
      <c r="K966" s="43"/>
      <c r="L966" s="43"/>
      <c r="M966" s="43"/>
      <c r="N966" s="43"/>
      <c r="O966" s="43"/>
      <c r="P966" s="43"/>
      <c r="Q966" s="43"/>
      <c r="R966" s="43"/>
      <c r="S966" s="43"/>
      <c r="T966" s="43"/>
      <c r="U966" s="43"/>
      <c r="V966" s="43"/>
      <c r="W966" s="43"/>
      <c r="X966" s="43"/>
      <c r="Y966" s="43"/>
    </row>
    <row r="967" ht="13.2" spans="1:25">
      <c r="A967" s="42">
        <v>966</v>
      </c>
      <c r="B967" s="43" t="s">
        <v>1303</v>
      </c>
      <c r="C967" s="43"/>
      <c r="D967" s="43"/>
      <c r="E967" s="43"/>
      <c r="F967" s="43"/>
      <c r="G967" s="43"/>
      <c r="H967" s="43"/>
      <c r="I967" s="43"/>
      <c r="J967" s="43"/>
      <c r="K967" s="43"/>
      <c r="L967" s="43"/>
      <c r="M967" s="43"/>
      <c r="N967" s="43"/>
      <c r="O967" s="43"/>
      <c r="P967" s="43"/>
      <c r="Q967" s="43"/>
      <c r="R967" s="43"/>
      <c r="S967" s="43"/>
      <c r="T967" s="43"/>
      <c r="U967" s="43"/>
      <c r="V967" s="43"/>
      <c r="W967" s="43"/>
      <c r="X967" s="43"/>
      <c r="Y967" s="43"/>
    </row>
    <row r="968" ht="13.2" spans="1:25">
      <c r="A968" s="42">
        <v>967</v>
      </c>
      <c r="B968" s="43" t="s">
        <v>1304</v>
      </c>
      <c r="C968" s="43"/>
      <c r="D968" s="43"/>
      <c r="E968" s="43"/>
      <c r="F968" s="43"/>
      <c r="G968" s="43"/>
      <c r="H968" s="43"/>
      <c r="I968" s="43"/>
      <c r="J968" s="43"/>
      <c r="K968" s="43"/>
      <c r="L968" s="43"/>
      <c r="M968" s="43"/>
      <c r="N968" s="43"/>
      <c r="O968" s="43"/>
      <c r="P968" s="43"/>
      <c r="Q968" s="43"/>
      <c r="R968" s="43"/>
      <c r="S968" s="43"/>
      <c r="T968" s="43"/>
      <c r="U968" s="43"/>
      <c r="V968" s="43"/>
      <c r="W968" s="43"/>
      <c r="X968" s="43"/>
      <c r="Y968" s="43"/>
    </row>
    <row r="969" ht="13.2" spans="1:25">
      <c r="A969" s="42">
        <v>968</v>
      </c>
      <c r="B969" s="43" t="s">
        <v>1305</v>
      </c>
      <c r="C969" s="43"/>
      <c r="D969" s="43"/>
      <c r="E969" s="43"/>
      <c r="F969" s="43"/>
      <c r="G969" s="43"/>
      <c r="H969" s="43"/>
      <c r="I969" s="43"/>
      <c r="J969" s="43"/>
      <c r="K969" s="43"/>
      <c r="L969" s="43"/>
      <c r="M969" s="43"/>
      <c r="N969" s="43"/>
      <c r="O969" s="43"/>
      <c r="P969" s="43"/>
      <c r="Q969" s="43"/>
      <c r="R969" s="43"/>
      <c r="S969" s="43"/>
      <c r="T969" s="43"/>
      <c r="U969" s="43"/>
      <c r="V969" s="43"/>
      <c r="W969" s="43"/>
      <c r="X969" s="43"/>
      <c r="Y969" s="43"/>
    </row>
    <row r="970" ht="13.2" spans="1:25">
      <c r="A970" s="42">
        <v>969</v>
      </c>
      <c r="B970" s="43" t="s">
        <v>1306</v>
      </c>
      <c r="C970" s="43"/>
      <c r="D970" s="43"/>
      <c r="E970" s="43"/>
      <c r="F970" s="43"/>
      <c r="G970" s="43"/>
      <c r="H970" s="43"/>
      <c r="I970" s="43"/>
      <c r="J970" s="43"/>
      <c r="K970" s="43"/>
      <c r="L970" s="43"/>
      <c r="M970" s="43"/>
      <c r="N970" s="43"/>
      <c r="O970" s="43"/>
      <c r="P970" s="43"/>
      <c r="Q970" s="43"/>
      <c r="R970" s="43"/>
      <c r="S970" s="43"/>
      <c r="T970" s="43"/>
      <c r="U970" s="43"/>
      <c r="V970" s="43"/>
      <c r="W970" s="43"/>
      <c r="X970" s="43"/>
      <c r="Y970" s="43"/>
    </row>
    <row r="971" ht="13.2" spans="1:25">
      <c r="A971" s="42">
        <v>970</v>
      </c>
      <c r="B971" s="43" t="s">
        <v>1307</v>
      </c>
      <c r="C971" s="43"/>
      <c r="D971" s="43"/>
      <c r="E971" s="43"/>
      <c r="F971" s="43"/>
      <c r="G971" s="43"/>
      <c r="H971" s="43"/>
      <c r="I971" s="43"/>
      <c r="J971" s="43"/>
      <c r="K971" s="43"/>
      <c r="L971" s="43"/>
      <c r="M971" s="43"/>
      <c r="N971" s="43"/>
      <c r="O971" s="43"/>
      <c r="P971" s="43"/>
      <c r="Q971" s="43"/>
      <c r="R971" s="43"/>
      <c r="S971" s="43"/>
      <c r="T971" s="43"/>
      <c r="U971" s="43"/>
      <c r="V971" s="43"/>
      <c r="W971" s="43"/>
      <c r="X971" s="43"/>
      <c r="Y971" s="43"/>
    </row>
    <row r="972" ht="13.2" spans="1:25">
      <c r="A972" s="42">
        <v>971</v>
      </c>
      <c r="B972" s="43" t="s">
        <v>1308</v>
      </c>
      <c r="C972" s="43"/>
      <c r="D972" s="43"/>
      <c r="E972" s="43"/>
      <c r="F972" s="43"/>
      <c r="G972" s="43"/>
      <c r="H972" s="43"/>
      <c r="I972" s="43"/>
      <c r="J972" s="43"/>
      <c r="K972" s="43"/>
      <c r="L972" s="43"/>
      <c r="M972" s="43"/>
      <c r="N972" s="43"/>
      <c r="O972" s="43"/>
      <c r="P972" s="43"/>
      <c r="Q972" s="43"/>
      <c r="R972" s="43"/>
      <c r="S972" s="43"/>
      <c r="T972" s="43"/>
      <c r="U972" s="43"/>
      <c r="V972" s="43"/>
      <c r="W972" s="43"/>
      <c r="X972" s="43"/>
      <c r="Y972" s="43"/>
    </row>
    <row r="973" ht="13.2" spans="1:25">
      <c r="A973" s="42">
        <v>972</v>
      </c>
      <c r="B973" s="43" t="s">
        <v>1309</v>
      </c>
      <c r="C973" s="43"/>
      <c r="D973" s="43"/>
      <c r="E973" s="43"/>
      <c r="F973" s="43"/>
      <c r="G973" s="43"/>
      <c r="H973" s="43"/>
      <c r="I973" s="43"/>
      <c r="J973" s="43"/>
      <c r="K973" s="43"/>
      <c r="L973" s="43"/>
      <c r="M973" s="43"/>
      <c r="N973" s="43"/>
      <c r="O973" s="43"/>
      <c r="P973" s="43"/>
      <c r="Q973" s="43"/>
      <c r="R973" s="43"/>
      <c r="S973" s="43"/>
      <c r="T973" s="43"/>
      <c r="U973" s="43"/>
      <c r="V973" s="43"/>
      <c r="W973" s="43"/>
      <c r="X973" s="43"/>
      <c r="Y973" s="43"/>
    </row>
    <row r="974" ht="13.2" spans="1:25">
      <c r="A974" s="42">
        <v>973</v>
      </c>
      <c r="B974" s="43" t="s">
        <v>1310</v>
      </c>
      <c r="C974" s="43"/>
      <c r="D974" s="43"/>
      <c r="E974" s="43"/>
      <c r="F974" s="43"/>
      <c r="G974" s="43"/>
      <c r="H974" s="43"/>
      <c r="I974" s="43"/>
      <c r="J974" s="43"/>
      <c r="K974" s="43"/>
      <c r="L974" s="43"/>
      <c r="M974" s="43"/>
      <c r="N974" s="43"/>
      <c r="O974" s="43"/>
      <c r="P974" s="43"/>
      <c r="Q974" s="43"/>
      <c r="R974" s="43"/>
      <c r="S974" s="43"/>
      <c r="T974" s="43"/>
      <c r="U974" s="43"/>
      <c r="V974" s="43"/>
      <c r="W974" s="43"/>
      <c r="X974" s="43"/>
      <c r="Y974" s="43"/>
    </row>
    <row r="975" ht="13.2" spans="1:25">
      <c r="A975" s="42">
        <v>974</v>
      </c>
      <c r="B975" s="43" t="s">
        <v>1311</v>
      </c>
      <c r="C975" s="43"/>
      <c r="D975" s="43"/>
      <c r="E975" s="43"/>
      <c r="F975" s="43"/>
      <c r="G975" s="43"/>
      <c r="H975" s="43"/>
      <c r="I975" s="43"/>
      <c r="J975" s="43"/>
      <c r="K975" s="43"/>
      <c r="L975" s="43"/>
      <c r="M975" s="43"/>
      <c r="N975" s="43"/>
      <c r="O975" s="43"/>
      <c r="P975" s="43"/>
      <c r="Q975" s="43"/>
      <c r="R975" s="43"/>
      <c r="S975" s="43"/>
      <c r="T975" s="43"/>
      <c r="U975" s="43"/>
      <c r="V975" s="43"/>
      <c r="W975" s="43"/>
      <c r="X975" s="43"/>
      <c r="Y975" s="43"/>
    </row>
    <row r="976" ht="13.2" spans="1:25">
      <c r="A976" s="42">
        <v>975</v>
      </c>
      <c r="B976" s="43" t="s">
        <v>1312</v>
      </c>
      <c r="C976" s="43"/>
      <c r="D976" s="43"/>
      <c r="E976" s="43"/>
      <c r="F976" s="43"/>
      <c r="G976" s="43"/>
      <c r="H976" s="43"/>
      <c r="I976" s="43"/>
      <c r="J976" s="43"/>
      <c r="K976" s="43"/>
      <c r="L976" s="43"/>
      <c r="M976" s="43"/>
      <c r="N976" s="43"/>
      <c r="O976" s="43"/>
      <c r="P976" s="43"/>
      <c r="Q976" s="43"/>
      <c r="R976" s="43"/>
      <c r="S976" s="43"/>
      <c r="T976" s="43"/>
      <c r="U976" s="43"/>
      <c r="V976" s="43"/>
      <c r="W976" s="43"/>
      <c r="X976" s="43"/>
      <c r="Y976" s="43"/>
    </row>
    <row r="977" ht="13.2" spans="1:25">
      <c r="A977" s="42">
        <v>976</v>
      </c>
      <c r="B977" s="43" t="s">
        <v>1313</v>
      </c>
      <c r="C977" s="43"/>
      <c r="D977" s="43"/>
      <c r="E977" s="43"/>
      <c r="F977" s="43"/>
      <c r="G977" s="43"/>
      <c r="H977" s="43"/>
      <c r="I977" s="43"/>
      <c r="J977" s="43"/>
      <c r="K977" s="43"/>
      <c r="L977" s="43"/>
      <c r="M977" s="43"/>
      <c r="N977" s="43"/>
      <c r="O977" s="43"/>
      <c r="P977" s="43"/>
      <c r="Q977" s="43"/>
      <c r="R977" s="43"/>
      <c r="S977" s="43"/>
      <c r="T977" s="43"/>
      <c r="U977" s="43"/>
      <c r="V977" s="43"/>
      <c r="W977" s="43"/>
      <c r="X977" s="43"/>
      <c r="Y977" s="43"/>
    </row>
    <row r="978" ht="13.2" spans="1:25">
      <c r="A978" s="42">
        <v>977</v>
      </c>
      <c r="B978" s="43" t="s">
        <v>1314</v>
      </c>
      <c r="C978" s="43"/>
      <c r="D978" s="43"/>
      <c r="E978" s="43"/>
      <c r="F978" s="43"/>
      <c r="G978" s="43"/>
      <c r="H978" s="43"/>
      <c r="I978" s="43"/>
      <c r="J978" s="43"/>
      <c r="K978" s="43"/>
      <c r="L978" s="43"/>
      <c r="M978" s="43"/>
      <c r="N978" s="43"/>
      <c r="O978" s="43"/>
      <c r="P978" s="43"/>
      <c r="Q978" s="43"/>
      <c r="R978" s="43"/>
      <c r="S978" s="43"/>
      <c r="T978" s="43"/>
      <c r="U978" s="43"/>
      <c r="V978" s="43"/>
      <c r="W978" s="43"/>
      <c r="X978" s="43"/>
      <c r="Y978" s="43"/>
    </row>
    <row r="979" ht="13.2" spans="1:25">
      <c r="A979" s="42">
        <v>978</v>
      </c>
      <c r="B979" s="43" t="s">
        <v>1315</v>
      </c>
      <c r="C979" s="43"/>
      <c r="D979" s="43"/>
      <c r="E979" s="43"/>
      <c r="F979" s="43"/>
      <c r="G979" s="43"/>
      <c r="H979" s="43"/>
      <c r="I979" s="43"/>
      <c r="J979" s="43"/>
      <c r="K979" s="43"/>
      <c r="L979" s="43"/>
      <c r="M979" s="43"/>
      <c r="N979" s="43"/>
      <c r="O979" s="43"/>
      <c r="P979" s="43"/>
      <c r="Q979" s="43"/>
      <c r="R979" s="43"/>
      <c r="S979" s="43"/>
      <c r="T979" s="43"/>
      <c r="U979" s="43"/>
      <c r="V979" s="43"/>
      <c r="W979" s="43"/>
      <c r="X979" s="43"/>
      <c r="Y979" s="43"/>
    </row>
    <row r="980" ht="13.2" spans="1:25">
      <c r="A980" s="42">
        <v>979</v>
      </c>
      <c r="B980" s="43" t="s">
        <v>1316</v>
      </c>
      <c r="C980" s="43"/>
      <c r="D980" s="43"/>
      <c r="E980" s="43"/>
      <c r="F980" s="43"/>
      <c r="G980" s="43"/>
      <c r="H980" s="43"/>
      <c r="I980" s="43"/>
      <c r="J980" s="43"/>
      <c r="K980" s="43"/>
      <c r="L980" s="43"/>
      <c r="M980" s="43"/>
      <c r="N980" s="43"/>
      <c r="O980" s="43"/>
      <c r="P980" s="43"/>
      <c r="Q980" s="43"/>
      <c r="R980" s="43"/>
      <c r="S980" s="43"/>
      <c r="T980" s="43"/>
      <c r="U980" s="43"/>
      <c r="V980" s="43"/>
      <c r="W980" s="43"/>
      <c r="X980" s="43"/>
      <c r="Y980" s="43"/>
    </row>
    <row r="981" ht="13.2" spans="1:25">
      <c r="A981" s="42">
        <v>980</v>
      </c>
      <c r="B981" s="43" t="s">
        <v>1317</v>
      </c>
      <c r="C981" s="43"/>
      <c r="D981" s="43"/>
      <c r="E981" s="43"/>
      <c r="F981" s="43"/>
      <c r="G981" s="43"/>
      <c r="H981" s="43"/>
      <c r="I981" s="43"/>
      <c r="J981" s="43"/>
      <c r="K981" s="43"/>
      <c r="L981" s="43"/>
      <c r="M981" s="43"/>
      <c r="N981" s="43"/>
      <c r="O981" s="43"/>
      <c r="P981" s="43"/>
      <c r="Q981" s="43"/>
      <c r="R981" s="43"/>
      <c r="S981" s="43"/>
      <c r="T981" s="43"/>
      <c r="U981" s="43"/>
      <c r="V981" s="43"/>
      <c r="W981" s="43"/>
      <c r="X981" s="43"/>
      <c r="Y981" s="43"/>
    </row>
    <row r="982" ht="13.2" spans="1:25">
      <c r="A982" s="42">
        <v>981</v>
      </c>
      <c r="B982" s="43" t="s">
        <v>1318</v>
      </c>
      <c r="C982" s="43"/>
      <c r="D982" s="43"/>
      <c r="E982" s="43"/>
      <c r="F982" s="43"/>
      <c r="G982" s="43"/>
      <c r="H982" s="43"/>
      <c r="I982" s="43"/>
      <c r="J982" s="43"/>
      <c r="K982" s="43"/>
      <c r="L982" s="43"/>
      <c r="M982" s="43"/>
      <c r="N982" s="43"/>
      <c r="O982" s="43"/>
      <c r="P982" s="43"/>
      <c r="Q982" s="43"/>
      <c r="R982" s="43"/>
      <c r="S982" s="43"/>
      <c r="T982" s="43"/>
      <c r="U982" s="43"/>
      <c r="V982" s="43"/>
      <c r="W982" s="43"/>
      <c r="X982" s="43"/>
      <c r="Y982" s="43"/>
    </row>
    <row r="983" ht="13.2" spans="1:25">
      <c r="A983" s="42">
        <v>982</v>
      </c>
      <c r="B983" s="43" t="s">
        <v>1319</v>
      </c>
      <c r="C983" s="43"/>
      <c r="D983" s="43"/>
      <c r="E983" s="43"/>
      <c r="F983" s="43"/>
      <c r="G983" s="43"/>
      <c r="H983" s="43"/>
      <c r="I983" s="43"/>
      <c r="J983" s="43"/>
      <c r="K983" s="43"/>
      <c r="L983" s="43"/>
      <c r="M983" s="43"/>
      <c r="N983" s="43"/>
      <c r="O983" s="43"/>
      <c r="P983" s="43"/>
      <c r="Q983" s="43"/>
      <c r="R983" s="43"/>
      <c r="S983" s="43"/>
      <c r="T983" s="43"/>
      <c r="U983" s="43"/>
      <c r="V983" s="43"/>
      <c r="W983" s="43"/>
      <c r="X983" s="43"/>
      <c r="Y983" s="43"/>
    </row>
    <row r="984" ht="13.2" spans="1:25">
      <c r="A984" s="42">
        <v>983</v>
      </c>
      <c r="B984" s="43" t="s">
        <v>1320</v>
      </c>
      <c r="C984" s="43"/>
      <c r="D984" s="43"/>
      <c r="E984" s="43"/>
      <c r="F984" s="43"/>
      <c r="G984" s="43"/>
      <c r="H984" s="43"/>
      <c r="I984" s="43"/>
      <c r="J984" s="43"/>
      <c r="K984" s="43"/>
      <c r="L984" s="43"/>
      <c r="M984" s="43"/>
      <c r="N984" s="43"/>
      <c r="O984" s="43"/>
      <c r="P984" s="43"/>
      <c r="Q984" s="43"/>
      <c r="R984" s="43"/>
      <c r="S984" s="43"/>
      <c r="T984" s="43"/>
      <c r="U984" s="43"/>
      <c r="V984" s="43"/>
      <c r="W984" s="43"/>
      <c r="X984" s="43"/>
      <c r="Y984" s="43"/>
    </row>
    <row r="985" ht="13.2" spans="1:25">
      <c r="A985" s="42">
        <v>984</v>
      </c>
      <c r="B985" s="43" t="s">
        <v>222</v>
      </c>
      <c r="C985" s="43"/>
      <c r="D985" s="43"/>
      <c r="E985" s="43"/>
      <c r="F985" s="43"/>
      <c r="G985" s="43"/>
      <c r="H985" s="43"/>
      <c r="I985" s="43"/>
      <c r="J985" s="43"/>
      <c r="K985" s="43"/>
      <c r="L985" s="43"/>
      <c r="M985" s="43"/>
      <c r="N985" s="43"/>
      <c r="O985" s="43"/>
      <c r="P985" s="43"/>
      <c r="Q985" s="43"/>
      <c r="R985" s="43"/>
      <c r="S985" s="43"/>
      <c r="T985" s="43"/>
      <c r="U985" s="43"/>
      <c r="V985" s="43"/>
      <c r="W985" s="43"/>
      <c r="X985" s="43"/>
      <c r="Y985" s="43"/>
    </row>
    <row r="986" ht="13.2" spans="1:25">
      <c r="A986" s="42">
        <v>985</v>
      </c>
      <c r="B986" s="43" t="s">
        <v>1321</v>
      </c>
      <c r="C986" s="43"/>
      <c r="D986" s="43"/>
      <c r="E986" s="43"/>
      <c r="F986" s="43"/>
      <c r="G986" s="43"/>
      <c r="H986" s="43"/>
      <c r="I986" s="43"/>
      <c r="J986" s="43"/>
      <c r="K986" s="43"/>
      <c r="L986" s="43"/>
      <c r="M986" s="43"/>
      <c r="N986" s="43"/>
      <c r="O986" s="43"/>
      <c r="P986" s="43"/>
      <c r="Q986" s="43"/>
      <c r="R986" s="43"/>
      <c r="S986" s="43"/>
      <c r="T986" s="43"/>
      <c r="U986" s="43"/>
      <c r="V986" s="43"/>
      <c r="W986" s="43"/>
      <c r="X986" s="43"/>
      <c r="Y986" s="43"/>
    </row>
    <row r="987" ht="13.2" spans="1:25">
      <c r="A987" s="42">
        <v>986</v>
      </c>
      <c r="B987" s="43" t="s">
        <v>1322</v>
      </c>
      <c r="C987" s="43"/>
      <c r="D987" s="43"/>
      <c r="E987" s="43"/>
      <c r="F987" s="43"/>
      <c r="G987" s="43"/>
      <c r="H987" s="43"/>
      <c r="I987" s="43"/>
      <c r="J987" s="43"/>
      <c r="K987" s="43"/>
      <c r="L987" s="43"/>
      <c r="M987" s="43"/>
      <c r="N987" s="43"/>
      <c r="O987" s="43"/>
      <c r="P987" s="43"/>
      <c r="Q987" s="43"/>
      <c r="R987" s="43"/>
      <c r="S987" s="43"/>
      <c r="T987" s="43"/>
      <c r="U987" s="43"/>
      <c r="V987" s="43"/>
      <c r="W987" s="43"/>
      <c r="X987" s="43"/>
      <c r="Y987" s="43"/>
    </row>
    <row r="988" ht="13.2" spans="1:25">
      <c r="A988" s="42">
        <v>987</v>
      </c>
      <c r="B988" s="43" t="s">
        <v>1323</v>
      </c>
      <c r="C988" s="43"/>
      <c r="D988" s="43"/>
      <c r="E988" s="43"/>
      <c r="F988" s="43"/>
      <c r="G988" s="43"/>
      <c r="H988" s="43"/>
      <c r="I988" s="43"/>
      <c r="J988" s="43"/>
      <c r="K988" s="43"/>
      <c r="L988" s="43"/>
      <c r="M988" s="43"/>
      <c r="N988" s="43"/>
      <c r="O988" s="43"/>
      <c r="P988" s="43"/>
      <c r="Q988" s="43"/>
      <c r="R988" s="43"/>
      <c r="S988" s="43"/>
      <c r="T988" s="43"/>
      <c r="U988" s="43"/>
      <c r="V988" s="43"/>
      <c r="W988" s="43"/>
      <c r="X988" s="43"/>
      <c r="Y988" s="43"/>
    </row>
    <row r="989" ht="13.2" spans="1:25">
      <c r="A989" s="42">
        <v>988</v>
      </c>
      <c r="B989" s="43" t="s">
        <v>1324</v>
      </c>
      <c r="C989" s="43"/>
      <c r="D989" s="43"/>
      <c r="E989" s="43"/>
      <c r="F989" s="43"/>
      <c r="G989" s="43"/>
      <c r="H989" s="43"/>
      <c r="I989" s="43"/>
      <c r="J989" s="43"/>
      <c r="K989" s="43"/>
      <c r="L989" s="43"/>
      <c r="M989" s="43"/>
      <c r="N989" s="43"/>
      <c r="O989" s="43"/>
      <c r="P989" s="43"/>
      <c r="Q989" s="43"/>
      <c r="R989" s="43"/>
      <c r="S989" s="43"/>
      <c r="T989" s="43"/>
      <c r="U989" s="43"/>
      <c r="V989" s="43"/>
      <c r="W989" s="43"/>
      <c r="X989" s="43"/>
      <c r="Y989" s="43"/>
    </row>
    <row r="990" ht="13.2" spans="1:25">
      <c r="A990" s="42">
        <v>989</v>
      </c>
      <c r="B990" s="43" t="s">
        <v>1325</v>
      </c>
      <c r="C990" s="43"/>
      <c r="D990" s="43"/>
      <c r="E990" s="43"/>
      <c r="F990" s="43"/>
      <c r="G990" s="43"/>
      <c r="H990" s="43"/>
      <c r="I990" s="43"/>
      <c r="J990" s="43"/>
      <c r="K990" s="43"/>
      <c r="L990" s="43"/>
      <c r="M990" s="43"/>
      <c r="N990" s="43"/>
      <c r="O990" s="43"/>
      <c r="P990" s="43"/>
      <c r="Q990" s="43"/>
      <c r="R990" s="43"/>
      <c r="S990" s="43"/>
      <c r="T990" s="43"/>
      <c r="U990" s="43"/>
      <c r="V990" s="43"/>
      <c r="W990" s="43"/>
      <c r="X990" s="43"/>
      <c r="Y990" s="43"/>
    </row>
    <row r="991" ht="13.2" spans="1:25">
      <c r="A991" s="42">
        <v>990</v>
      </c>
      <c r="B991" s="43" t="s">
        <v>1326</v>
      </c>
      <c r="C991" s="43"/>
      <c r="D991" s="43"/>
      <c r="E991" s="43"/>
      <c r="F991" s="43"/>
      <c r="G991" s="43"/>
      <c r="H991" s="43"/>
      <c r="I991" s="43"/>
      <c r="J991" s="43"/>
      <c r="K991" s="43"/>
      <c r="L991" s="43"/>
      <c r="M991" s="43"/>
      <c r="N991" s="43"/>
      <c r="O991" s="43"/>
      <c r="P991" s="43"/>
      <c r="Q991" s="43"/>
      <c r="R991" s="43"/>
      <c r="S991" s="43"/>
      <c r="T991" s="43"/>
      <c r="U991" s="43"/>
      <c r="V991" s="43"/>
      <c r="W991" s="43"/>
      <c r="X991" s="43"/>
      <c r="Y991" s="43"/>
    </row>
    <row r="992" ht="13.2" spans="1:25">
      <c r="A992" s="42">
        <v>991</v>
      </c>
      <c r="B992" s="43" t="s">
        <v>1327</v>
      </c>
      <c r="C992" s="43"/>
      <c r="D992" s="43"/>
      <c r="E992" s="43"/>
      <c r="F992" s="43"/>
      <c r="G992" s="43"/>
      <c r="H992" s="43"/>
      <c r="I992" s="43"/>
      <c r="J992" s="43"/>
      <c r="K992" s="43"/>
      <c r="L992" s="43"/>
      <c r="M992" s="43"/>
      <c r="N992" s="43"/>
      <c r="O992" s="43"/>
      <c r="P992" s="43"/>
      <c r="Q992" s="43"/>
      <c r="R992" s="43"/>
      <c r="S992" s="43"/>
      <c r="T992" s="43"/>
      <c r="U992" s="43"/>
      <c r="V992" s="43"/>
      <c r="W992" s="43"/>
      <c r="X992" s="43"/>
      <c r="Y992" s="43"/>
    </row>
    <row r="993" ht="13.2" spans="1:25">
      <c r="A993" s="42">
        <v>992</v>
      </c>
      <c r="B993" s="43" t="s">
        <v>1328</v>
      </c>
      <c r="C993" s="43"/>
      <c r="D993" s="43"/>
      <c r="E993" s="43"/>
      <c r="F993" s="43"/>
      <c r="G993" s="43"/>
      <c r="H993" s="43"/>
      <c r="I993" s="43"/>
      <c r="J993" s="43"/>
      <c r="K993" s="43"/>
      <c r="L993" s="43"/>
      <c r="M993" s="43"/>
      <c r="N993" s="43"/>
      <c r="O993" s="43"/>
      <c r="P993" s="43"/>
      <c r="Q993" s="43"/>
      <c r="R993" s="43"/>
      <c r="S993" s="43"/>
      <c r="T993" s="43"/>
      <c r="U993" s="43"/>
      <c r="V993" s="43"/>
      <c r="W993" s="43"/>
      <c r="X993" s="43"/>
      <c r="Y993" s="43"/>
    </row>
    <row r="994" ht="13.2" spans="1:25">
      <c r="A994" s="42">
        <v>993</v>
      </c>
      <c r="B994" s="43" t="s">
        <v>1329</v>
      </c>
      <c r="C994" s="43"/>
      <c r="D994" s="43"/>
      <c r="E994" s="43"/>
      <c r="F994" s="43"/>
      <c r="G994" s="43"/>
      <c r="H994" s="43"/>
      <c r="I994" s="43"/>
      <c r="J994" s="43"/>
      <c r="K994" s="43"/>
      <c r="L994" s="43"/>
      <c r="M994" s="43"/>
      <c r="N994" s="43"/>
      <c r="O994" s="43"/>
      <c r="P994" s="43"/>
      <c r="Q994" s="43"/>
      <c r="R994" s="43"/>
      <c r="S994" s="43"/>
      <c r="T994" s="43"/>
      <c r="U994" s="43"/>
      <c r="V994" s="43"/>
      <c r="W994" s="43"/>
      <c r="X994" s="43"/>
      <c r="Y994" s="43"/>
    </row>
    <row r="995" ht="13.2" spans="1:25">
      <c r="A995" s="42">
        <v>994</v>
      </c>
      <c r="B995" s="43" t="s">
        <v>1330</v>
      </c>
      <c r="C995" s="43"/>
      <c r="D995" s="43"/>
      <c r="E995" s="43"/>
      <c r="F995" s="43"/>
      <c r="G995" s="43"/>
      <c r="H995" s="43"/>
      <c r="I995" s="43"/>
      <c r="J995" s="43"/>
      <c r="K995" s="43"/>
      <c r="L995" s="43"/>
      <c r="M995" s="43"/>
      <c r="N995" s="43"/>
      <c r="O995" s="43"/>
      <c r="P995" s="43"/>
      <c r="Q995" s="43"/>
      <c r="R995" s="43"/>
      <c r="S995" s="43"/>
      <c r="T995" s="43"/>
      <c r="U995" s="43"/>
      <c r="V995" s="43"/>
      <c r="W995" s="43"/>
      <c r="X995" s="43"/>
      <c r="Y995" s="43"/>
    </row>
    <row r="996" ht="13.2" spans="1:25">
      <c r="A996" s="42">
        <v>995</v>
      </c>
      <c r="B996" s="43" t="s">
        <v>1331</v>
      </c>
      <c r="C996" s="43"/>
      <c r="D996" s="43"/>
      <c r="E996" s="43"/>
      <c r="F996" s="43"/>
      <c r="G996" s="43"/>
      <c r="H996" s="43"/>
      <c r="I996" s="43"/>
      <c r="J996" s="43"/>
      <c r="K996" s="43"/>
      <c r="L996" s="43"/>
      <c r="M996" s="43"/>
      <c r="N996" s="43"/>
      <c r="O996" s="43"/>
      <c r="P996" s="43"/>
      <c r="Q996" s="43"/>
      <c r="R996" s="43"/>
      <c r="S996" s="43"/>
      <c r="T996" s="43"/>
      <c r="U996" s="43"/>
      <c r="V996" s="43"/>
      <c r="W996" s="43"/>
      <c r="X996" s="43"/>
      <c r="Y996" s="43"/>
    </row>
    <row r="997" ht="13.2" spans="1:25">
      <c r="A997" s="42">
        <v>996</v>
      </c>
      <c r="B997" s="43" t="s">
        <v>1332</v>
      </c>
      <c r="C997" s="43"/>
      <c r="D997" s="43"/>
      <c r="E997" s="43"/>
      <c r="F997" s="43"/>
      <c r="G997" s="43"/>
      <c r="H997" s="43"/>
      <c r="I997" s="43"/>
      <c r="J997" s="43"/>
      <c r="K997" s="43"/>
      <c r="L997" s="43"/>
      <c r="M997" s="43"/>
      <c r="N997" s="43"/>
      <c r="O997" s="43"/>
      <c r="P997" s="43"/>
      <c r="Q997" s="43"/>
      <c r="R997" s="43"/>
      <c r="S997" s="43"/>
      <c r="T997" s="43"/>
      <c r="U997" s="43"/>
      <c r="V997" s="43"/>
      <c r="W997" s="43"/>
      <c r="X997" s="43"/>
      <c r="Y997" s="43"/>
    </row>
    <row r="998" ht="13.2" spans="1:25">
      <c r="A998" s="42">
        <v>997</v>
      </c>
      <c r="B998" s="43" t="s">
        <v>1333</v>
      </c>
      <c r="C998" s="43"/>
      <c r="D998" s="43"/>
      <c r="E998" s="43"/>
      <c r="F998" s="43"/>
      <c r="G998" s="43"/>
      <c r="H998" s="43"/>
      <c r="I998" s="43"/>
      <c r="J998" s="43"/>
      <c r="K998" s="43"/>
      <c r="L998" s="43"/>
      <c r="M998" s="43"/>
      <c r="N998" s="43"/>
      <c r="O998" s="43"/>
      <c r="P998" s="43"/>
      <c r="Q998" s="43"/>
      <c r="R998" s="43"/>
      <c r="S998" s="43"/>
      <c r="T998" s="43"/>
      <c r="U998" s="43"/>
      <c r="V998" s="43"/>
      <c r="W998" s="43"/>
      <c r="X998" s="43"/>
      <c r="Y998" s="43"/>
    </row>
    <row r="999" ht="13.2" spans="1:25">
      <c r="A999" s="42">
        <v>998</v>
      </c>
      <c r="B999" s="43" t="s">
        <v>1334</v>
      </c>
      <c r="C999" s="43"/>
      <c r="D999" s="43"/>
      <c r="E999" s="43"/>
      <c r="F999" s="43"/>
      <c r="G999" s="43"/>
      <c r="H999" s="43"/>
      <c r="I999" s="43"/>
      <c r="J999" s="43"/>
      <c r="K999" s="43"/>
      <c r="L999" s="43"/>
      <c r="M999" s="43"/>
      <c r="N999" s="43"/>
      <c r="O999" s="43"/>
      <c r="P999" s="43"/>
      <c r="Q999" s="43"/>
      <c r="R999" s="43"/>
      <c r="S999" s="43"/>
      <c r="T999" s="43"/>
      <c r="U999" s="43"/>
      <c r="V999" s="43"/>
      <c r="W999" s="43"/>
      <c r="X999" s="43"/>
      <c r="Y999" s="43"/>
    </row>
    <row r="1000" ht="13.2" spans="1:25">
      <c r="A1000" s="42">
        <v>999</v>
      </c>
      <c r="B1000" s="43" t="s">
        <v>1335</v>
      </c>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row>
    <row r="1001" ht="13.2" spans="1:25">
      <c r="A1001" s="42">
        <v>1000</v>
      </c>
      <c r="B1001" s="43" t="s">
        <v>1336</v>
      </c>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row>
    <row r="1002" ht="13.2" spans="1:25">
      <c r="A1002" s="42">
        <v>1001</v>
      </c>
      <c r="B1002" s="43" t="s">
        <v>1337</v>
      </c>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row>
    <row r="1003" ht="13.2" spans="1:25">
      <c r="A1003" s="42">
        <v>1002</v>
      </c>
      <c r="B1003" s="43" t="s">
        <v>1338</v>
      </c>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row>
    <row r="1004" ht="13.2" spans="1:25">
      <c r="A1004" s="42">
        <v>1003</v>
      </c>
      <c r="B1004" s="43" t="s">
        <v>1339</v>
      </c>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row>
    <row r="1005" ht="13.2" spans="1:25">
      <c r="A1005" s="42">
        <v>1004</v>
      </c>
      <c r="B1005" s="43" t="s">
        <v>1340</v>
      </c>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row>
    <row r="1006" ht="13.2" spans="1:25">
      <c r="A1006" s="42">
        <v>1005</v>
      </c>
      <c r="B1006" s="43" t="s">
        <v>1341</v>
      </c>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row>
    <row r="1007" ht="13.2" spans="1:25">
      <c r="A1007" s="42">
        <v>1006</v>
      </c>
      <c r="B1007" s="43" t="s">
        <v>1342</v>
      </c>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row>
    <row r="1008" ht="13.2" spans="1:25">
      <c r="A1008" s="42">
        <v>1007</v>
      </c>
      <c r="B1008" s="43" t="s">
        <v>1343</v>
      </c>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row>
    <row r="1009" ht="13.2" spans="1:25">
      <c r="A1009" s="42">
        <v>1008</v>
      </c>
      <c r="B1009" s="43" t="s">
        <v>1344</v>
      </c>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row>
    <row r="1010" ht="13.2" spans="1:25">
      <c r="A1010" s="42">
        <v>1009</v>
      </c>
      <c r="B1010" s="43" t="s">
        <v>1345</v>
      </c>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row>
    <row r="1011" ht="13.2" spans="1:25">
      <c r="A1011" s="42">
        <v>1010</v>
      </c>
      <c r="B1011" s="43" t="s">
        <v>1346</v>
      </c>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row>
    <row r="1012" ht="13.2" spans="1:25">
      <c r="A1012" s="42">
        <v>1011</v>
      </c>
      <c r="B1012" s="43" t="s">
        <v>1347</v>
      </c>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row>
    <row r="1013" ht="13.2" spans="1:25">
      <c r="A1013" s="42">
        <v>1012</v>
      </c>
      <c r="B1013" s="43" t="s">
        <v>1348</v>
      </c>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row>
    <row r="1014" ht="13.2" spans="1:25">
      <c r="A1014" s="42">
        <v>1013</v>
      </c>
      <c r="B1014" s="43" t="s">
        <v>1349</v>
      </c>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row>
    <row r="1015" ht="13.2" spans="1:25">
      <c r="A1015" s="42">
        <v>1014</v>
      </c>
      <c r="B1015" s="43" t="s">
        <v>1350</v>
      </c>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row>
    <row r="1016" ht="13.2" spans="1:25">
      <c r="A1016" s="42">
        <v>1015</v>
      </c>
      <c r="B1016" s="43" t="s">
        <v>1351</v>
      </c>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row>
    <row r="1017" ht="13.2" spans="1:25">
      <c r="A1017" s="42">
        <v>1016</v>
      </c>
      <c r="B1017" s="43" t="s">
        <v>1352</v>
      </c>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row>
    <row r="1018" ht="13.2" spans="1:25">
      <c r="A1018" s="42">
        <v>1017</v>
      </c>
      <c r="B1018" s="43" t="s">
        <v>1353</v>
      </c>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row>
    <row r="1019" ht="13.2" spans="1:25">
      <c r="A1019" s="42">
        <v>1018</v>
      </c>
      <c r="B1019" s="43" t="s">
        <v>1354</v>
      </c>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row>
    <row r="1020" ht="13.2" spans="1:25">
      <c r="A1020" s="42">
        <v>1019</v>
      </c>
      <c r="B1020" s="43" t="s">
        <v>1355</v>
      </c>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row>
    <row r="1021" ht="13.2" spans="1:25">
      <c r="A1021" s="42">
        <v>1020</v>
      </c>
      <c r="B1021" s="43" t="s">
        <v>1356</v>
      </c>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row>
    <row r="1022" ht="13.2" spans="1:25">
      <c r="A1022" s="42">
        <v>1021</v>
      </c>
      <c r="B1022" s="43" t="s">
        <v>1357</v>
      </c>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row>
    <row r="1023" ht="13.2" spans="1:25">
      <c r="A1023" s="42">
        <v>1022</v>
      </c>
      <c r="B1023" s="43" t="s">
        <v>1358</v>
      </c>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row>
    <row r="1024" ht="13.2" spans="1:25">
      <c r="A1024" s="42">
        <v>1023</v>
      </c>
      <c r="B1024" s="43" t="s">
        <v>1359</v>
      </c>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row>
    <row r="1025" ht="13.2" spans="1:25">
      <c r="A1025" s="42">
        <v>1024</v>
      </c>
      <c r="B1025" s="43" t="s">
        <v>1360</v>
      </c>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row>
    <row r="1026" ht="13.2" spans="1:25">
      <c r="A1026" s="42">
        <v>1025</v>
      </c>
      <c r="B1026" s="43" t="s">
        <v>1361</v>
      </c>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row>
    <row r="1027" ht="13.2" spans="1:25">
      <c r="A1027" s="42">
        <v>1026</v>
      </c>
      <c r="B1027" s="43" t="s">
        <v>1362</v>
      </c>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row>
    <row r="1028" ht="13.2" spans="1:25">
      <c r="A1028" s="42">
        <v>1027</v>
      </c>
      <c r="B1028" s="43" t="s">
        <v>1363</v>
      </c>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row>
    <row r="1029" ht="13.2" spans="1:25">
      <c r="A1029" s="42">
        <v>1028</v>
      </c>
      <c r="B1029" s="43" t="s">
        <v>1364</v>
      </c>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row>
    <row r="1030" ht="13.2" spans="1:25">
      <c r="A1030" s="42">
        <v>1029</v>
      </c>
      <c r="B1030" s="43" t="s">
        <v>1365</v>
      </c>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row>
    <row r="1031" ht="13.2" spans="1:25">
      <c r="A1031" s="42">
        <v>1030</v>
      </c>
      <c r="B1031" s="43" t="s">
        <v>1366</v>
      </c>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row>
    <row r="1032" ht="13.2" spans="1:25">
      <c r="A1032" s="42">
        <v>1031</v>
      </c>
      <c r="B1032" s="43" t="s">
        <v>1367</v>
      </c>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row>
    <row r="1033" ht="13.2" spans="1:25">
      <c r="A1033" s="42">
        <v>1032</v>
      </c>
      <c r="B1033" s="43" t="s">
        <v>1368</v>
      </c>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row>
    <row r="1034" ht="13.2" spans="1:25">
      <c r="A1034" s="42">
        <v>1033</v>
      </c>
      <c r="B1034" s="43" t="s">
        <v>1369</v>
      </c>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row>
    <row r="1035" ht="13.2" spans="1:25">
      <c r="A1035" s="42">
        <v>1034</v>
      </c>
      <c r="B1035" s="43" t="s">
        <v>1370</v>
      </c>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row>
    <row r="1036" ht="13.2" spans="1:25">
      <c r="A1036" s="42">
        <v>1035</v>
      </c>
      <c r="B1036" s="43" t="s">
        <v>1371</v>
      </c>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row>
    <row r="1037" ht="13.2" spans="1:25">
      <c r="A1037" s="42">
        <v>1036</v>
      </c>
      <c r="B1037" s="43" t="s">
        <v>1372</v>
      </c>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row>
    <row r="1038" ht="13.2" spans="1:25">
      <c r="A1038" s="42">
        <v>1037</v>
      </c>
      <c r="B1038" s="43" t="s">
        <v>1373</v>
      </c>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row>
    <row r="1039" ht="13.2" spans="1:25">
      <c r="A1039" s="42">
        <v>1038</v>
      </c>
      <c r="B1039" s="43" t="s">
        <v>1374</v>
      </c>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row>
    <row r="1040" ht="13.2" spans="1:25">
      <c r="A1040" s="42">
        <v>1039</v>
      </c>
      <c r="B1040" s="43" t="s">
        <v>1375</v>
      </c>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row>
    <row r="1041" ht="13.2" spans="1:25">
      <c r="A1041" s="42">
        <v>1040</v>
      </c>
      <c r="B1041" s="43" t="s">
        <v>1376</v>
      </c>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row>
    <row r="1042" ht="13.2" spans="1:25">
      <c r="A1042" s="42">
        <v>1041</v>
      </c>
      <c r="B1042" s="43" t="s">
        <v>1377</v>
      </c>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row>
    <row r="1043" ht="13.2" spans="1:25">
      <c r="A1043" s="42">
        <v>1042</v>
      </c>
      <c r="B1043" s="43" t="s">
        <v>1378</v>
      </c>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row>
    <row r="1044" ht="13.2" spans="1:25">
      <c r="A1044" s="42">
        <v>1043</v>
      </c>
      <c r="B1044" s="43" t="s">
        <v>1379</v>
      </c>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row>
    <row r="1045" ht="13.2" spans="1:25">
      <c r="A1045" s="42">
        <v>1044</v>
      </c>
      <c r="B1045" s="43" t="s">
        <v>1380</v>
      </c>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row>
    <row r="1046" ht="13.2" spans="1:25">
      <c r="A1046" s="42">
        <v>1045</v>
      </c>
      <c r="B1046" s="43" t="s">
        <v>1381</v>
      </c>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row>
    <row r="1047" ht="13.2" spans="1:25">
      <c r="A1047" s="42">
        <v>1046</v>
      </c>
      <c r="B1047" s="43" t="s">
        <v>1382</v>
      </c>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row>
    <row r="1048" ht="13.2" spans="1:25">
      <c r="A1048" s="42">
        <v>1047</v>
      </c>
      <c r="B1048" s="43" t="s">
        <v>1383</v>
      </c>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row>
    <row r="1049" ht="13.2" spans="1:25">
      <c r="A1049" s="42">
        <v>1048</v>
      </c>
      <c r="B1049" s="43" t="s">
        <v>1384</v>
      </c>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row>
    <row r="1050" ht="13.2" spans="1:25">
      <c r="A1050" s="42">
        <v>1049</v>
      </c>
      <c r="B1050" s="43" t="s">
        <v>1385</v>
      </c>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row>
    <row r="1051" ht="13.2" spans="1:25">
      <c r="A1051" s="42">
        <v>1050</v>
      </c>
      <c r="B1051" s="43" t="s">
        <v>1386</v>
      </c>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row>
    <row r="1052" ht="13.2" spans="1:25">
      <c r="A1052" s="42">
        <v>1051</v>
      </c>
      <c r="B1052" s="43" t="s">
        <v>1387</v>
      </c>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row>
    <row r="1053" ht="13.2" spans="1:25">
      <c r="A1053" s="42">
        <v>1052</v>
      </c>
      <c r="B1053" s="43" t="s">
        <v>1388</v>
      </c>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row>
    <row r="1054" ht="13.2" spans="1:25">
      <c r="A1054" s="42">
        <v>1053</v>
      </c>
      <c r="B1054" s="43" t="s">
        <v>1389</v>
      </c>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row>
    <row r="1055" ht="13.2" spans="1:25">
      <c r="A1055" s="42">
        <v>1054</v>
      </c>
      <c r="B1055" s="43" t="s">
        <v>1390</v>
      </c>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row>
    <row r="1056" ht="13.2" spans="1:25">
      <c r="A1056" s="42">
        <v>1055</v>
      </c>
      <c r="B1056" s="43" t="s">
        <v>1391</v>
      </c>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row>
    <row r="1057" ht="13.2" spans="1:25">
      <c r="A1057" s="42">
        <v>1056</v>
      </c>
      <c r="B1057" s="43" t="s">
        <v>1392</v>
      </c>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row>
    <row r="1058" ht="13.2" spans="1:25">
      <c r="A1058" s="42">
        <v>1057</v>
      </c>
      <c r="B1058" s="43" t="s">
        <v>1393</v>
      </c>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row>
    <row r="1059" ht="13.2" spans="1:25">
      <c r="A1059" s="42">
        <v>1058</v>
      </c>
      <c r="B1059" s="43" t="s">
        <v>1394</v>
      </c>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row>
    <row r="1060" ht="13.2" spans="1:25">
      <c r="A1060" s="42">
        <v>1059</v>
      </c>
      <c r="B1060" s="43" t="s">
        <v>1395</v>
      </c>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row>
    <row r="1061" ht="13.2" spans="1:25">
      <c r="A1061" s="42">
        <v>1060</v>
      </c>
      <c r="B1061" s="43" t="s">
        <v>1396</v>
      </c>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row>
    <row r="1062" ht="13.2" spans="1:25">
      <c r="A1062" s="42">
        <v>1061</v>
      </c>
      <c r="B1062" s="43" t="s">
        <v>1397</v>
      </c>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row>
    <row r="1063" ht="13.2" spans="1:25">
      <c r="A1063" s="42">
        <v>1062</v>
      </c>
      <c r="B1063" s="43" t="s">
        <v>1398</v>
      </c>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row>
    <row r="1064" ht="13.2" spans="1:25">
      <c r="A1064" s="42">
        <v>1063</v>
      </c>
      <c r="B1064" s="43" t="s">
        <v>1399</v>
      </c>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row>
    <row r="1065" ht="13.2" spans="1:25">
      <c r="A1065" s="42">
        <v>1064</v>
      </c>
      <c r="B1065" s="43" t="s">
        <v>1400</v>
      </c>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row>
    <row r="1066" ht="13.2" spans="1:25">
      <c r="A1066" s="42">
        <v>1065</v>
      </c>
      <c r="B1066" s="43" t="s">
        <v>1401</v>
      </c>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row>
    <row r="1067" ht="13.2" spans="1:25">
      <c r="A1067" s="42">
        <v>1066</v>
      </c>
      <c r="B1067" s="43" t="s">
        <v>1402</v>
      </c>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row>
    <row r="1068" ht="13.2" spans="1:25">
      <c r="A1068" s="42">
        <v>1067</v>
      </c>
      <c r="B1068" s="43" t="s">
        <v>1403</v>
      </c>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row>
    <row r="1069" ht="13.2" spans="1:25">
      <c r="A1069" s="42">
        <v>1068</v>
      </c>
      <c r="B1069" s="43" t="s">
        <v>1404</v>
      </c>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row>
    <row r="1070" ht="13.2" spans="1:25">
      <c r="A1070" s="42">
        <v>1069</v>
      </c>
      <c r="B1070" s="43" t="s">
        <v>1405</v>
      </c>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row>
    <row r="1071" ht="13.2" spans="1:25">
      <c r="A1071" s="42">
        <v>1070</v>
      </c>
      <c r="B1071" s="43" t="s">
        <v>1406</v>
      </c>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row>
    <row r="1072" ht="13.2" spans="1:25">
      <c r="A1072" s="42">
        <v>1071</v>
      </c>
      <c r="B1072" s="43" t="s">
        <v>1407</v>
      </c>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row>
    <row r="1073" ht="13.2" spans="1:25">
      <c r="A1073" s="42">
        <v>1072</v>
      </c>
      <c r="B1073" s="43" t="s">
        <v>1408</v>
      </c>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row>
    <row r="1074" ht="13.2" spans="1:25">
      <c r="A1074" s="42">
        <v>1073</v>
      </c>
      <c r="B1074" s="43" t="s">
        <v>1409</v>
      </c>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row>
    <row r="1075" ht="13.2" spans="1:25">
      <c r="A1075" s="42">
        <v>1074</v>
      </c>
      <c r="B1075" s="43" t="s">
        <v>1410</v>
      </c>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row>
    <row r="1076" ht="13.2" spans="1:25">
      <c r="A1076" s="42">
        <v>1075</v>
      </c>
      <c r="B1076" s="43" t="s">
        <v>1411</v>
      </c>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row>
    <row r="1077" ht="13.2" spans="1:25">
      <c r="A1077" s="42">
        <v>1076</v>
      </c>
      <c r="B1077" s="43" t="s">
        <v>1412</v>
      </c>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row>
    <row r="1078" ht="13.2" spans="1:25">
      <c r="A1078" s="42">
        <v>1077</v>
      </c>
      <c r="B1078" s="43" t="s">
        <v>1413</v>
      </c>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row>
    <row r="1079" ht="13.2" spans="1:25">
      <c r="A1079" s="42">
        <v>1078</v>
      </c>
      <c r="B1079" s="43" t="s">
        <v>1414</v>
      </c>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row>
    <row r="1080" ht="13.2" spans="1:25">
      <c r="A1080" s="42">
        <v>1079</v>
      </c>
      <c r="B1080" s="43" t="s">
        <v>1415</v>
      </c>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row>
    <row r="1081" ht="13.2" spans="1:25">
      <c r="A1081" s="42">
        <v>1080</v>
      </c>
      <c r="B1081" s="43" t="s">
        <v>1416</v>
      </c>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row>
    <row r="1082" ht="13.2" spans="1:25">
      <c r="A1082" s="42">
        <v>1081</v>
      </c>
      <c r="B1082" s="43" t="s">
        <v>1417</v>
      </c>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row>
    <row r="1083" ht="13.2" spans="1:25">
      <c r="A1083" s="42">
        <v>1082</v>
      </c>
      <c r="B1083" s="43" t="s">
        <v>1418</v>
      </c>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row>
    <row r="1084" ht="13.2" spans="1:25">
      <c r="A1084" s="42">
        <v>1083</v>
      </c>
      <c r="B1084" s="43" t="s">
        <v>1419</v>
      </c>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row>
    <row r="1085" ht="13.2" spans="1:25">
      <c r="A1085" s="42">
        <v>1084</v>
      </c>
      <c r="B1085" s="43" t="s">
        <v>1420</v>
      </c>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row>
    <row r="1086" ht="13.2" spans="1:25">
      <c r="A1086" s="42">
        <v>1085</v>
      </c>
      <c r="B1086" s="43" t="s">
        <v>1421</v>
      </c>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row>
    <row r="1087" ht="13.2" spans="1:25">
      <c r="A1087" s="42">
        <v>1086</v>
      </c>
      <c r="B1087" s="43" t="s">
        <v>1422</v>
      </c>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row>
    <row r="1088" ht="13.2" spans="1:25">
      <c r="A1088" s="42">
        <v>1087</v>
      </c>
      <c r="B1088" s="43" t="s">
        <v>1423</v>
      </c>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row>
    <row r="1089" ht="13.2" spans="1:25">
      <c r="A1089" s="42">
        <v>1088</v>
      </c>
      <c r="B1089" s="43" t="s">
        <v>1424</v>
      </c>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row>
    <row r="1090" ht="13.2" spans="1:25">
      <c r="A1090" s="42">
        <v>1089</v>
      </c>
      <c r="B1090" s="43" t="s">
        <v>1425</v>
      </c>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row>
    <row r="1091" ht="13.2" spans="1:25">
      <c r="A1091" s="42">
        <v>1090</v>
      </c>
      <c r="B1091" s="43" t="s">
        <v>1426</v>
      </c>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row>
    <row r="1092" ht="13.2" spans="1:25">
      <c r="A1092" s="42">
        <v>1091</v>
      </c>
      <c r="B1092" s="43" t="s">
        <v>1427</v>
      </c>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row>
    <row r="1093" ht="13.2" spans="1:25">
      <c r="A1093" s="42">
        <v>1092</v>
      </c>
      <c r="B1093" s="43" t="s">
        <v>1428</v>
      </c>
      <c r="C1093" s="43"/>
      <c r="D1093" s="43"/>
      <c r="E1093" s="43"/>
      <c r="F1093" s="43"/>
      <c r="G1093" s="43"/>
      <c r="H1093" s="43"/>
      <c r="I1093" s="43"/>
      <c r="J1093" s="43"/>
      <c r="K1093" s="43"/>
      <c r="L1093" s="43"/>
      <c r="M1093" s="43"/>
      <c r="N1093" s="43"/>
      <c r="O1093" s="43"/>
      <c r="P1093" s="43"/>
      <c r="Q1093" s="43"/>
      <c r="R1093" s="43"/>
      <c r="S1093" s="43"/>
      <c r="T1093" s="43"/>
      <c r="U1093" s="43"/>
      <c r="V1093" s="43"/>
      <c r="W1093" s="43"/>
      <c r="X1093" s="43"/>
      <c r="Y1093" s="43"/>
    </row>
    <row r="1094" ht="13.2" spans="1:25">
      <c r="A1094" s="42">
        <v>1093</v>
      </c>
      <c r="B1094" s="43" t="s">
        <v>1429</v>
      </c>
      <c r="C1094" s="43"/>
      <c r="D1094" s="43"/>
      <c r="E1094" s="43"/>
      <c r="F1094" s="43"/>
      <c r="G1094" s="43"/>
      <c r="H1094" s="43"/>
      <c r="I1094" s="43"/>
      <c r="J1094" s="43"/>
      <c r="K1094" s="43"/>
      <c r="L1094" s="43"/>
      <c r="M1094" s="43"/>
      <c r="N1094" s="43"/>
      <c r="O1094" s="43"/>
      <c r="P1094" s="43"/>
      <c r="Q1094" s="43"/>
      <c r="R1094" s="43"/>
      <c r="S1094" s="43"/>
      <c r="T1094" s="43"/>
      <c r="U1094" s="43"/>
      <c r="V1094" s="43"/>
      <c r="W1094" s="43"/>
      <c r="X1094" s="43"/>
      <c r="Y1094" s="43"/>
    </row>
    <row r="1095" ht="13.2" spans="1:25">
      <c r="A1095" s="42">
        <v>1094</v>
      </c>
      <c r="B1095" s="43" t="s">
        <v>236</v>
      </c>
      <c r="C1095" s="43"/>
      <c r="D1095" s="43"/>
      <c r="E1095" s="43"/>
      <c r="F1095" s="43"/>
      <c r="G1095" s="43"/>
      <c r="H1095" s="43"/>
      <c r="I1095" s="43"/>
      <c r="J1095" s="43"/>
      <c r="K1095" s="43"/>
      <c r="L1095" s="43"/>
      <c r="M1095" s="43"/>
      <c r="N1095" s="43"/>
      <c r="O1095" s="43"/>
      <c r="P1095" s="43"/>
      <c r="Q1095" s="43"/>
      <c r="R1095" s="43"/>
      <c r="S1095" s="43"/>
      <c r="T1095" s="43"/>
      <c r="U1095" s="43"/>
      <c r="V1095" s="43"/>
      <c r="W1095" s="43"/>
      <c r="X1095" s="43"/>
      <c r="Y1095" s="43"/>
    </row>
    <row r="1096" ht="13.2" spans="1:25">
      <c r="A1096" s="42">
        <v>1095</v>
      </c>
      <c r="B1096" s="43" t="s">
        <v>1430</v>
      </c>
      <c r="C1096" s="43"/>
      <c r="D1096" s="43"/>
      <c r="E1096" s="43"/>
      <c r="F1096" s="43"/>
      <c r="G1096" s="43"/>
      <c r="H1096" s="43"/>
      <c r="I1096" s="43"/>
      <c r="J1096" s="43"/>
      <c r="K1096" s="43"/>
      <c r="L1096" s="43"/>
      <c r="M1096" s="43"/>
      <c r="N1096" s="43"/>
      <c r="O1096" s="43"/>
      <c r="P1096" s="43"/>
      <c r="Q1096" s="43"/>
      <c r="R1096" s="43"/>
      <c r="S1096" s="43"/>
      <c r="T1096" s="43"/>
      <c r="U1096" s="43"/>
      <c r="V1096" s="43"/>
      <c r="W1096" s="43"/>
      <c r="X1096" s="43"/>
      <c r="Y1096" s="43"/>
    </row>
    <row r="1097" ht="13.2" spans="1:25">
      <c r="A1097" s="42">
        <v>1096</v>
      </c>
      <c r="B1097" s="43" t="s">
        <v>1431</v>
      </c>
      <c r="C1097" s="43"/>
      <c r="D1097" s="43"/>
      <c r="E1097" s="43"/>
      <c r="F1097" s="43"/>
      <c r="G1097" s="43"/>
      <c r="H1097" s="43"/>
      <c r="I1097" s="43"/>
      <c r="J1097" s="43"/>
      <c r="K1097" s="43"/>
      <c r="L1097" s="43"/>
      <c r="M1097" s="43"/>
      <c r="N1097" s="43"/>
      <c r="O1097" s="43"/>
      <c r="P1097" s="43"/>
      <c r="Q1097" s="43"/>
      <c r="R1097" s="43"/>
      <c r="S1097" s="43"/>
      <c r="T1097" s="43"/>
      <c r="U1097" s="43"/>
      <c r="V1097" s="43"/>
      <c r="W1097" s="43"/>
      <c r="X1097" s="43"/>
      <c r="Y1097" s="43"/>
    </row>
    <row r="1098" ht="13.2" spans="1:25">
      <c r="A1098" s="42">
        <v>1097</v>
      </c>
      <c r="B1098" s="43" t="s">
        <v>1432</v>
      </c>
      <c r="C1098" s="43"/>
      <c r="D1098" s="43"/>
      <c r="E1098" s="43"/>
      <c r="F1098" s="43"/>
      <c r="G1098" s="43"/>
      <c r="H1098" s="43"/>
      <c r="I1098" s="43"/>
      <c r="J1098" s="43"/>
      <c r="K1098" s="43"/>
      <c r="L1098" s="43"/>
      <c r="M1098" s="43"/>
      <c r="N1098" s="43"/>
      <c r="O1098" s="43"/>
      <c r="P1098" s="43"/>
      <c r="Q1098" s="43"/>
      <c r="R1098" s="43"/>
      <c r="S1098" s="43"/>
      <c r="T1098" s="43"/>
      <c r="U1098" s="43"/>
      <c r="V1098" s="43"/>
      <c r="W1098" s="43"/>
      <c r="X1098" s="43"/>
      <c r="Y1098" s="43"/>
    </row>
    <row r="1099" ht="13.2" spans="1:25">
      <c r="A1099" s="42">
        <v>1098</v>
      </c>
      <c r="B1099" s="43" t="s">
        <v>1433</v>
      </c>
      <c r="C1099" s="43"/>
      <c r="D1099" s="43"/>
      <c r="E1099" s="43"/>
      <c r="F1099" s="43"/>
      <c r="G1099" s="43"/>
      <c r="H1099" s="43"/>
      <c r="I1099" s="43"/>
      <c r="J1099" s="43"/>
      <c r="K1099" s="43"/>
      <c r="L1099" s="43"/>
      <c r="M1099" s="43"/>
      <c r="N1099" s="43"/>
      <c r="O1099" s="43"/>
      <c r="P1099" s="43"/>
      <c r="Q1099" s="43"/>
      <c r="R1099" s="43"/>
      <c r="S1099" s="43"/>
      <c r="T1099" s="43"/>
      <c r="U1099" s="43"/>
      <c r="V1099" s="43"/>
      <c r="W1099" s="43"/>
      <c r="X1099" s="43"/>
      <c r="Y1099" s="43"/>
    </row>
    <row r="1100" ht="13.2" spans="1:25">
      <c r="A1100" s="42">
        <v>1099</v>
      </c>
      <c r="B1100" s="43" t="s">
        <v>1434</v>
      </c>
      <c r="C1100" s="43"/>
      <c r="D1100" s="43"/>
      <c r="E1100" s="43"/>
      <c r="F1100" s="43"/>
      <c r="G1100" s="43"/>
      <c r="H1100" s="43"/>
      <c r="I1100" s="43"/>
      <c r="J1100" s="43"/>
      <c r="K1100" s="43"/>
      <c r="L1100" s="43"/>
      <c r="M1100" s="43"/>
      <c r="N1100" s="43"/>
      <c r="O1100" s="43"/>
      <c r="P1100" s="43"/>
      <c r="Q1100" s="43"/>
      <c r="R1100" s="43"/>
      <c r="S1100" s="43"/>
      <c r="T1100" s="43"/>
      <c r="U1100" s="43"/>
      <c r="V1100" s="43"/>
      <c r="W1100" s="43"/>
      <c r="X1100" s="43"/>
      <c r="Y1100" s="43"/>
    </row>
    <row r="1101" ht="13.2" spans="1:25">
      <c r="A1101" s="42">
        <v>1100</v>
      </c>
      <c r="B1101" s="43" t="s">
        <v>1435</v>
      </c>
      <c r="C1101" s="43"/>
      <c r="D1101" s="43"/>
      <c r="E1101" s="43"/>
      <c r="F1101" s="43"/>
      <c r="G1101" s="43"/>
      <c r="H1101" s="43"/>
      <c r="I1101" s="43"/>
      <c r="J1101" s="43"/>
      <c r="K1101" s="43"/>
      <c r="L1101" s="43"/>
      <c r="M1101" s="43"/>
      <c r="N1101" s="43"/>
      <c r="O1101" s="43"/>
      <c r="P1101" s="43"/>
      <c r="Q1101" s="43"/>
      <c r="R1101" s="43"/>
      <c r="S1101" s="43"/>
      <c r="T1101" s="43"/>
      <c r="U1101" s="43"/>
      <c r="V1101" s="43"/>
      <c r="W1101" s="43"/>
      <c r="X1101" s="43"/>
      <c r="Y1101" s="43"/>
    </row>
    <row r="1102" ht="13.2" spans="1:25">
      <c r="A1102" s="42">
        <v>1101</v>
      </c>
      <c r="B1102" s="43" t="s">
        <v>1436</v>
      </c>
      <c r="C1102" s="43"/>
      <c r="D1102" s="43"/>
      <c r="E1102" s="43"/>
      <c r="F1102" s="43"/>
      <c r="G1102" s="43"/>
      <c r="H1102" s="43"/>
      <c r="I1102" s="43"/>
      <c r="J1102" s="43"/>
      <c r="K1102" s="43"/>
      <c r="L1102" s="43"/>
      <c r="M1102" s="43"/>
      <c r="N1102" s="43"/>
      <c r="O1102" s="43"/>
      <c r="P1102" s="43"/>
      <c r="Q1102" s="43"/>
      <c r="R1102" s="43"/>
      <c r="S1102" s="43"/>
      <c r="T1102" s="43"/>
      <c r="U1102" s="43"/>
      <c r="V1102" s="43"/>
      <c r="W1102" s="43"/>
      <c r="X1102" s="43"/>
      <c r="Y1102" s="43"/>
    </row>
    <row r="1103" ht="13.2" spans="1:25">
      <c r="A1103" s="42">
        <v>1102</v>
      </c>
      <c r="B1103" s="43" t="s">
        <v>1437</v>
      </c>
      <c r="C1103" s="43"/>
      <c r="D1103" s="43"/>
      <c r="E1103" s="43"/>
      <c r="F1103" s="43"/>
      <c r="G1103" s="43"/>
      <c r="H1103" s="43"/>
      <c r="I1103" s="43"/>
      <c r="J1103" s="43"/>
      <c r="K1103" s="43"/>
      <c r="L1103" s="43"/>
      <c r="M1103" s="43"/>
      <c r="N1103" s="43"/>
      <c r="O1103" s="43"/>
      <c r="P1103" s="43"/>
      <c r="Q1103" s="43"/>
      <c r="R1103" s="43"/>
      <c r="S1103" s="43"/>
      <c r="T1103" s="43"/>
      <c r="U1103" s="43"/>
      <c r="V1103" s="43"/>
      <c r="W1103" s="43"/>
      <c r="X1103" s="43"/>
      <c r="Y1103" s="43"/>
    </row>
    <row r="1104" ht="13.2" spans="1:25">
      <c r="A1104" s="42">
        <v>1103</v>
      </c>
      <c r="B1104" s="43" t="s">
        <v>1438</v>
      </c>
      <c r="C1104" s="43"/>
      <c r="D1104" s="43"/>
      <c r="E1104" s="43"/>
      <c r="F1104" s="43"/>
      <c r="G1104" s="43"/>
      <c r="H1104" s="43"/>
      <c r="I1104" s="43"/>
      <c r="J1104" s="43"/>
      <c r="K1104" s="43"/>
      <c r="L1104" s="43"/>
      <c r="M1104" s="43"/>
      <c r="N1104" s="43"/>
      <c r="O1104" s="43"/>
      <c r="P1104" s="43"/>
      <c r="Q1104" s="43"/>
      <c r="R1104" s="43"/>
      <c r="S1104" s="43"/>
      <c r="T1104" s="43"/>
      <c r="U1104" s="43"/>
      <c r="V1104" s="43"/>
      <c r="W1104" s="43"/>
      <c r="X1104" s="43"/>
      <c r="Y1104" s="43"/>
    </row>
    <row r="1105" ht="13.2" spans="1:25">
      <c r="A1105" s="42">
        <v>1104</v>
      </c>
      <c r="B1105" s="43" t="s">
        <v>1439</v>
      </c>
      <c r="C1105" s="43"/>
      <c r="D1105" s="43"/>
      <c r="E1105" s="43"/>
      <c r="F1105" s="43"/>
      <c r="G1105" s="43"/>
      <c r="H1105" s="43"/>
      <c r="I1105" s="43"/>
      <c r="J1105" s="43"/>
      <c r="K1105" s="43"/>
      <c r="L1105" s="43"/>
      <c r="M1105" s="43"/>
      <c r="N1105" s="43"/>
      <c r="O1105" s="43"/>
      <c r="P1105" s="43"/>
      <c r="Q1105" s="43"/>
      <c r="R1105" s="43"/>
      <c r="S1105" s="43"/>
      <c r="T1105" s="43"/>
      <c r="U1105" s="43"/>
      <c r="V1105" s="43"/>
      <c r="W1105" s="43"/>
      <c r="X1105" s="43"/>
      <c r="Y1105" s="43"/>
    </row>
    <row r="1106" ht="13.2" spans="1:25">
      <c r="A1106" s="42">
        <v>1105</v>
      </c>
      <c r="B1106" s="43" t="s">
        <v>1440</v>
      </c>
      <c r="C1106" s="43"/>
      <c r="D1106" s="43"/>
      <c r="E1106" s="43"/>
      <c r="F1106" s="43"/>
      <c r="G1106" s="43"/>
      <c r="H1106" s="43"/>
      <c r="I1106" s="43"/>
      <c r="J1106" s="43"/>
      <c r="K1106" s="43"/>
      <c r="L1106" s="43"/>
      <c r="M1106" s="43"/>
      <c r="N1106" s="43"/>
      <c r="O1106" s="43"/>
      <c r="P1106" s="43"/>
      <c r="Q1106" s="43"/>
      <c r="R1106" s="43"/>
      <c r="S1106" s="43"/>
      <c r="T1106" s="43"/>
      <c r="U1106" s="43"/>
      <c r="V1106" s="43"/>
      <c r="W1106" s="43"/>
      <c r="X1106" s="43"/>
      <c r="Y1106" s="43"/>
    </row>
    <row r="1107" ht="13.2" spans="1:25">
      <c r="A1107" s="42">
        <v>1106</v>
      </c>
      <c r="B1107" s="43" t="s">
        <v>1441</v>
      </c>
      <c r="C1107" s="43"/>
      <c r="D1107" s="43"/>
      <c r="E1107" s="43"/>
      <c r="F1107" s="43"/>
      <c r="G1107" s="43"/>
      <c r="H1107" s="43"/>
      <c r="I1107" s="43"/>
      <c r="J1107" s="43"/>
      <c r="K1107" s="43"/>
      <c r="L1107" s="43"/>
      <c r="M1107" s="43"/>
      <c r="N1107" s="43"/>
      <c r="O1107" s="43"/>
      <c r="P1107" s="43"/>
      <c r="Q1107" s="43"/>
      <c r="R1107" s="43"/>
      <c r="S1107" s="43"/>
      <c r="T1107" s="43"/>
      <c r="U1107" s="43"/>
      <c r="V1107" s="43"/>
      <c r="W1107" s="43"/>
      <c r="X1107" s="43"/>
      <c r="Y1107" s="43"/>
    </row>
    <row r="1108" ht="13.2" spans="1:25">
      <c r="A1108" s="42">
        <v>1107</v>
      </c>
      <c r="B1108" s="43" t="s">
        <v>1442</v>
      </c>
      <c r="C1108" s="43"/>
      <c r="D1108" s="43"/>
      <c r="E1108" s="43"/>
      <c r="F1108" s="43"/>
      <c r="G1108" s="43"/>
      <c r="H1108" s="43"/>
      <c r="I1108" s="43"/>
      <c r="J1108" s="43"/>
      <c r="K1108" s="43"/>
      <c r="L1108" s="43"/>
      <c r="M1108" s="43"/>
      <c r="N1108" s="43"/>
      <c r="O1108" s="43"/>
      <c r="P1108" s="43"/>
      <c r="Q1108" s="43"/>
      <c r="R1108" s="43"/>
      <c r="S1108" s="43"/>
      <c r="T1108" s="43"/>
      <c r="U1108" s="43"/>
      <c r="V1108" s="43"/>
      <c r="W1108" s="43"/>
      <c r="X1108" s="43"/>
      <c r="Y1108" s="43"/>
    </row>
    <row r="1109" ht="13.2" spans="1:25">
      <c r="A1109" s="42">
        <v>1108</v>
      </c>
      <c r="B1109" s="43" t="s">
        <v>1443</v>
      </c>
      <c r="C1109" s="43"/>
      <c r="D1109" s="43"/>
      <c r="E1109" s="43"/>
      <c r="F1109" s="43"/>
      <c r="G1109" s="43"/>
      <c r="H1109" s="43"/>
      <c r="I1109" s="43"/>
      <c r="J1109" s="43"/>
      <c r="K1109" s="43"/>
      <c r="L1109" s="43"/>
      <c r="M1109" s="43"/>
      <c r="N1109" s="43"/>
      <c r="O1109" s="43"/>
      <c r="P1109" s="43"/>
      <c r="Q1109" s="43"/>
      <c r="R1109" s="43"/>
      <c r="S1109" s="43"/>
      <c r="T1109" s="43"/>
      <c r="U1109" s="43"/>
      <c r="V1109" s="43"/>
      <c r="W1109" s="43"/>
      <c r="X1109" s="43"/>
      <c r="Y1109" s="43"/>
    </row>
    <row r="1110" ht="13.2" spans="1:25">
      <c r="A1110" s="42">
        <v>1109</v>
      </c>
      <c r="B1110" s="42" t="s">
        <v>1444</v>
      </c>
      <c r="C1110" s="43"/>
      <c r="D1110" s="43"/>
      <c r="E1110" s="43"/>
      <c r="F1110" s="43"/>
      <c r="G1110" s="43"/>
      <c r="H1110" s="43"/>
      <c r="I1110" s="43"/>
      <c r="J1110" s="43"/>
      <c r="K1110" s="43"/>
      <c r="L1110" s="43"/>
      <c r="M1110" s="43"/>
      <c r="N1110" s="43"/>
      <c r="O1110" s="43"/>
      <c r="P1110" s="43"/>
      <c r="Q1110" s="43"/>
      <c r="R1110" s="43"/>
      <c r="S1110" s="43"/>
      <c r="T1110" s="43"/>
      <c r="U1110" s="43"/>
      <c r="V1110" s="43"/>
      <c r="W1110" s="43"/>
      <c r="X1110" s="43"/>
      <c r="Y1110" s="43"/>
    </row>
    <row r="1111" ht="13.2" spans="1:25">
      <c r="A1111" s="42">
        <v>1110</v>
      </c>
      <c r="B1111" s="43" t="s">
        <v>1445</v>
      </c>
      <c r="C1111" s="43"/>
      <c r="D1111" s="43"/>
      <c r="E1111" s="43"/>
      <c r="F1111" s="43"/>
      <c r="G1111" s="43"/>
      <c r="H1111" s="43"/>
      <c r="I1111" s="43"/>
      <c r="J1111" s="43"/>
      <c r="K1111" s="43"/>
      <c r="L1111" s="43"/>
      <c r="M1111" s="43"/>
      <c r="N1111" s="43"/>
      <c r="O1111" s="43"/>
      <c r="P1111" s="43"/>
      <c r="Q1111" s="43"/>
      <c r="R1111" s="43"/>
      <c r="S1111" s="43"/>
      <c r="T1111" s="43"/>
      <c r="U1111" s="43"/>
      <c r="V1111" s="43"/>
      <c r="W1111" s="43"/>
      <c r="X1111" s="43"/>
      <c r="Y1111" s="43"/>
    </row>
    <row r="1112" ht="13.2" spans="1:25">
      <c r="A1112" s="42">
        <v>1111</v>
      </c>
      <c r="B1112" s="43" t="s">
        <v>1446</v>
      </c>
      <c r="C1112" s="43"/>
      <c r="D1112" s="43"/>
      <c r="E1112" s="43"/>
      <c r="F1112" s="43"/>
      <c r="G1112" s="43"/>
      <c r="H1112" s="43"/>
      <c r="I1112" s="43"/>
      <c r="J1112" s="43"/>
      <c r="K1112" s="43"/>
      <c r="L1112" s="43"/>
      <c r="M1112" s="43"/>
      <c r="N1112" s="43"/>
      <c r="O1112" s="43"/>
      <c r="P1112" s="43"/>
      <c r="Q1112" s="43"/>
      <c r="R1112" s="43"/>
      <c r="S1112" s="43"/>
      <c r="T1112" s="43"/>
      <c r="U1112" s="43"/>
      <c r="V1112" s="43"/>
      <c r="W1112" s="43"/>
      <c r="X1112" s="43"/>
      <c r="Y1112" s="43"/>
    </row>
    <row r="1113" ht="13.2" spans="1:25">
      <c r="A1113" s="42">
        <v>1112</v>
      </c>
      <c r="B1113" s="43" t="s">
        <v>1447</v>
      </c>
      <c r="C1113" s="43"/>
      <c r="D1113" s="43"/>
      <c r="E1113" s="43"/>
      <c r="F1113" s="43"/>
      <c r="G1113" s="43"/>
      <c r="H1113" s="43"/>
      <c r="I1113" s="43"/>
      <c r="J1113" s="43"/>
      <c r="K1113" s="43"/>
      <c r="L1113" s="43"/>
      <c r="M1113" s="43"/>
      <c r="N1113" s="43"/>
      <c r="O1113" s="43"/>
      <c r="P1113" s="43"/>
      <c r="Q1113" s="43"/>
      <c r="R1113" s="43"/>
      <c r="S1113" s="43"/>
      <c r="T1113" s="43"/>
      <c r="U1113" s="43"/>
      <c r="V1113" s="43"/>
      <c r="W1113" s="43"/>
      <c r="X1113" s="43"/>
      <c r="Y1113" s="43"/>
    </row>
    <row r="1114" ht="13.2" spans="1:25">
      <c r="A1114" s="42">
        <v>1113</v>
      </c>
      <c r="B1114" s="43" t="s">
        <v>1448</v>
      </c>
      <c r="C1114" s="43"/>
      <c r="D1114" s="43"/>
      <c r="E1114" s="43"/>
      <c r="F1114" s="43"/>
      <c r="G1114" s="43"/>
      <c r="H1114" s="43"/>
      <c r="I1114" s="43"/>
      <c r="J1114" s="43"/>
      <c r="K1114" s="43"/>
      <c r="L1114" s="43"/>
      <c r="M1114" s="43"/>
      <c r="N1114" s="43"/>
      <c r="O1114" s="43"/>
      <c r="P1114" s="43"/>
      <c r="Q1114" s="43"/>
      <c r="R1114" s="43"/>
      <c r="S1114" s="43"/>
      <c r="T1114" s="43"/>
      <c r="U1114" s="43"/>
      <c r="V1114" s="43"/>
      <c r="W1114" s="43"/>
      <c r="X1114" s="43"/>
      <c r="Y1114" s="43"/>
    </row>
    <row r="1115" ht="13.2" spans="1:25">
      <c r="A1115" s="42">
        <v>1114</v>
      </c>
      <c r="B1115" s="43" t="s">
        <v>1449</v>
      </c>
      <c r="C1115" s="43"/>
      <c r="D1115" s="43"/>
      <c r="E1115" s="43"/>
      <c r="F1115" s="43"/>
      <c r="G1115" s="43"/>
      <c r="H1115" s="43"/>
      <c r="I1115" s="43"/>
      <c r="J1115" s="43"/>
      <c r="K1115" s="43"/>
      <c r="L1115" s="43"/>
      <c r="M1115" s="43"/>
      <c r="N1115" s="43"/>
      <c r="O1115" s="43"/>
      <c r="P1115" s="43"/>
      <c r="Q1115" s="43"/>
      <c r="R1115" s="43"/>
      <c r="S1115" s="43"/>
      <c r="T1115" s="43"/>
      <c r="U1115" s="43"/>
      <c r="V1115" s="43"/>
      <c r="W1115" s="43"/>
      <c r="X1115" s="43"/>
      <c r="Y1115" s="43"/>
    </row>
    <row r="1116" ht="13.2" spans="1:25">
      <c r="A1116" s="42">
        <v>1115</v>
      </c>
      <c r="B1116" s="43" t="s">
        <v>1450</v>
      </c>
      <c r="C1116" s="43"/>
      <c r="D1116" s="43"/>
      <c r="E1116" s="43"/>
      <c r="F1116" s="43"/>
      <c r="G1116" s="43"/>
      <c r="H1116" s="43"/>
      <c r="I1116" s="43"/>
      <c r="J1116" s="43"/>
      <c r="K1116" s="43"/>
      <c r="L1116" s="43"/>
      <c r="M1116" s="43"/>
      <c r="N1116" s="43"/>
      <c r="O1116" s="43"/>
      <c r="P1116" s="43"/>
      <c r="Q1116" s="43"/>
      <c r="R1116" s="43"/>
      <c r="S1116" s="43"/>
      <c r="T1116" s="43"/>
      <c r="U1116" s="43"/>
      <c r="V1116" s="43"/>
      <c r="W1116" s="43"/>
      <c r="X1116" s="43"/>
      <c r="Y1116" s="43"/>
    </row>
    <row r="1117" ht="13.2" spans="1:25">
      <c r="A1117" s="42">
        <v>1116</v>
      </c>
      <c r="B1117" s="43" t="s">
        <v>1451</v>
      </c>
      <c r="C1117" s="43"/>
      <c r="D1117" s="43"/>
      <c r="E1117" s="43"/>
      <c r="F1117" s="43"/>
      <c r="G1117" s="43"/>
      <c r="H1117" s="43"/>
      <c r="I1117" s="43"/>
      <c r="J1117" s="43"/>
      <c r="K1117" s="43"/>
      <c r="L1117" s="43"/>
      <c r="M1117" s="43"/>
      <c r="N1117" s="43"/>
      <c r="O1117" s="43"/>
      <c r="P1117" s="43"/>
      <c r="Q1117" s="43"/>
      <c r="R1117" s="43"/>
      <c r="S1117" s="43"/>
      <c r="T1117" s="43"/>
      <c r="U1117" s="43"/>
      <c r="V1117" s="43"/>
      <c r="W1117" s="43"/>
      <c r="X1117" s="43"/>
      <c r="Y1117" s="43"/>
    </row>
    <row r="1118" ht="13.2" spans="1:25">
      <c r="A1118" s="42">
        <v>1117</v>
      </c>
      <c r="B1118" s="43" t="s">
        <v>1452</v>
      </c>
      <c r="C1118" s="43"/>
      <c r="D1118" s="43"/>
      <c r="E1118" s="43"/>
      <c r="F1118" s="43"/>
      <c r="G1118" s="43"/>
      <c r="H1118" s="43"/>
      <c r="I1118" s="43"/>
      <c r="J1118" s="43"/>
      <c r="K1118" s="43"/>
      <c r="L1118" s="43"/>
      <c r="M1118" s="43"/>
      <c r="N1118" s="43"/>
      <c r="O1118" s="43"/>
      <c r="P1118" s="43"/>
      <c r="Q1118" s="43"/>
      <c r="R1118" s="43"/>
      <c r="S1118" s="43"/>
      <c r="T1118" s="43"/>
      <c r="U1118" s="43"/>
      <c r="V1118" s="43"/>
      <c r="W1118" s="43"/>
      <c r="X1118" s="43"/>
      <c r="Y1118" s="43"/>
    </row>
    <row r="1119" ht="13.2" spans="1:25">
      <c r="A1119" s="42">
        <v>1118</v>
      </c>
      <c r="B1119" s="43" t="s">
        <v>1453</v>
      </c>
      <c r="C1119" s="43"/>
      <c r="D1119" s="43"/>
      <c r="E1119" s="43"/>
      <c r="F1119" s="43"/>
      <c r="G1119" s="43"/>
      <c r="H1119" s="43"/>
      <c r="I1119" s="43"/>
      <c r="J1119" s="43"/>
      <c r="K1119" s="43"/>
      <c r="L1119" s="43"/>
      <c r="M1119" s="43"/>
      <c r="N1119" s="43"/>
      <c r="O1119" s="43"/>
      <c r="P1119" s="43"/>
      <c r="Q1119" s="43"/>
      <c r="R1119" s="43"/>
      <c r="S1119" s="43"/>
      <c r="T1119" s="43"/>
      <c r="U1119" s="43"/>
      <c r="V1119" s="43"/>
      <c r="W1119" s="43"/>
      <c r="X1119" s="43"/>
      <c r="Y1119" s="43"/>
    </row>
    <row r="1120" ht="13.2" spans="1:25">
      <c r="A1120" s="42">
        <v>1119</v>
      </c>
      <c r="B1120" s="43" t="s">
        <v>243</v>
      </c>
      <c r="C1120" s="43"/>
      <c r="D1120" s="43"/>
      <c r="E1120" s="43"/>
      <c r="F1120" s="43"/>
      <c r="G1120" s="43"/>
      <c r="H1120" s="43"/>
      <c r="I1120" s="43"/>
      <c r="J1120" s="43"/>
      <c r="K1120" s="43"/>
      <c r="L1120" s="43"/>
      <c r="M1120" s="43"/>
      <c r="N1120" s="43"/>
      <c r="O1120" s="43"/>
      <c r="P1120" s="43"/>
      <c r="Q1120" s="43"/>
      <c r="R1120" s="43"/>
      <c r="S1120" s="43"/>
      <c r="T1120" s="43"/>
      <c r="U1120" s="43"/>
      <c r="V1120" s="43"/>
      <c r="W1120" s="43"/>
      <c r="X1120" s="43"/>
      <c r="Y1120" s="43"/>
    </row>
    <row r="1121" ht="13.2" spans="1:25">
      <c r="A1121" s="42">
        <v>1120</v>
      </c>
      <c r="B1121" s="43" t="s">
        <v>1454</v>
      </c>
      <c r="C1121" s="43"/>
      <c r="D1121" s="43"/>
      <c r="E1121" s="43"/>
      <c r="F1121" s="43"/>
      <c r="G1121" s="43"/>
      <c r="H1121" s="43"/>
      <c r="I1121" s="43"/>
      <c r="J1121" s="43"/>
      <c r="K1121" s="43"/>
      <c r="L1121" s="43"/>
      <c r="M1121" s="43"/>
      <c r="N1121" s="43"/>
      <c r="O1121" s="43"/>
      <c r="P1121" s="43"/>
      <c r="Q1121" s="43"/>
      <c r="R1121" s="43"/>
      <c r="S1121" s="43"/>
      <c r="T1121" s="43"/>
      <c r="U1121" s="43"/>
      <c r="V1121" s="43"/>
      <c r="W1121" s="43"/>
      <c r="X1121" s="43"/>
      <c r="Y1121" s="43"/>
    </row>
    <row r="1122" ht="13.2" spans="1:25">
      <c r="A1122" s="42">
        <v>1121</v>
      </c>
      <c r="B1122" s="43" t="s">
        <v>1455</v>
      </c>
      <c r="C1122" s="43"/>
      <c r="D1122" s="43"/>
      <c r="E1122" s="43"/>
      <c r="F1122" s="43"/>
      <c r="G1122" s="43"/>
      <c r="H1122" s="43"/>
      <c r="I1122" s="43"/>
      <c r="J1122" s="43"/>
      <c r="K1122" s="43"/>
      <c r="L1122" s="43"/>
      <c r="M1122" s="43"/>
      <c r="N1122" s="43"/>
      <c r="O1122" s="43"/>
      <c r="P1122" s="43"/>
      <c r="Q1122" s="43"/>
      <c r="R1122" s="43"/>
      <c r="S1122" s="43"/>
      <c r="T1122" s="43"/>
      <c r="U1122" s="43"/>
      <c r="V1122" s="43"/>
      <c r="W1122" s="43"/>
      <c r="X1122" s="43"/>
      <c r="Y1122" s="43"/>
    </row>
    <row r="1123" ht="13.2" spans="1:25">
      <c r="A1123" s="42">
        <v>1122</v>
      </c>
      <c r="B1123" s="43" t="s">
        <v>1456</v>
      </c>
      <c r="C1123" s="43"/>
      <c r="D1123" s="43"/>
      <c r="E1123" s="43"/>
      <c r="F1123" s="43"/>
      <c r="G1123" s="43"/>
      <c r="H1123" s="43"/>
      <c r="I1123" s="43"/>
      <c r="J1123" s="43"/>
      <c r="K1123" s="43"/>
      <c r="L1123" s="43"/>
      <c r="M1123" s="43"/>
      <c r="N1123" s="43"/>
      <c r="O1123" s="43"/>
      <c r="P1123" s="43"/>
      <c r="Q1123" s="43"/>
      <c r="R1123" s="43"/>
      <c r="S1123" s="43"/>
      <c r="T1123" s="43"/>
      <c r="U1123" s="43"/>
      <c r="V1123" s="43"/>
      <c r="W1123" s="43"/>
      <c r="X1123" s="43"/>
      <c r="Y1123" s="43"/>
    </row>
    <row r="1124" ht="13.2" spans="1:25">
      <c r="A1124" s="42">
        <v>1123</v>
      </c>
      <c r="B1124" s="43" t="s">
        <v>1457</v>
      </c>
      <c r="C1124" s="43"/>
      <c r="D1124" s="43"/>
      <c r="E1124" s="43"/>
      <c r="F1124" s="43"/>
      <c r="G1124" s="43"/>
      <c r="H1124" s="43"/>
      <c r="I1124" s="43"/>
      <c r="J1124" s="43"/>
      <c r="K1124" s="43"/>
      <c r="L1124" s="43"/>
      <c r="M1124" s="43"/>
      <c r="N1124" s="43"/>
      <c r="O1124" s="43"/>
      <c r="P1124" s="43"/>
      <c r="Q1124" s="43"/>
      <c r="R1124" s="43"/>
      <c r="S1124" s="43"/>
      <c r="T1124" s="43"/>
      <c r="U1124" s="43"/>
      <c r="V1124" s="43"/>
      <c r="W1124" s="43"/>
      <c r="X1124" s="43"/>
      <c r="Y1124" s="43"/>
    </row>
    <row r="1125" ht="13.2" spans="1:25">
      <c r="A1125" s="42">
        <v>1124</v>
      </c>
      <c r="B1125" s="43" t="s">
        <v>1458</v>
      </c>
      <c r="C1125" s="43"/>
      <c r="D1125" s="43"/>
      <c r="E1125" s="43"/>
      <c r="F1125" s="43"/>
      <c r="G1125" s="43"/>
      <c r="H1125" s="43"/>
      <c r="I1125" s="43"/>
      <c r="J1125" s="43"/>
      <c r="K1125" s="43"/>
      <c r="L1125" s="43"/>
      <c r="M1125" s="43"/>
      <c r="N1125" s="43"/>
      <c r="O1125" s="43"/>
      <c r="P1125" s="43"/>
      <c r="Q1125" s="43"/>
      <c r="R1125" s="43"/>
      <c r="S1125" s="43"/>
      <c r="T1125" s="43"/>
      <c r="U1125" s="43"/>
      <c r="V1125" s="43"/>
      <c r="W1125" s="43"/>
      <c r="X1125" s="43"/>
      <c r="Y1125" s="43"/>
    </row>
    <row r="1126" ht="13.2" spans="1:25">
      <c r="A1126" s="42">
        <v>1125</v>
      </c>
      <c r="B1126" s="43" t="s">
        <v>1459</v>
      </c>
      <c r="C1126" s="43"/>
      <c r="D1126" s="43"/>
      <c r="E1126" s="43"/>
      <c r="F1126" s="43"/>
      <c r="G1126" s="43"/>
      <c r="H1126" s="43"/>
      <c r="I1126" s="43"/>
      <c r="J1126" s="43"/>
      <c r="K1126" s="43"/>
      <c r="L1126" s="43"/>
      <c r="M1126" s="43"/>
      <c r="N1126" s="43"/>
      <c r="O1126" s="43"/>
      <c r="P1126" s="43"/>
      <c r="Q1126" s="43"/>
      <c r="R1126" s="43"/>
      <c r="S1126" s="43"/>
      <c r="T1126" s="43"/>
      <c r="U1126" s="43"/>
      <c r="V1126" s="43"/>
      <c r="W1126" s="43"/>
      <c r="X1126" s="43"/>
      <c r="Y1126" s="43"/>
    </row>
    <row r="1127" ht="13.2" spans="1:25">
      <c r="A1127" s="42">
        <v>1126</v>
      </c>
      <c r="B1127" s="43" t="s">
        <v>1460</v>
      </c>
      <c r="C1127" s="43"/>
      <c r="D1127" s="43"/>
      <c r="E1127" s="43"/>
      <c r="F1127" s="43"/>
      <c r="G1127" s="43"/>
      <c r="H1127" s="43"/>
      <c r="I1127" s="43"/>
      <c r="J1127" s="43"/>
      <c r="K1127" s="43"/>
      <c r="L1127" s="43"/>
      <c r="M1127" s="43"/>
      <c r="N1127" s="43"/>
      <c r="O1127" s="43"/>
      <c r="P1127" s="43"/>
      <c r="Q1127" s="43"/>
      <c r="R1127" s="43"/>
      <c r="S1127" s="43"/>
      <c r="T1127" s="43"/>
      <c r="U1127" s="43"/>
      <c r="V1127" s="43"/>
      <c r="W1127" s="43"/>
      <c r="X1127" s="43"/>
      <c r="Y1127" s="43"/>
    </row>
    <row r="1128" ht="13.2" spans="1:25">
      <c r="A1128" s="42">
        <v>1127</v>
      </c>
      <c r="B1128" s="43" t="s">
        <v>1461</v>
      </c>
      <c r="C1128" s="43"/>
      <c r="D1128" s="43"/>
      <c r="E1128" s="43"/>
      <c r="F1128" s="43"/>
      <c r="G1128" s="43"/>
      <c r="H1128" s="43"/>
      <c r="I1128" s="43"/>
      <c r="J1128" s="43"/>
      <c r="K1128" s="43"/>
      <c r="L1128" s="43"/>
      <c r="M1128" s="43"/>
      <c r="N1128" s="43"/>
      <c r="O1128" s="43"/>
      <c r="P1128" s="43"/>
      <c r="Q1128" s="43"/>
      <c r="R1128" s="43"/>
      <c r="S1128" s="43"/>
      <c r="T1128" s="43"/>
      <c r="U1128" s="43"/>
      <c r="V1128" s="43"/>
      <c r="W1128" s="43"/>
      <c r="X1128" s="43"/>
      <c r="Y1128" s="43"/>
    </row>
    <row r="1129" ht="13.2" spans="1:25">
      <c r="A1129" s="42">
        <v>1128</v>
      </c>
      <c r="B1129" s="43" t="s">
        <v>250</v>
      </c>
      <c r="C1129" s="43"/>
      <c r="D1129" s="43"/>
      <c r="E1129" s="43"/>
      <c r="F1129" s="43"/>
      <c r="G1129" s="43"/>
      <c r="H1129" s="43"/>
      <c r="I1129" s="43"/>
      <c r="J1129" s="43"/>
      <c r="K1129" s="43"/>
      <c r="L1129" s="43"/>
      <c r="M1129" s="43"/>
      <c r="N1129" s="43"/>
      <c r="O1129" s="43"/>
      <c r="P1129" s="43"/>
      <c r="Q1129" s="43"/>
      <c r="R1129" s="43"/>
      <c r="S1129" s="43"/>
      <c r="T1129" s="43"/>
      <c r="U1129" s="43"/>
      <c r="V1129" s="43"/>
      <c r="W1129" s="43"/>
      <c r="X1129" s="43"/>
      <c r="Y1129" s="43"/>
    </row>
    <row r="1130" ht="13.2" spans="1:25">
      <c r="A1130" s="42">
        <v>1129</v>
      </c>
      <c r="B1130" s="43" t="s">
        <v>1462</v>
      </c>
      <c r="C1130" s="43"/>
      <c r="D1130" s="43"/>
      <c r="E1130" s="43"/>
      <c r="F1130" s="43"/>
      <c r="G1130" s="43"/>
      <c r="H1130" s="43"/>
      <c r="I1130" s="43"/>
      <c r="J1130" s="43"/>
      <c r="K1130" s="43"/>
      <c r="L1130" s="43"/>
      <c r="M1130" s="43"/>
      <c r="N1130" s="43"/>
      <c r="O1130" s="43"/>
      <c r="P1130" s="43"/>
      <c r="Q1130" s="43"/>
      <c r="R1130" s="43"/>
      <c r="S1130" s="43"/>
      <c r="T1130" s="43"/>
      <c r="U1130" s="43"/>
      <c r="V1130" s="43"/>
      <c r="W1130" s="43"/>
      <c r="X1130" s="43"/>
      <c r="Y1130" s="43"/>
    </row>
    <row r="1131" ht="13.2" spans="1:25">
      <c r="A1131" s="42">
        <v>1130</v>
      </c>
      <c r="B1131" s="43" t="s">
        <v>1463</v>
      </c>
      <c r="C1131" s="43"/>
      <c r="D1131" s="43"/>
      <c r="E1131" s="43"/>
      <c r="F1131" s="43"/>
      <c r="G1131" s="43"/>
      <c r="H1131" s="43"/>
      <c r="I1131" s="43"/>
      <c r="J1131" s="43"/>
      <c r="K1131" s="43"/>
      <c r="L1131" s="43"/>
      <c r="M1131" s="43"/>
      <c r="N1131" s="43"/>
      <c r="O1131" s="43"/>
      <c r="P1131" s="43"/>
      <c r="Q1131" s="43"/>
      <c r="R1131" s="43"/>
      <c r="S1131" s="43"/>
      <c r="T1131" s="43"/>
      <c r="U1131" s="43"/>
      <c r="V1131" s="43"/>
      <c r="W1131" s="43"/>
      <c r="X1131" s="43"/>
      <c r="Y1131" s="43"/>
    </row>
    <row r="1132" ht="13.2" spans="1:25">
      <c r="A1132" s="42">
        <v>1131</v>
      </c>
      <c r="B1132" s="43" t="s">
        <v>1464</v>
      </c>
      <c r="C1132" s="43"/>
      <c r="D1132" s="43"/>
      <c r="E1132" s="43"/>
      <c r="F1132" s="43"/>
      <c r="G1132" s="43"/>
      <c r="H1132" s="43"/>
      <c r="I1132" s="43"/>
      <c r="J1132" s="43"/>
      <c r="K1132" s="43"/>
      <c r="L1132" s="43"/>
      <c r="M1132" s="43"/>
      <c r="N1132" s="43"/>
      <c r="O1132" s="43"/>
      <c r="P1132" s="43"/>
      <c r="Q1132" s="43"/>
      <c r="R1132" s="43"/>
      <c r="S1132" s="43"/>
      <c r="T1132" s="43"/>
      <c r="U1132" s="43"/>
      <c r="V1132" s="43"/>
      <c r="W1132" s="43"/>
      <c r="X1132" s="43"/>
      <c r="Y1132" s="43"/>
    </row>
    <row r="1133" ht="13.2" spans="1:25">
      <c r="A1133" s="42">
        <v>1132</v>
      </c>
      <c r="B1133" s="43" t="s">
        <v>1465</v>
      </c>
      <c r="C1133" s="43"/>
      <c r="D1133" s="43"/>
      <c r="E1133" s="43"/>
      <c r="F1133" s="43"/>
      <c r="G1133" s="43"/>
      <c r="H1133" s="43"/>
      <c r="I1133" s="43"/>
      <c r="J1133" s="43"/>
      <c r="K1133" s="43"/>
      <c r="L1133" s="43"/>
      <c r="M1133" s="43"/>
      <c r="N1133" s="43"/>
      <c r="O1133" s="43"/>
      <c r="P1133" s="43"/>
      <c r="Q1133" s="43"/>
      <c r="R1133" s="43"/>
      <c r="S1133" s="43"/>
      <c r="T1133" s="43"/>
      <c r="U1133" s="43"/>
      <c r="V1133" s="43"/>
      <c r="W1133" s="43"/>
      <c r="X1133" s="43"/>
      <c r="Y1133" s="43"/>
    </row>
    <row r="1134" ht="13.2" spans="1:25">
      <c r="A1134" s="42">
        <v>1133</v>
      </c>
      <c r="B1134" s="43" t="s">
        <v>1466</v>
      </c>
      <c r="C1134" s="43"/>
      <c r="D1134" s="43"/>
      <c r="E1134" s="43"/>
      <c r="F1134" s="43"/>
      <c r="G1134" s="43"/>
      <c r="H1134" s="43"/>
      <c r="I1134" s="43"/>
      <c r="J1134" s="43"/>
      <c r="K1134" s="43"/>
      <c r="L1134" s="43"/>
      <c r="M1134" s="43"/>
      <c r="N1134" s="43"/>
      <c r="O1134" s="43"/>
      <c r="P1134" s="43"/>
      <c r="Q1134" s="43"/>
      <c r="R1134" s="43"/>
      <c r="S1134" s="43"/>
      <c r="T1134" s="43"/>
      <c r="U1134" s="43"/>
      <c r="V1134" s="43"/>
      <c r="W1134" s="43"/>
      <c r="X1134" s="43"/>
      <c r="Y1134" s="43"/>
    </row>
    <row r="1135" ht="13.2" spans="1:25">
      <c r="A1135" s="42">
        <v>1134</v>
      </c>
      <c r="B1135" s="43" t="s">
        <v>1467</v>
      </c>
      <c r="C1135" s="43"/>
      <c r="D1135" s="43"/>
      <c r="E1135" s="43"/>
      <c r="F1135" s="43"/>
      <c r="G1135" s="43"/>
      <c r="H1135" s="43"/>
      <c r="I1135" s="43"/>
      <c r="J1135" s="43"/>
      <c r="K1135" s="43"/>
      <c r="L1135" s="43"/>
      <c r="M1135" s="43"/>
      <c r="N1135" s="43"/>
      <c r="O1135" s="43"/>
      <c r="P1135" s="43"/>
      <c r="Q1135" s="43"/>
      <c r="R1135" s="43"/>
      <c r="S1135" s="43"/>
      <c r="T1135" s="43"/>
      <c r="U1135" s="43"/>
      <c r="V1135" s="43"/>
      <c r="W1135" s="43"/>
      <c r="X1135" s="43"/>
      <c r="Y1135" s="43"/>
    </row>
    <row r="1136" ht="13.2" spans="1:25">
      <c r="A1136" s="42">
        <v>1135</v>
      </c>
      <c r="B1136" s="43" t="s">
        <v>1468</v>
      </c>
      <c r="C1136" s="43"/>
      <c r="D1136" s="43"/>
      <c r="E1136" s="43"/>
      <c r="F1136" s="43"/>
      <c r="G1136" s="43"/>
      <c r="H1136" s="43"/>
      <c r="I1136" s="43"/>
      <c r="J1136" s="43"/>
      <c r="K1136" s="43"/>
      <c r="L1136" s="43"/>
      <c r="M1136" s="43"/>
      <c r="N1136" s="43"/>
      <c r="O1136" s="43"/>
      <c r="P1136" s="43"/>
      <c r="Q1136" s="43"/>
      <c r="R1136" s="43"/>
      <c r="S1136" s="43"/>
      <c r="T1136" s="43"/>
      <c r="U1136" s="43"/>
      <c r="V1136" s="43"/>
      <c r="W1136" s="43"/>
      <c r="X1136" s="43"/>
      <c r="Y1136" s="43"/>
    </row>
    <row r="1137" ht="13.2" spans="1:25">
      <c r="A1137" s="42">
        <v>1136</v>
      </c>
      <c r="B1137" s="43" t="s">
        <v>1469</v>
      </c>
      <c r="C1137" s="43"/>
      <c r="D1137" s="43"/>
      <c r="E1137" s="43"/>
      <c r="F1137" s="43"/>
      <c r="G1137" s="43"/>
      <c r="H1137" s="43"/>
      <c r="I1137" s="43"/>
      <c r="J1137" s="43"/>
      <c r="K1137" s="43"/>
      <c r="L1137" s="43"/>
      <c r="M1137" s="43"/>
      <c r="N1137" s="43"/>
      <c r="O1137" s="43"/>
      <c r="P1137" s="43"/>
      <c r="Q1137" s="43"/>
      <c r="R1137" s="43"/>
      <c r="S1137" s="43"/>
      <c r="T1137" s="43"/>
      <c r="U1137" s="43"/>
      <c r="V1137" s="43"/>
      <c r="W1137" s="43"/>
      <c r="X1137" s="43"/>
      <c r="Y1137" s="43"/>
    </row>
    <row r="1138" ht="13.2" spans="1:25">
      <c r="A1138" s="42">
        <v>1137</v>
      </c>
      <c r="B1138" s="43" t="s">
        <v>1470</v>
      </c>
      <c r="C1138" s="43"/>
      <c r="D1138" s="43"/>
      <c r="E1138" s="43"/>
      <c r="F1138" s="43"/>
      <c r="G1138" s="43"/>
      <c r="H1138" s="43"/>
      <c r="I1138" s="43"/>
      <c r="J1138" s="43"/>
      <c r="K1138" s="43"/>
      <c r="L1138" s="43"/>
      <c r="M1138" s="43"/>
      <c r="N1138" s="43"/>
      <c r="O1138" s="43"/>
      <c r="P1138" s="43"/>
      <c r="Q1138" s="43"/>
      <c r="R1138" s="43"/>
      <c r="S1138" s="43"/>
      <c r="T1138" s="43"/>
      <c r="U1138" s="43"/>
      <c r="V1138" s="43"/>
      <c r="W1138" s="43"/>
      <c r="X1138" s="43"/>
      <c r="Y1138" s="43"/>
    </row>
    <row r="1139" ht="13.2" spans="1:25">
      <c r="A1139" s="42">
        <v>1138</v>
      </c>
      <c r="B1139" s="43" t="s">
        <v>1471</v>
      </c>
      <c r="C1139" s="43"/>
      <c r="D1139" s="43"/>
      <c r="E1139" s="43"/>
      <c r="F1139" s="43"/>
      <c r="G1139" s="43"/>
      <c r="H1139" s="43"/>
      <c r="I1139" s="43"/>
      <c r="J1139" s="43"/>
      <c r="K1139" s="43"/>
      <c r="L1139" s="43"/>
      <c r="M1139" s="43"/>
      <c r="N1139" s="43"/>
      <c r="O1139" s="43"/>
      <c r="P1139" s="43"/>
      <c r="Q1139" s="43"/>
      <c r="R1139" s="43"/>
      <c r="S1139" s="43"/>
      <c r="T1139" s="43"/>
      <c r="U1139" s="43"/>
      <c r="V1139" s="43"/>
      <c r="W1139" s="43"/>
      <c r="X1139" s="43"/>
      <c r="Y1139" s="43"/>
    </row>
    <row r="1140" ht="13.2" spans="1:25">
      <c r="A1140" s="42">
        <v>1139</v>
      </c>
      <c r="B1140" s="43" t="s">
        <v>1472</v>
      </c>
      <c r="C1140" s="43"/>
      <c r="D1140" s="43"/>
      <c r="E1140" s="43"/>
      <c r="F1140" s="43"/>
      <c r="G1140" s="43"/>
      <c r="H1140" s="43"/>
      <c r="I1140" s="43"/>
      <c r="J1140" s="43"/>
      <c r="K1140" s="43"/>
      <c r="L1140" s="43"/>
      <c r="M1140" s="43"/>
      <c r="N1140" s="43"/>
      <c r="O1140" s="43"/>
      <c r="P1140" s="43"/>
      <c r="Q1140" s="43"/>
      <c r="R1140" s="43"/>
      <c r="S1140" s="43"/>
      <c r="T1140" s="43"/>
      <c r="U1140" s="43"/>
      <c r="V1140" s="43"/>
      <c r="W1140" s="43"/>
      <c r="X1140" s="43"/>
      <c r="Y1140" s="43"/>
    </row>
    <row r="1141" ht="13.2" spans="1:25">
      <c r="A1141" s="42">
        <v>1140</v>
      </c>
      <c r="B1141" s="43" t="s">
        <v>1473</v>
      </c>
      <c r="C1141" s="43"/>
      <c r="D1141" s="43"/>
      <c r="E1141" s="43"/>
      <c r="F1141" s="43"/>
      <c r="G1141" s="43"/>
      <c r="H1141" s="43"/>
      <c r="I1141" s="43"/>
      <c r="J1141" s="43"/>
      <c r="K1141" s="43"/>
      <c r="L1141" s="43"/>
      <c r="M1141" s="43"/>
      <c r="N1141" s="43"/>
      <c r="O1141" s="43"/>
      <c r="P1141" s="43"/>
      <c r="Q1141" s="43"/>
      <c r="R1141" s="43"/>
      <c r="S1141" s="43"/>
      <c r="T1141" s="43"/>
      <c r="U1141" s="43"/>
      <c r="V1141" s="43"/>
      <c r="W1141" s="43"/>
      <c r="X1141" s="43"/>
      <c r="Y1141" s="43"/>
    </row>
    <row r="1142" ht="13.2" spans="1:25">
      <c r="A1142" s="42">
        <v>1141</v>
      </c>
      <c r="B1142" s="43" t="s">
        <v>1474</v>
      </c>
      <c r="C1142" s="43"/>
      <c r="D1142" s="43"/>
      <c r="E1142" s="43"/>
      <c r="F1142" s="43"/>
      <c r="G1142" s="43"/>
      <c r="H1142" s="43"/>
      <c r="I1142" s="43"/>
      <c r="J1142" s="43"/>
      <c r="K1142" s="43"/>
      <c r="L1142" s="43"/>
      <c r="M1142" s="43"/>
      <c r="N1142" s="43"/>
      <c r="O1142" s="43"/>
      <c r="P1142" s="43"/>
      <c r="Q1142" s="43"/>
      <c r="R1142" s="43"/>
      <c r="S1142" s="43"/>
      <c r="T1142" s="43"/>
      <c r="U1142" s="43"/>
      <c r="V1142" s="43"/>
      <c r="W1142" s="43"/>
      <c r="X1142" s="43"/>
      <c r="Y1142" s="43"/>
    </row>
    <row r="1143" ht="13.2" spans="1:25">
      <c r="A1143" s="42">
        <v>1142</v>
      </c>
      <c r="B1143" s="43" t="s">
        <v>1475</v>
      </c>
      <c r="C1143" s="43"/>
      <c r="D1143" s="43"/>
      <c r="E1143" s="43"/>
      <c r="F1143" s="43"/>
      <c r="G1143" s="43"/>
      <c r="H1143" s="43"/>
      <c r="I1143" s="43"/>
      <c r="J1143" s="43"/>
      <c r="K1143" s="43"/>
      <c r="L1143" s="43"/>
      <c r="M1143" s="43"/>
      <c r="N1143" s="43"/>
      <c r="O1143" s="43"/>
      <c r="P1143" s="43"/>
      <c r="Q1143" s="43"/>
      <c r="R1143" s="43"/>
      <c r="S1143" s="43"/>
      <c r="T1143" s="43"/>
      <c r="U1143" s="43"/>
      <c r="V1143" s="43"/>
      <c r="W1143" s="43"/>
      <c r="X1143" s="43"/>
      <c r="Y1143" s="43"/>
    </row>
    <row r="1144" ht="13.2" spans="1:25">
      <c r="A1144" s="42">
        <v>1143</v>
      </c>
      <c r="B1144" s="43" t="s">
        <v>1476</v>
      </c>
      <c r="C1144" s="43"/>
      <c r="D1144" s="43"/>
      <c r="E1144" s="43"/>
      <c r="F1144" s="43"/>
      <c r="G1144" s="43"/>
      <c r="H1144" s="43"/>
      <c r="I1144" s="43"/>
      <c r="J1144" s="43"/>
      <c r="K1144" s="43"/>
      <c r="L1144" s="43"/>
      <c r="M1144" s="43"/>
      <c r="N1144" s="43"/>
      <c r="O1144" s="43"/>
      <c r="P1144" s="43"/>
      <c r="Q1144" s="43"/>
      <c r="R1144" s="43"/>
      <c r="S1144" s="43"/>
      <c r="T1144" s="43"/>
      <c r="U1144" s="43"/>
      <c r="V1144" s="43"/>
      <c r="W1144" s="43"/>
      <c r="X1144" s="43"/>
      <c r="Y1144" s="43"/>
    </row>
    <row r="1145" ht="13.2" spans="1:25">
      <c r="A1145" s="42">
        <v>1144</v>
      </c>
      <c r="B1145" s="43" t="s">
        <v>1477</v>
      </c>
      <c r="C1145" s="43"/>
      <c r="D1145" s="43"/>
      <c r="E1145" s="43"/>
      <c r="F1145" s="43"/>
      <c r="G1145" s="43"/>
      <c r="H1145" s="43"/>
      <c r="I1145" s="43"/>
      <c r="J1145" s="43"/>
      <c r="K1145" s="43"/>
      <c r="L1145" s="43"/>
      <c r="M1145" s="43"/>
      <c r="N1145" s="43"/>
      <c r="O1145" s="43"/>
      <c r="P1145" s="43"/>
      <c r="Q1145" s="43"/>
      <c r="R1145" s="43"/>
      <c r="S1145" s="43"/>
      <c r="T1145" s="43"/>
      <c r="U1145" s="43"/>
      <c r="V1145" s="43"/>
      <c r="W1145" s="43"/>
      <c r="X1145" s="43"/>
      <c r="Y1145" s="43"/>
    </row>
    <row r="1146" ht="13.2" spans="1:25">
      <c r="A1146" s="42">
        <v>1145</v>
      </c>
      <c r="B1146" s="43" t="s">
        <v>1478</v>
      </c>
      <c r="C1146" s="43"/>
      <c r="D1146" s="43"/>
      <c r="E1146" s="43"/>
      <c r="F1146" s="43"/>
      <c r="G1146" s="43"/>
      <c r="H1146" s="43"/>
      <c r="I1146" s="43"/>
      <c r="J1146" s="43"/>
      <c r="K1146" s="43"/>
      <c r="L1146" s="43"/>
      <c r="M1146" s="43"/>
      <c r="N1146" s="43"/>
      <c r="O1146" s="43"/>
      <c r="P1146" s="43"/>
      <c r="Q1146" s="43"/>
      <c r="R1146" s="43"/>
      <c r="S1146" s="43"/>
      <c r="T1146" s="43"/>
      <c r="U1146" s="43"/>
      <c r="V1146" s="43"/>
      <c r="W1146" s="43"/>
      <c r="X1146" s="43"/>
      <c r="Y1146" s="43"/>
    </row>
    <row r="1147" ht="13.2" spans="1:25">
      <c r="A1147" s="42">
        <v>1146</v>
      </c>
      <c r="B1147" s="43" t="s">
        <v>257</v>
      </c>
      <c r="C1147" s="43"/>
      <c r="D1147" s="43"/>
      <c r="E1147" s="43"/>
      <c r="F1147" s="43"/>
      <c r="G1147" s="43"/>
      <c r="H1147" s="43"/>
      <c r="I1147" s="43"/>
      <c r="J1147" s="43"/>
      <c r="K1147" s="43"/>
      <c r="L1147" s="43"/>
      <c r="M1147" s="43"/>
      <c r="N1147" s="43"/>
      <c r="O1147" s="43"/>
      <c r="P1147" s="43"/>
      <c r="Q1147" s="43"/>
      <c r="R1147" s="43"/>
      <c r="S1147" s="43"/>
      <c r="T1147" s="43"/>
      <c r="U1147" s="43"/>
      <c r="V1147" s="43"/>
      <c r="W1147" s="43"/>
      <c r="X1147" s="43"/>
      <c r="Y1147" s="43"/>
    </row>
    <row r="1148" ht="13.2" spans="1:25">
      <c r="A1148" s="42">
        <v>1147</v>
      </c>
      <c r="B1148" s="43" t="s">
        <v>1479</v>
      </c>
      <c r="C1148" s="43"/>
      <c r="D1148" s="43"/>
      <c r="E1148" s="43"/>
      <c r="F1148" s="43"/>
      <c r="G1148" s="43"/>
      <c r="H1148" s="43"/>
      <c r="I1148" s="43"/>
      <c r="J1148" s="43"/>
      <c r="K1148" s="43"/>
      <c r="L1148" s="43"/>
      <c r="M1148" s="43"/>
      <c r="N1148" s="43"/>
      <c r="O1148" s="43"/>
      <c r="P1148" s="43"/>
      <c r="Q1148" s="43"/>
      <c r="R1148" s="43"/>
      <c r="S1148" s="43"/>
      <c r="T1148" s="43"/>
      <c r="U1148" s="43"/>
      <c r="V1148" s="43"/>
      <c r="W1148" s="43"/>
      <c r="X1148" s="43"/>
      <c r="Y1148" s="43"/>
    </row>
    <row r="1149" ht="13.2" spans="1:25">
      <c r="A1149" s="42">
        <v>1148</v>
      </c>
      <c r="B1149" s="43" t="s">
        <v>1480</v>
      </c>
      <c r="C1149" s="43"/>
      <c r="D1149" s="43"/>
      <c r="E1149" s="43"/>
      <c r="F1149" s="43"/>
      <c r="G1149" s="43"/>
      <c r="H1149" s="43"/>
      <c r="I1149" s="43"/>
      <c r="J1149" s="43"/>
      <c r="K1149" s="43"/>
      <c r="L1149" s="43"/>
      <c r="M1149" s="43"/>
      <c r="N1149" s="43"/>
      <c r="O1149" s="43"/>
      <c r="P1149" s="43"/>
      <c r="Q1149" s="43"/>
      <c r="R1149" s="43"/>
      <c r="S1149" s="43"/>
      <c r="T1149" s="43"/>
      <c r="U1149" s="43"/>
      <c r="V1149" s="43"/>
      <c r="W1149" s="43"/>
      <c r="X1149" s="43"/>
      <c r="Y1149" s="43"/>
    </row>
    <row r="1150" ht="13.2" spans="1:25">
      <c r="A1150" s="42">
        <v>1149</v>
      </c>
      <c r="B1150" s="43" t="s">
        <v>1481</v>
      </c>
      <c r="C1150" s="43"/>
      <c r="D1150" s="43"/>
      <c r="E1150" s="43"/>
      <c r="F1150" s="43"/>
      <c r="G1150" s="43"/>
      <c r="H1150" s="43"/>
      <c r="I1150" s="43"/>
      <c r="J1150" s="43"/>
      <c r="K1150" s="43"/>
      <c r="L1150" s="43"/>
      <c r="M1150" s="43"/>
      <c r="N1150" s="43"/>
      <c r="O1150" s="43"/>
      <c r="P1150" s="43"/>
      <c r="Q1150" s="43"/>
      <c r="R1150" s="43"/>
      <c r="S1150" s="43"/>
      <c r="T1150" s="43"/>
      <c r="U1150" s="43"/>
      <c r="V1150" s="43"/>
      <c r="W1150" s="43"/>
      <c r="X1150" s="43"/>
      <c r="Y1150" s="43"/>
    </row>
    <row r="1151" ht="13.2" spans="1:25">
      <c r="A1151" s="42">
        <v>1150</v>
      </c>
      <c r="B1151" s="43" t="s">
        <v>1482</v>
      </c>
      <c r="C1151" s="43"/>
      <c r="D1151" s="43"/>
      <c r="E1151" s="43"/>
      <c r="F1151" s="43"/>
      <c r="G1151" s="43"/>
      <c r="H1151" s="43"/>
      <c r="I1151" s="43"/>
      <c r="J1151" s="43"/>
      <c r="K1151" s="43"/>
      <c r="L1151" s="43"/>
      <c r="M1151" s="43"/>
      <c r="N1151" s="43"/>
      <c r="O1151" s="43"/>
      <c r="P1151" s="43"/>
      <c r="Q1151" s="43"/>
      <c r="R1151" s="43"/>
      <c r="S1151" s="43"/>
      <c r="T1151" s="43"/>
      <c r="U1151" s="43"/>
      <c r="V1151" s="43"/>
      <c r="W1151" s="43"/>
      <c r="X1151" s="43"/>
      <c r="Y1151" s="43"/>
    </row>
    <row r="1152" ht="13.2" spans="1:25">
      <c r="A1152" s="42">
        <v>1151</v>
      </c>
      <c r="B1152" s="43" t="s">
        <v>1483</v>
      </c>
      <c r="C1152" s="43"/>
      <c r="D1152" s="43"/>
      <c r="E1152" s="43"/>
      <c r="F1152" s="43"/>
      <c r="G1152" s="43"/>
      <c r="H1152" s="43"/>
      <c r="I1152" s="43"/>
      <c r="J1152" s="43"/>
      <c r="K1152" s="43"/>
      <c r="L1152" s="43"/>
      <c r="M1152" s="43"/>
      <c r="N1152" s="43"/>
      <c r="O1152" s="43"/>
      <c r="P1152" s="43"/>
      <c r="Q1152" s="43"/>
      <c r="R1152" s="43"/>
      <c r="S1152" s="43"/>
      <c r="T1152" s="43"/>
      <c r="U1152" s="43"/>
      <c r="V1152" s="43"/>
      <c r="W1152" s="43"/>
      <c r="X1152" s="43"/>
      <c r="Y1152" s="43"/>
    </row>
    <row r="1153" ht="13.2" spans="1:25">
      <c r="A1153" s="42">
        <v>1152</v>
      </c>
      <c r="B1153" s="43" t="s">
        <v>1484</v>
      </c>
      <c r="C1153" s="43"/>
      <c r="D1153" s="43"/>
      <c r="E1153" s="43"/>
      <c r="F1153" s="43"/>
      <c r="G1153" s="43"/>
      <c r="H1153" s="43"/>
      <c r="I1153" s="43"/>
      <c r="J1153" s="43"/>
      <c r="K1153" s="43"/>
      <c r="L1153" s="43"/>
      <c r="M1153" s="43"/>
      <c r="N1153" s="43"/>
      <c r="O1153" s="43"/>
      <c r="P1153" s="43"/>
      <c r="Q1153" s="43"/>
      <c r="R1153" s="43"/>
      <c r="S1153" s="43"/>
      <c r="T1153" s="43"/>
      <c r="U1153" s="43"/>
      <c r="V1153" s="43"/>
      <c r="W1153" s="43"/>
      <c r="X1153" s="43"/>
      <c r="Y1153" s="43"/>
    </row>
    <row r="1154" ht="13.2" spans="1:25">
      <c r="A1154" s="42">
        <v>1153</v>
      </c>
      <c r="B1154" s="43" t="s">
        <v>1485</v>
      </c>
      <c r="C1154" s="43"/>
      <c r="D1154" s="43"/>
      <c r="E1154" s="43"/>
      <c r="F1154" s="43"/>
      <c r="G1154" s="43"/>
      <c r="H1154" s="43"/>
      <c r="I1154" s="43"/>
      <c r="J1154" s="43"/>
      <c r="K1154" s="43"/>
      <c r="L1154" s="43"/>
      <c r="M1154" s="43"/>
      <c r="N1154" s="43"/>
      <c r="O1154" s="43"/>
      <c r="P1154" s="43"/>
      <c r="Q1154" s="43"/>
      <c r="R1154" s="43"/>
      <c r="S1154" s="43"/>
      <c r="T1154" s="43"/>
      <c r="U1154" s="43"/>
      <c r="V1154" s="43"/>
      <c r="W1154" s="43"/>
      <c r="X1154" s="43"/>
      <c r="Y1154" s="43"/>
    </row>
    <row r="1155" ht="13.2" spans="1:25">
      <c r="A1155" s="42">
        <v>1154</v>
      </c>
      <c r="B1155" s="43" t="s">
        <v>1486</v>
      </c>
      <c r="C1155" s="43"/>
      <c r="D1155" s="43"/>
      <c r="E1155" s="43"/>
      <c r="F1155" s="43"/>
      <c r="G1155" s="43"/>
      <c r="H1155" s="43"/>
      <c r="I1155" s="43"/>
      <c r="J1155" s="43"/>
      <c r="K1155" s="43"/>
      <c r="L1155" s="43"/>
      <c r="M1155" s="43"/>
      <c r="N1155" s="43"/>
      <c r="O1155" s="43"/>
      <c r="P1155" s="43"/>
      <c r="Q1155" s="43"/>
      <c r="R1155" s="43"/>
      <c r="S1155" s="43"/>
      <c r="T1155" s="43"/>
      <c r="U1155" s="43"/>
      <c r="V1155" s="43"/>
      <c r="W1155" s="43"/>
      <c r="X1155" s="43"/>
      <c r="Y1155" s="43"/>
    </row>
    <row r="1156" ht="13.2" spans="1:25">
      <c r="A1156" s="42">
        <v>1155</v>
      </c>
      <c r="B1156" s="43" t="s">
        <v>1487</v>
      </c>
      <c r="C1156" s="43"/>
      <c r="D1156" s="43"/>
      <c r="E1156" s="43"/>
      <c r="F1156" s="43"/>
      <c r="G1156" s="43"/>
      <c r="H1156" s="43"/>
      <c r="I1156" s="43"/>
      <c r="J1156" s="43"/>
      <c r="K1156" s="43"/>
      <c r="L1156" s="43"/>
      <c r="M1156" s="43"/>
      <c r="N1156" s="43"/>
      <c r="O1156" s="43"/>
      <c r="P1156" s="43"/>
      <c r="Q1156" s="43"/>
      <c r="R1156" s="43"/>
      <c r="S1156" s="43"/>
      <c r="T1156" s="43"/>
      <c r="U1156" s="43"/>
      <c r="V1156" s="43"/>
      <c r="W1156" s="43"/>
      <c r="X1156" s="43"/>
      <c r="Y1156" s="43"/>
    </row>
    <row r="1157" ht="13.2" spans="1:25">
      <c r="A1157" s="42">
        <v>1156</v>
      </c>
      <c r="B1157" s="43" t="s">
        <v>1488</v>
      </c>
      <c r="C1157" s="43"/>
      <c r="D1157" s="43"/>
      <c r="E1157" s="43"/>
      <c r="F1157" s="43"/>
      <c r="G1157" s="43"/>
      <c r="H1157" s="43"/>
      <c r="I1157" s="43"/>
      <c r="J1157" s="43"/>
      <c r="K1157" s="43"/>
      <c r="L1157" s="43"/>
      <c r="M1157" s="43"/>
      <c r="N1157" s="43"/>
      <c r="O1157" s="43"/>
      <c r="P1157" s="43"/>
      <c r="Q1157" s="43"/>
      <c r="R1157" s="43"/>
      <c r="S1157" s="43"/>
      <c r="T1157" s="43"/>
      <c r="U1157" s="43"/>
      <c r="V1157" s="43"/>
      <c r="W1157" s="43"/>
      <c r="X1157" s="43"/>
      <c r="Y1157" s="43"/>
    </row>
    <row r="1158" ht="13.2" spans="1:25">
      <c r="A1158" s="42">
        <v>1157</v>
      </c>
      <c r="B1158" s="43" t="s">
        <v>1489</v>
      </c>
      <c r="C1158" s="43"/>
      <c r="D1158" s="43"/>
      <c r="E1158" s="43"/>
      <c r="F1158" s="43"/>
      <c r="G1158" s="43"/>
      <c r="H1158" s="43"/>
      <c r="I1158" s="43"/>
      <c r="J1158" s="43"/>
      <c r="K1158" s="43"/>
      <c r="L1158" s="43"/>
      <c r="M1158" s="43"/>
      <c r="N1158" s="43"/>
      <c r="O1158" s="43"/>
      <c r="P1158" s="43"/>
      <c r="Q1158" s="43"/>
      <c r="R1158" s="43"/>
      <c r="S1158" s="43"/>
      <c r="T1158" s="43"/>
      <c r="U1158" s="43"/>
      <c r="V1158" s="43"/>
      <c r="W1158" s="43"/>
      <c r="X1158" s="43"/>
      <c r="Y1158" s="43"/>
    </row>
    <row r="1159" ht="13.2" spans="1:25">
      <c r="A1159" s="42">
        <v>1158</v>
      </c>
      <c r="B1159" s="43" t="s">
        <v>1490</v>
      </c>
      <c r="C1159" s="43"/>
      <c r="D1159" s="43"/>
      <c r="E1159" s="43"/>
      <c r="F1159" s="43"/>
      <c r="G1159" s="43"/>
      <c r="H1159" s="43"/>
      <c r="I1159" s="43"/>
      <c r="J1159" s="43"/>
      <c r="K1159" s="43"/>
      <c r="L1159" s="43"/>
      <c r="M1159" s="43"/>
      <c r="N1159" s="43"/>
      <c r="O1159" s="43"/>
      <c r="P1159" s="43"/>
      <c r="Q1159" s="43"/>
      <c r="R1159" s="43"/>
      <c r="S1159" s="43"/>
      <c r="T1159" s="43"/>
      <c r="U1159" s="43"/>
      <c r="V1159" s="43"/>
      <c r="W1159" s="43"/>
      <c r="X1159" s="43"/>
      <c r="Y1159" s="43"/>
    </row>
    <row r="1160" ht="13.2" spans="1:25">
      <c r="A1160" s="42">
        <v>1159</v>
      </c>
      <c r="B1160" s="43" t="s">
        <v>1491</v>
      </c>
      <c r="C1160" s="43"/>
      <c r="D1160" s="43"/>
      <c r="E1160" s="43"/>
      <c r="F1160" s="43"/>
      <c r="G1160" s="43"/>
      <c r="H1160" s="43"/>
      <c r="I1160" s="43"/>
      <c r="J1160" s="43"/>
      <c r="K1160" s="43"/>
      <c r="L1160" s="43"/>
      <c r="M1160" s="43"/>
      <c r="N1160" s="43"/>
      <c r="O1160" s="43"/>
      <c r="P1160" s="43"/>
      <c r="Q1160" s="43"/>
      <c r="R1160" s="43"/>
      <c r="S1160" s="43"/>
      <c r="T1160" s="43"/>
      <c r="U1160" s="43"/>
      <c r="V1160" s="43"/>
      <c r="W1160" s="43"/>
      <c r="X1160" s="43"/>
      <c r="Y1160" s="43"/>
    </row>
    <row r="1161" ht="13.2" spans="1:25">
      <c r="A1161" s="42">
        <v>1160</v>
      </c>
      <c r="B1161" s="43" t="s">
        <v>1492</v>
      </c>
      <c r="C1161" s="43"/>
      <c r="D1161" s="43"/>
      <c r="E1161" s="43"/>
      <c r="F1161" s="43"/>
      <c r="G1161" s="43"/>
      <c r="H1161" s="43"/>
      <c r="I1161" s="43"/>
      <c r="J1161" s="43"/>
      <c r="K1161" s="43"/>
      <c r="L1161" s="43"/>
      <c r="M1161" s="43"/>
      <c r="N1161" s="43"/>
      <c r="O1161" s="43"/>
      <c r="P1161" s="43"/>
      <c r="Q1161" s="43"/>
      <c r="R1161" s="43"/>
      <c r="S1161" s="43"/>
      <c r="T1161" s="43"/>
      <c r="U1161" s="43"/>
      <c r="V1161" s="43"/>
      <c r="W1161" s="43"/>
      <c r="X1161" s="43"/>
      <c r="Y1161" s="43"/>
    </row>
    <row r="1162" ht="13.2" spans="1:25">
      <c r="A1162" s="42">
        <v>1161</v>
      </c>
      <c r="B1162" s="43" t="s">
        <v>1493</v>
      </c>
      <c r="C1162" s="43"/>
      <c r="D1162" s="43"/>
      <c r="E1162" s="43"/>
      <c r="F1162" s="43"/>
      <c r="G1162" s="43"/>
      <c r="H1162" s="43"/>
      <c r="I1162" s="43"/>
      <c r="J1162" s="43"/>
      <c r="K1162" s="43"/>
      <c r="L1162" s="43"/>
      <c r="M1162" s="43"/>
      <c r="N1162" s="43"/>
      <c r="O1162" s="43"/>
      <c r="P1162" s="43"/>
      <c r="Q1162" s="43"/>
      <c r="R1162" s="43"/>
      <c r="S1162" s="43"/>
      <c r="T1162" s="43"/>
      <c r="U1162" s="43"/>
      <c r="V1162" s="43"/>
      <c r="W1162" s="43"/>
      <c r="X1162" s="43"/>
      <c r="Y1162" s="43"/>
    </row>
    <row r="1163" ht="13.2" spans="1:25">
      <c r="A1163" s="42">
        <v>1162</v>
      </c>
      <c r="B1163" s="43" t="s">
        <v>1494</v>
      </c>
      <c r="C1163" s="43"/>
      <c r="D1163" s="43"/>
      <c r="E1163" s="43"/>
      <c r="F1163" s="43"/>
      <c r="G1163" s="43"/>
      <c r="H1163" s="43"/>
      <c r="I1163" s="43"/>
      <c r="J1163" s="43"/>
      <c r="K1163" s="43"/>
      <c r="L1163" s="43"/>
      <c r="M1163" s="43"/>
      <c r="N1163" s="43"/>
      <c r="O1163" s="43"/>
      <c r="P1163" s="43"/>
      <c r="Q1163" s="43"/>
      <c r="R1163" s="43"/>
      <c r="S1163" s="43"/>
      <c r="T1163" s="43"/>
      <c r="U1163" s="43"/>
      <c r="V1163" s="43"/>
      <c r="W1163" s="43"/>
      <c r="X1163" s="43"/>
      <c r="Y1163" s="43"/>
    </row>
    <row r="1164" ht="13.2" spans="1:25">
      <c r="A1164" s="42">
        <v>1163</v>
      </c>
      <c r="B1164" s="43" t="s">
        <v>1495</v>
      </c>
      <c r="C1164" s="43"/>
      <c r="D1164" s="43"/>
      <c r="E1164" s="43"/>
      <c r="F1164" s="43"/>
      <c r="G1164" s="43"/>
      <c r="H1164" s="43"/>
      <c r="I1164" s="43"/>
      <c r="J1164" s="43"/>
      <c r="K1164" s="43"/>
      <c r="L1164" s="43"/>
      <c r="M1164" s="43"/>
      <c r="N1164" s="43"/>
      <c r="O1164" s="43"/>
      <c r="P1164" s="43"/>
      <c r="Q1164" s="43"/>
      <c r="R1164" s="43"/>
      <c r="S1164" s="43"/>
      <c r="T1164" s="43"/>
      <c r="U1164" s="43"/>
      <c r="V1164" s="43"/>
      <c r="W1164" s="43"/>
      <c r="X1164" s="43"/>
      <c r="Y1164" s="43"/>
    </row>
    <row r="1165" ht="13.2" spans="1:25">
      <c r="A1165" s="42">
        <v>1164</v>
      </c>
      <c r="B1165" s="43" t="s">
        <v>1496</v>
      </c>
      <c r="C1165" s="43"/>
      <c r="D1165" s="43"/>
      <c r="E1165" s="43"/>
      <c r="F1165" s="43"/>
      <c r="G1165" s="43"/>
      <c r="H1165" s="43"/>
      <c r="I1165" s="43"/>
      <c r="J1165" s="43"/>
      <c r="K1165" s="43"/>
      <c r="L1165" s="43"/>
      <c r="M1165" s="43"/>
      <c r="N1165" s="43"/>
      <c r="O1165" s="43"/>
      <c r="P1165" s="43"/>
      <c r="Q1165" s="43"/>
      <c r="R1165" s="43"/>
      <c r="S1165" s="43"/>
      <c r="T1165" s="43"/>
      <c r="U1165" s="43"/>
      <c r="V1165" s="43"/>
      <c r="W1165" s="43"/>
      <c r="X1165" s="43"/>
      <c r="Y1165" s="43"/>
    </row>
    <row r="1166" ht="13.2" spans="1:25">
      <c r="A1166" s="42">
        <v>1165</v>
      </c>
      <c r="B1166" s="43" t="s">
        <v>1497</v>
      </c>
      <c r="C1166" s="43"/>
      <c r="D1166" s="43"/>
      <c r="E1166" s="43"/>
      <c r="F1166" s="43"/>
      <c r="G1166" s="43"/>
      <c r="H1166" s="43"/>
      <c r="I1166" s="43"/>
      <c r="J1166" s="43"/>
      <c r="K1166" s="43"/>
      <c r="L1166" s="43"/>
      <c r="M1166" s="43"/>
      <c r="N1166" s="43"/>
      <c r="O1166" s="43"/>
      <c r="P1166" s="43"/>
      <c r="Q1166" s="43"/>
      <c r="R1166" s="43"/>
      <c r="S1166" s="43"/>
      <c r="T1166" s="43"/>
      <c r="U1166" s="43"/>
      <c r="V1166" s="43"/>
      <c r="W1166" s="43"/>
      <c r="X1166" s="43"/>
      <c r="Y1166" s="43"/>
    </row>
    <row r="1167" ht="13.2" spans="1:25">
      <c r="A1167" s="42">
        <v>1166</v>
      </c>
      <c r="B1167" s="43" t="s">
        <v>1498</v>
      </c>
      <c r="C1167" s="43"/>
      <c r="D1167" s="43"/>
      <c r="E1167" s="43"/>
      <c r="F1167" s="43"/>
      <c r="G1167" s="43"/>
      <c r="H1167" s="43"/>
      <c r="I1167" s="43"/>
      <c r="J1167" s="43"/>
      <c r="K1167" s="43"/>
      <c r="L1167" s="43"/>
      <c r="M1167" s="43"/>
      <c r="N1167" s="43"/>
      <c r="O1167" s="43"/>
      <c r="P1167" s="43"/>
      <c r="Q1167" s="43"/>
      <c r="R1167" s="43"/>
      <c r="S1167" s="43"/>
      <c r="T1167" s="43"/>
      <c r="U1167" s="43"/>
      <c r="V1167" s="43"/>
      <c r="W1167" s="43"/>
      <c r="X1167" s="43"/>
      <c r="Y1167" s="43"/>
    </row>
    <row r="1168" ht="13.2" spans="1:25">
      <c r="A1168" s="42">
        <v>1167</v>
      </c>
      <c r="B1168" s="43" t="s">
        <v>1499</v>
      </c>
      <c r="C1168" s="43"/>
      <c r="D1168" s="43"/>
      <c r="E1168" s="43"/>
      <c r="F1168" s="43"/>
      <c r="G1168" s="43"/>
      <c r="H1168" s="43"/>
      <c r="I1168" s="43"/>
      <c r="J1168" s="43"/>
      <c r="K1168" s="43"/>
      <c r="L1168" s="43"/>
      <c r="M1168" s="43"/>
      <c r="N1168" s="43"/>
      <c r="O1168" s="43"/>
      <c r="P1168" s="43"/>
      <c r="Q1168" s="43"/>
      <c r="R1168" s="43"/>
      <c r="S1168" s="43"/>
      <c r="T1168" s="43"/>
      <c r="U1168" s="43"/>
      <c r="V1168" s="43"/>
      <c r="W1168" s="43"/>
      <c r="X1168" s="43"/>
      <c r="Y1168" s="43"/>
    </row>
    <row r="1169" ht="13.2" spans="1:25">
      <c r="A1169" s="42">
        <v>1168</v>
      </c>
      <c r="B1169" s="43" t="s">
        <v>1500</v>
      </c>
      <c r="C1169" s="43"/>
      <c r="D1169" s="43"/>
      <c r="E1169" s="43"/>
      <c r="F1169" s="43"/>
      <c r="G1169" s="43"/>
      <c r="H1169" s="43"/>
      <c r="I1169" s="43"/>
      <c r="J1169" s="43"/>
      <c r="K1169" s="43"/>
      <c r="L1169" s="43"/>
      <c r="M1169" s="43"/>
      <c r="N1169" s="43"/>
      <c r="O1169" s="43"/>
      <c r="P1169" s="43"/>
      <c r="Q1169" s="43"/>
      <c r="R1169" s="43"/>
      <c r="S1169" s="43"/>
      <c r="T1169" s="43"/>
      <c r="U1169" s="43"/>
      <c r="V1169" s="43"/>
      <c r="W1169" s="43"/>
      <c r="X1169" s="43"/>
      <c r="Y1169" s="43"/>
    </row>
    <row r="1170" ht="13.2" spans="1:25">
      <c r="A1170" s="42">
        <v>1169</v>
      </c>
      <c r="B1170" s="42" t="s">
        <v>1501</v>
      </c>
      <c r="C1170" s="43"/>
      <c r="D1170" s="43"/>
      <c r="E1170" s="43"/>
      <c r="F1170" s="43"/>
      <c r="G1170" s="43"/>
      <c r="H1170" s="43"/>
      <c r="I1170" s="43"/>
      <c r="J1170" s="43"/>
      <c r="K1170" s="43"/>
      <c r="L1170" s="43"/>
      <c r="M1170" s="43"/>
      <c r="N1170" s="43"/>
      <c r="O1170" s="43"/>
      <c r="P1170" s="43"/>
      <c r="Q1170" s="43"/>
      <c r="R1170" s="43"/>
      <c r="S1170" s="43"/>
      <c r="T1170" s="43"/>
      <c r="U1170" s="43"/>
      <c r="V1170" s="43"/>
      <c r="W1170" s="43"/>
      <c r="X1170" s="43"/>
      <c r="Y1170" s="43"/>
    </row>
    <row r="1171" ht="13.2" spans="1:25">
      <c r="A1171" s="42">
        <v>1170</v>
      </c>
      <c r="B1171" s="43" t="s">
        <v>1502</v>
      </c>
      <c r="C1171" s="43"/>
      <c r="D1171" s="43"/>
      <c r="E1171" s="43"/>
      <c r="F1171" s="43"/>
      <c r="G1171" s="43"/>
      <c r="H1171" s="43"/>
      <c r="I1171" s="43"/>
      <c r="J1171" s="43"/>
      <c r="K1171" s="43"/>
      <c r="L1171" s="43"/>
      <c r="M1171" s="43"/>
      <c r="N1171" s="43"/>
      <c r="O1171" s="43"/>
      <c r="P1171" s="43"/>
      <c r="Q1171" s="43"/>
      <c r="R1171" s="43"/>
      <c r="S1171" s="43"/>
      <c r="T1171" s="43"/>
      <c r="U1171" s="43"/>
      <c r="V1171" s="43"/>
      <c r="W1171" s="43"/>
      <c r="X1171" s="43"/>
      <c r="Y1171" s="43"/>
    </row>
    <row r="1172" ht="13.2" spans="1:25">
      <c r="A1172" s="42">
        <v>1171</v>
      </c>
      <c r="B1172" s="43" t="s">
        <v>1503</v>
      </c>
      <c r="C1172" s="43"/>
      <c r="D1172" s="43"/>
      <c r="E1172" s="43"/>
      <c r="F1172" s="43"/>
      <c r="G1172" s="43"/>
      <c r="H1172" s="43"/>
      <c r="I1172" s="43"/>
      <c r="J1172" s="43"/>
      <c r="K1172" s="43"/>
      <c r="L1172" s="43"/>
      <c r="M1172" s="43"/>
      <c r="N1172" s="43"/>
      <c r="O1172" s="43"/>
      <c r="P1172" s="43"/>
      <c r="Q1172" s="43"/>
      <c r="R1172" s="43"/>
      <c r="S1172" s="43"/>
      <c r="T1172" s="43"/>
      <c r="U1172" s="43"/>
      <c r="V1172" s="43"/>
      <c r="W1172" s="43"/>
      <c r="X1172" s="43"/>
      <c r="Y1172" s="43"/>
    </row>
    <row r="1173" ht="13.2" spans="1:25">
      <c r="A1173" s="42">
        <v>1172</v>
      </c>
      <c r="B1173" s="43" t="s">
        <v>1504</v>
      </c>
      <c r="C1173" s="43"/>
      <c r="D1173" s="43"/>
      <c r="E1173" s="43"/>
      <c r="F1173" s="43"/>
      <c r="G1173" s="43"/>
      <c r="H1173" s="43"/>
      <c r="I1173" s="43"/>
      <c r="J1173" s="43"/>
      <c r="K1173" s="43"/>
      <c r="L1173" s="43"/>
      <c r="M1173" s="43"/>
      <c r="N1173" s="43"/>
      <c r="O1173" s="43"/>
      <c r="P1173" s="43"/>
      <c r="Q1173" s="43"/>
      <c r="R1173" s="43"/>
      <c r="S1173" s="43"/>
      <c r="T1173" s="43"/>
      <c r="U1173" s="43"/>
      <c r="V1173" s="43"/>
      <c r="W1173" s="43"/>
      <c r="X1173" s="43"/>
      <c r="Y1173" s="43"/>
    </row>
    <row r="1174" ht="13.2" spans="1:25">
      <c r="A1174" s="42">
        <v>1173</v>
      </c>
      <c r="B1174" s="43" t="s">
        <v>1505</v>
      </c>
      <c r="C1174" s="43"/>
      <c r="D1174" s="43"/>
      <c r="E1174" s="43"/>
      <c r="F1174" s="43"/>
      <c r="G1174" s="43"/>
      <c r="H1174" s="43"/>
      <c r="I1174" s="43"/>
      <c r="J1174" s="43"/>
      <c r="K1174" s="43"/>
      <c r="L1174" s="43"/>
      <c r="M1174" s="43"/>
      <c r="N1174" s="43"/>
      <c r="O1174" s="43"/>
      <c r="P1174" s="43"/>
      <c r="Q1174" s="43"/>
      <c r="R1174" s="43"/>
      <c r="S1174" s="43"/>
      <c r="T1174" s="43"/>
      <c r="U1174" s="43"/>
      <c r="V1174" s="43"/>
      <c r="W1174" s="43"/>
      <c r="X1174" s="43"/>
      <c r="Y1174" s="43"/>
    </row>
    <row r="1175" ht="13.2" spans="1:25">
      <c r="A1175" s="42">
        <v>1174</v>
      </c>
      <c r="B1175" s="43" t="s">
        <v>1506</v>
      </c>
      <c r="C1175" s="43"/>
      <c r="D1175" s="43"/>
      <c r="E1175" s="43"/>
      <c r="F1175" s="43"/>
      <c r="G1175" s="43"/>
      <c r="H1175" s="43"/>
      <c r="I1175" s="43"/>
      <c r="J1175" s="43"/>
      <c r="K1175" s="43"/>
      <c r="L1175" s="43"/>
      <c r="M1175" s="43"/>
      <c r="N1175" s="43"/>
      <c r="O1175" s="43"/>
      <c r="P1175" s="43"/>
      <c r="Q1175" s="43"/>
      <c r="R1175" s="43"/>
      <c r="S1175" s="43"/>
      <c r="T1175" s="43"/>
      <c r="U1175" s="43"/>
      <c r="V1175" s="43"/>
      <c r="W1175" s="43"/>
      <c r="X1175" s="43"/>
      <c r="Y1175" s="43"/>
    </row>
    <row r="1176" ht="13.2" spans="1:25">
      <c r="A1176" s="42">
        <v>1175</v>
      </c>
      <c r="B1176" s="43" t="s">
        <v>1507</v>
      </c>
      <c r="C1176" s="43"/>
      <c r="D1176" s="43"/>
      <c r="E1176" s="43"/>
      <c r="F1176" s="43"/>
      <c r="G1176" s="43"/>
      <c r="H1176" s="43"/>
      <c r="I1176" s="43"/>
      <c r="J1176" s="43"/>
      <c r="K1176" s="43"/>
      <c r="L1176" s="43"/>
      <c r="M1176" s="43"/>
      <c r="N1176" s="43"/>
      <c r="O1176" s="43"/>
      <c r="P1176" s="43"/>
      <c r="Q1176" s="43"/>
      <c r="R1176" s="43"/>
      <c r="S1176" s="43"/>
      <c r="T1176" s="43"/>
      <c r="U1176" s="43"/>
      <c r="V1176" s="43"/>
      <c r="W1176" s="43"/>
      <c r="X1176" s="43"/>
      <c r="Y1176" s="43"/>
    </row>
    <row r="1177" ht="13.2" spans="1:25">
      <c r="A1177" s="42">
        <v>1176</v>
      </c>
      <c r="B1177" s="43" t="s">
        <v>1508</v>
      </c>
      <c r="C1177" s="43"/>
      <c r="D1177" s="43"/>
      <c r="E1177" s="43"/>
      <c r="F1177" s="43"/>
      <c r="G1177" s="43"/>
      <c r="H1177" s="43"/>
      <c r="I1177" s="43"/>
      <c r="J1177" s="43"/>
      <c r="K1177" s="43"/>
      <c r="L1177" s="43"/>
      <c r="M1177" s="43"/>
      <c r="N1177" s="43"/>
      <c r="O1177" s="43"/>
      <c r="P1177" s="43"/>
      <c r="Q1177" s="43"/>
      <c r="R1177" s="43"/>
      <c r="S1177" s="43"/>
      <c r="T1177" s="43"/>
      <c r="U1177" s="43"/>
      <c r="V1177" s="43"/>
      <c r="W1177" s="43"/>
      <c r="X1177" s="43"/>
      <c r="Y1177" s="43"/>
    </row>
    <row r="1178" ht="13.2" spans="1:25">
      <c r="A1178" s="42">
        <v>1177</v>
      </c>
      <c r="B1178" s="43" t="s">
        <v>1509</v>
      </c>
      <c r="C1178" s="43"/>
      <c r="D1178" s="43"/>
      <c r="E1178" s="43"/>
      <c r="F1178" s="43"/>
      <c r="G1178" s="43"/>
      <c r="H1178" s="43"/>
      <c r="I1178" s="43"/>
      <c r="J1178" s="43"/>
      <c r="K1178" s="43"/>
      <c r="L1178" s="43"/>
      <c r="M1178" s="43"/>
      <c r="N1178" s="43"/>
      <c r="O1178" s="43"/>
      <c r="P1178" s="43"/>
      <c r="Q1178" s="43"/>
      <c r="R1178" s="43"/>
      <c r="S1178" s="43"/>
      <c r="T1178" s="43"/>
      <c r="U1178" s="43"/>
      <c r="V1178" s="43"/>
      <c r="W1178" s="43"/>
      <c r="X1178" s="43"/>
      <c r="Y1178" s="43"/>
    </row>
    <row r="1179" ht="13.2" spans="1:25">
      <c r="A1179" s="42">
        <v>1178</v>
      </c>
      <c r="B1179" s="43" t="s">
        <v>1510</v>
      </c>
      <c r="C1179" s="43"/>
      <c r="D1179" s="43"/>
      <c r="E1179" s="43"/>
      <c r="F1179" s="43"/>
      <c r="G1179" s="43"/>
      <c r="H1179" s="43"/>
      <c r="I1179" s="43"/>
      <c r="J1179" s="43"/>
      <c r="K1179" s="43"/>
      <c r="L1179" s="43"/>
      <c r="M1179" s="43"/>
      <c r="N1179" s="43"/>
      <c r="O1179" s="43"/>
      <c r="P1179" s="43"/>
      <c r="Q1179" s="43"/>
      <c r="R1179" s="43"/>
      <c r="S1179" s="43"/>
      <c r="T1179" s="43"/>
      <c r="U1179" s="43"/>
      <c r="V1179" s="43"/>
      <c r="W1179" s="43"/>
      <c r="X1179" s="43"/>
      <c r="Y1179" s="43"/>
    </row>
    <row r="1180" ht="13.2" spans="1:25">
      <c r="A1180" s="42">
        <v>1179</v>
      </c>
      <c r="B1180" s="43" t="s">
        <v>1511</v>
      </c>
      <c r="C1180" s="43"/>
      <c r="D1180" s="43"/>
      <c r="E1180" s="43"/>
      <c r="F1180" s="43"/>
      <c r="G1180" s="43"/>
      <c r="H1180" s="43"/>
      <c r="I1180" s="43"/>
      <c r="J1180" s="43"/>
      <c r="K1180" s="43"/>
      <c r="L1180" s="43"/>
      <c r="M1180" s="43"/>
      <c r="N1180" s="43"/>
      <c r="O1180" s="43"/>
      <c r="P1180" s="43"/>
      <c r="Q1180" s="43"/>
      <c r="R1180" s="43"/>
      <c r="S1180" s="43"/>
      <c r="T1180" s="43"/>
      <c r="U1180" s="43"/>
      <c r="V1180" s="43"/>
      <c r="W1180" s="43"/>
      <c r="X1180" s="43"/>
      <c r="Y1180" s="43"/>
    </row>
    <row r="1181" ht="13.2" spans="1:25">
      <c r="A1181" s="42">
        <v>1180</v>
      </c>
      <c r="B1181" s="43" t="s">
        <v>1512</v>
      </c>
      <c r="C1181" s="43"/>
      <c r="D1181" s="43"/>
      <c r="E1181" s="43"/>
      <c r="F1181" s="43"/>
      <c r="G1181" s="43"/>
      <c r="H1181" s="43"/>
      <c r="I1181" s="43"/>
      <c r="J1181" s="43"/>
      <c r="K1181" s="43"/>
      <c r="L1181" s="43"/>
      <c r="M1181" s="43"/>
      <c r="N1181" s="43"/>
      <c r="O1181" s="43"/>
      <c r="P1181" s="43"/>
      <c r="Q1181" s="43"/>
      <c r="R1181" s="43"/>
      <c r="S1181" s="43"/>
      <c r="T1181" s="43"/>
      <c r="U1181" s="43"/>
      <c r="V1181" s="43"/>
      <c r="W1181" s="43"/>
      <c r="X1181" s="43"/>
      <c r="Y1181" s="43"/>
    </row>
    <row r="1182" ht="13.2" spans="1:25">
      <c r="A1182" s="42">
        <v>1181</v>
      </c>
      <c r="B1182" s="43" t="s">
        <v>1513</v>
      </c>
      <c r="C1182" s="43"/>
      <c r="D1182" s="43"/>
      <c r="E1182" s="43"/>
      <c r="F1182" s="43"/>
      <c r="G1182" s="43"/>
      <c r="H1182" s="43"/>
      <c r="I1182" s="43"/>
      <c r="J1182" s="43"/>
      <c r="K1182" s="43"/>
      <c r="L1182" s="43"/>
      <c r="M1182" s="43"/>
      <c r="N1182" s="43"/>
      <c r="O1182" s="43"/>
      <c r="P1182" s="43"/>
      <c r="Q1182" s="43"/>
      <c r="R1182" s="43"/>
      <c r="S1182" s="43"/>
      <c r="T1182" s="43"/>
      <c r="U1182" s="43"/>
      <c r="V1182" s="43"/>
      <c r="W1182" s="43"/>
      <c r="X1182" s="43"/>
      <c r="Y1182" s="43"/>
    </row>
    <row r="1183" ht="13.2" spans="1:25">
      <c r="A1183" s="42">
        <v>1182</v>
      </c>
      <c r="B1183" s="43" t="s">
        <v>1514</v>
      </c>
      <c r="C1183" s="43"/>
      <c r="D1183" s="43"/>
      <c r="E1183" s="43"/>
      <c r="F1183" s="43"/>
      <c r="G1183" s="43"/>
      <c r="H1183" s="43"/>
      <c r="I1183" s="43"/>
      <c r="J1183" s="43"/>
      <c r="K1183" s="43"/>
      <c r="L1183" s="43"/>
      <c r="M1183" s="43"/>
      <c r="N1183" s="43"/>
      <c r="O1183" s="43"/>
      <c r="P1183" s="43"/>
      <c r="Q1183" s="43"/>
      <c r="R1183" s="43"/>
      <c r="S1183" s="43"/>
      <c r="T1183" s="43"/>
      <c r="U1183" s="43"/>
      <c r="V1183" s="43"/>
      <c r="W1183" s="43"/>
      <c r="X1183" s="43"/>
      <c r="Y1183" s="43"/>
    </row>
    <row r="1184" ht="13.2" spans="1:25">
      <c r="A1184" s="42">
        <v>1183</v>
      </c>
      <c r="B1184" s="43" t="s">
        <v>1515</v>
      </c>
      <c r="C1184" s="43"/>
      <c r="D1184" s="43"/>
      <c r="E1184" s="43"/>
      <c r="F1184" s="43"/>
      <c r="G1184" s="43"/>
      <c r="H1184" s="43"/>
      <c r="I1184" s="43"/>
      <c r="J1184" s="43"/>
      <c r="K1184" s="43"/>
      <c r="L1184" s="43"/>
      <c r="M1184" s="43"/>
      <c r="N1184" s="43"/>
      <c r="O1184" s="43"/>
      <c r="P1184" s="43"/>
      <c r="Q1184" s="43"/>
      <c r="R1184" s="43"/>
      <c r="S1184" s="43"/>
      <c r="T1184" s="43"/>
      <c r="U1184" s="43"/>
      <c r="V1184" s="43"/>
      <c r="W1184" s="43"/>
      <c r="X1184" s="43"/>
      <c r="Y1184" s="43"/>
    </row>
    <row r="1185" ht="13.2" spans="1:25">
      <c r="A1185" s="42">
        <v>1184</v>
      </c>
      <c r="B1185" s="43" t="s">
        <v>1516</v>
      </c>
      <c r="C1185" s="43"/>
      <c r="D1185" s="43"/>
      <c r="E1185" s="43"/>
      <c r="F1185" s="43"/>
      <c r="G1185" s="43"/>
      <c r="H1185" s="43"/>
      <c r="I1185" s="43"/>
      <c r="J1185" s="43"/>
      <c r="K1185" s="43"/>
      <c r="L1185" s="43"/>
      <c r="M1185" s="43"/>
      <c r="N1185" s="43"/>
      <c r="O1185" s="43"/>
      <c r="P1185" s="43"/>
      <c r="Q1185" s="43"/>
      <c r="R1185" s="43"/>
      <c r="S1185" s="43"/>
      <c r="T1185" s="43"/>
      <c r="U1185" s="43"/>
      <c r="V1185" s="43"/>
      <c r="W1185" s="43"/>
      <c r="X1185" s="43"/>
      <c r="Y1185" s="43"/>
    </row>
    <row r="1186" ht="13.2" spans="1:25">
      <c r="A1186" s="42">
        <v>1185</v>
      </c>
      <c r="B1186" s="43" t="s">
        <v>1517</v>
      </c>
      <c r="C1186" s="43"/>
      <c r="D1186" s="43"/>
      <c r="E1186" s="43"/>
      <c r="F1186" s="43"/>
      <c r="G1186" s="43"/>
      <c r="H1186" s="43"/>
      <c r="I1186" s="43"/>
      <c r="J1186" s="43"/>
      <c r="K1186" s="43"/>
      <c r="L1186" s="43"/>
      <c r="M1186" s="43"/>
      <c r="N1186" s="43"/>
      <c r="O1186" s="43"/>
      <c r="P1186" s="43"/>
      <c r="Q1186" s="43"/>
      <c r="R1186" s="43"/>
      <c r="S1186" s="43"/>
      <c r="T1186" s="43"/>
      <c r="U1186" s="43"/>
      <c r="V1186" s="43"/>
      <c r="W1186" s="43"/>
      <c r="X1186" s="43"/>
      <c r="Y1186" s="43"/>
    </row>
    <row r="1187" ht="13.2" spans="1:25">
      <c r="A1187" s="42">
        <v>1186</v>
      </c>
      <c r="B1187" s="43" t="s">
        <v>1518</v>
      </c>
      <c r="C1187" s="43"/>
      <c r="D1187" s="43"/>
      <c r="E1187" s="43"/>
      <c r="F1187" s="43"/>
      <c r="G1187" s="43"/>
      <c r="H1187" s="43"/>
      <c r="I1187" s="43"/>
      <c r="J1187" s="43"/>
      <c r="K1187" s="43"/>
      <c r="L1187" s="43"/>
      <c r="M1187" s="43"/>
      <c r="N1187" s="43"/>
      <c r="O1187" s="43"/>
      <c r="P1187" s="43"/>
      <c r="Q1187" s="43"/>
      <c r="R1187" s="43"/>
      <c r="S1187" s="43"/>
      <c r="T1187" s="43"/>
      <c r="U1187" s="43"/>
      <c r="V1187" s="43"/>
      <c r="W1187" s="43"/>
      <c r="X1187" s="43"/>
      <c r="Y1187" s="43"/>
    </row>
    <row r="1188" ht="13.2" spans="1:25">
      <c r="A1188" s="42">
        <v>1187</v>
      </c>
      <c r="B1188" s="43" t="s">
        <v>1519</v>
      </c>
      <c r="C1188" s="43"/>
      <c r="D1188" s="43"/>
      <c r="E1188" s="43"/>
      <c r="F1188" s="43"/>
      <c r="G1188" s="43"/>
      <c r="H1188" s="43"/>
      <c r="I1188" s="43"/>
      <c r="J1188" s="43"/>
      <c r="K1188" s="43"/>
      <c r="L1188" s="43"/>
      <c r="M1188" s="43"/>
      <c r="N1188" s="43"/>
      <c r="O1188" s="43"/>
      <c r="P1188" s="43"/>
      <c r="Q1188" s="43"/>
      <c r="R1188" s="43"/>
      <c r="S1188" s="43"/>
      <c r="T1188" s="43"/>
      <c r="U1188" s="43"/>
      <c r="V1188" s="43"/>
      <c r="W1188" s="43"/>
      <c r="X1188" s="43"/>
      <c r="Y1188" s="43"/>
    </row>
    <row r="1189" ht="13.2" spans="1:25">
      <c r="A1189" s="42">
        <v>1188</v>
      </c>
      <c r="B1189" s="43" t="s">
        <v>1520</v>
      </c>
      <c r="C1189" s="43"/>
      <c r="D1189" s="43"/>
      <c r="E1189" s="43"/>
      <c r="F1189" s="43"/>
      <c r="G1189" s="43"/>
      <c r="H1189" s="43"/>
      <c r="I1189" s="43"/>
      <c r="J1189" s="43"/>
      <c r="K1189" s="43"/>
      <c r="L1189" s="43"/>
      <c r="M1189" s="43"/>
      <c r="N1189" s="43"/>
      <c r="O1189" s="43"/>
      <c r="P1189" s="43"/>
      <c r="Q1189" s="43"/>
      <c r="R1189" s="43"/>
      <c r="S1189" s="43"/>
      <c r="T1189" s="43"/>
      <c r="U1189" s="43"/>
      <c r="V1189" s="43"/>
      <c r="W1189" s="43"/>
      <c r="X1189" s="43"/>
      <c r="Y1189" s="43"/>
    </row>
    <row r="1190" ht="13.2" spans="1:25">
      <c r="A1190" s="42">
        <v>1189</v>
      </c>
      <c r="B1190" s="43" t="s">
        <v>1521</v>
      </c>
      <c r="C1190" s="43"/>
      <c r="D1190" s="43"/>
      <c r="E1190" s="43"/>
      <c r="F1190" s="43"/>
      <c r="G1190" s="43"/>
      <c r="H1190" s="43"/>
      <c r="I1190" s="43"/>
      <c r="J1190" s="43"/>
      <c r="K1190" s="43"/>
      <c r="L1190" s="43"/>
      <c r="M1190" s="43"/>
      <c r="N1190" s="43"/>
      <c r="O1190" s="43"/>
      <c r="P1190" s="43"/>
      <c r="Q1190" s="43"/>
      <c r="R1190" s="43"/>
      <c r="S1190" s="43"/>
      <c r="T1190" s="43"/>
      <c r="U1190" s="43"/>
      <c r="V1190" s="43"/>
      <c r="W1190" s="43"/>
      <c r="X1190" s="43"/>
      <c r="Y1190" s="43"/>
    </row>
    <row r="1191" ht="13.2" spans="1:25">
      <c r="A1191" s="42">
        <v>1190</v>
      </c>
      <c r="B1191" s="43" t="s">
        <v>1522</v>
      </c>
      <c r="C1191" s="43"/>
      <c r="D1191" s="43"/>
      <c r="E1191" s="43"/>
      <c r="F1191" s="43"/>
      <c r="G1191" s="43"/>
      <c r="H1191" s="43"/>
      <c r="I1191" s="43"/>
      <c r="J1191" s="43"/>
      <c r="K1191" s="43"/>
      <c r="L1191" s="43"/>
      <c r="M1191" s="43"/>
      <c r="N1191" s="43"/>
      <c r="O1191" s="43"/>
      <c r="P1191" s="43"/>
      <c r="Q1191" s="43"/>
      <c r="R1191" s="43"/>
      <c r="S1191" s="43"/>
      <c r="T1191" s="43"/>
      <c r="U1191" s="43"/>
      <c r="V1191" s="43"/>
      <c r="W1191" s="43"/>
      <c r="X1191" s="43"/>
      <c r="Y1191" s="43"/>
    </row>
    <row r="1192" ht="13.2" spans="1:25">
      <c r="A1192" s="42">
        <v>1191</v>
      </c>
      <c r="B1192" s="43" t="s">
        <v>1523</v>
      </c>
      <c r="C1192" s="43"/>
      <c r="D1192" s="43"/>
      <c r="E1192" s="43"/>
      <c r="F1192" s="43"/>
      <c r="G1192" s="43"/>
      <c r="H1192" s="43"/>
      <c r="I1192" s="43"/>
      <c r="J1192" s="43"/>
      <c r="K1192" s="43"/>
      <c r="L1192" s="43"/>
      <c r="M1192" s="43"/>
      <c r="N1192" s="43"/>
      <c r="O1192" s="43"/>
      <c r="P1192" s="43"/>
      <c r="Q1192" s="43"/>
      <c r="R1192" s="43"/>
      <c r="S1192" s="43"/>
      <c r="T1192" s="43"/>
      <c r="U1192" s="43"/>
      <c r="V1192" s="43"/>
      <c r="W1192" s="43"/>
      <c r="X1192" s="43"/>
      <c r="Y1192" s="43"/>
    </row>
    <row r="1193" ht="13.2" spans="1:25">
      <c r="A1193" s="42">
        <v>1192</v>
      </c>
      <c r="B1193" s="43" t="s">
        <v>1524</v>
      </c>
      <c r="C1193" s="43"/>
      <c r="D1193" s="43"/>
      <c r="E1193" s="43"/>
      <c r="F1193" s="43"/>
      <c r="G1193" s="43"/>
      <c r="H1193" s="43"/>
      <c r="I1193" s="43"/>
      <c r="J1193" s="43"/>
      <c r="K1193" s="43"/>
      <c r="L1193" s="43"/>
      <c r="M1193" s="43"/>
      <c r="N1193" s="43"/>
      <c r="O1193" s="43"/>
      <c r="P1193" s="43"/>
      <c r="Q1193" s="43"/>
      <c r="R1193" s="43"/>
      <c r="S1193" s="43"/>
      <c r="T1193" s="43"/>
      <c r="U1193" s="43"/>
      <c r="V1193" s="43"/>
      <c r="W1193" s="43"/>
      <c r="X1193" s="43"/>
      <c r="Y1193" s="43"/>
    </row>
    <row r="1194" ht="13.2" spans="1:25">
      <c r="A1194" s="42">
        <v>1193</v>
      </c>
      <c r="B1194" s="43" t="s">
        <v>1525</v>
      </c>
      <c r="C1194" s="43"/>
      <c r="D1194" s="43"/>
      <c r="E1194" s="43"/>
      <c r="F1194" s="43"/>
      <c r="G1194" s="43"/>
      <c r="H1194" s="43"/>
      <c r="I1194" s="43"/>
      <c r="J1194" s="43"/>
      <c r="K1194" s="43"/>
      <c r="L1194" s="43"/>
      <c r="M1194" s="43"/>
      <c r="N1194" s="43"/>
      <c r="O1194" s="43"/>
      <c r="P1194" s="43"/>
      <c r="Q1194" s="43"/>
      <c r="R1194" s="43"/>
      <c r="S1194" s="43"/>
      <c r="T1194" s="43"/>
      <c r="U1194" s="43"/>
      <c r="V1194" s="43"/>
      <c r="W1194" s="43"/>
      <c r="X1194" s="43"/>
      <c r="Y1194" s="43"/>
    </row>
    <row r="1195" ht="13.2" spans="1:25">
      <c r="A1195" s="42">
        <v>1194</v>
      </c>
      <c r="B1195" s="43" t="s">
        <v>1526</v>
      </c>
      <c r="C1195" s="43"/>
      <c r="D1195" s="43"/>
      <c r="E1195" s="43"/>
      <c r="F1195" s="43"/>
      <c r="G1195" s="43"/>
      <c r="H1195" s="43"/>
      <c r="I1195" s="43"/>
      <c r="J1195" s="43"/>
      <c r="K1195" s="43"/>
      <c r="L1195" s="43"/>
      <c r="M1195" s="43"/>
      <c r="N1195" s="43"/>
      <c r="O1195" s="43"/>
      <c r="P1195" s="43"/>
      <c r="Q1195" s="43"/>
      <c r="R1195" s="43"/>
      <c r="S1195" s="43"/>
      <c r="T1195" s="43"/>
      <c r="U1195" s="43"/>
      <c r="V1195" s="43"/>
      <c r="W1195" s="43"/>
      <c r="X1195" s="43"/>
      <c r="Y1195" s="43"/>
    </row>
    <row r="1196" ht="13.2" spans="1:25">
      <c r="A1196" s="42">
        <v>1195</v>
      </c>
      <c r="B1196" s="43" t="s">
        <v>1527</v>
      </c>
      <c r="C1196" s="43"/>
      <c r="D1196" s="43"/>
      <c r="E1196" s="43"/>
      <c r="F1196" s="43"/>
      <c r="G1196" s="43"/>
      <c r="H1196" s="43"/>
      <c r="I1196" s="43"/>
      <c r="J1196" s="43"/>
      <c r="K1196" s="43"/>
      <c r="L1196" s="43"/>
      <c r="M1196" s="43"/>
      <c r="N1196" s="43"/>
      <c r="O1196" s="43"/>
      <c r="P1196" s="43"/>
      <c r="Q1196" s="43"/>
      <c r="R1196" s="43"/>
      <c r="S1196" s="43"/>
      <c r="T1196" s="43"/>
      <c r="U1196" s="43"/>
      <c r="V1196" s="43"/>
      <c r="W1196" s="43"/>
      <c r="X1196" s="43"/>
      <c r="Y1196" s="43"/>
    </row>
    <row r="1197" ht="13.2" spans="1:25">
      <c r="A1197" s="42">
        <v>1196</v>
      </c>
      <c r="B1197" s="43" t="s">
        <v>1528</v>
      </c>
      <c r="C1197" s="43"/>
      <c r="D1197" s="43"/>
      <c r="E1197" s="43"/>
      <c r="F1197" s="43"/>
      <c r="G1197" s="43"/>
      <c r="H1197" s="43"/>
      <c r="I1197" s="43"/>
      <c r="J1197" s="43"/>
      <c r="K1197" s="43"/>
      <c r="L1197" s="43"/>
      <c r="M1197" s="43"/>
      <c r="N1197" s="43"/>
      <c r="O1197" s="43"/>
      <c r="P1197" s="43"/>
      <c r="Q1197" s="43"/>
      <c r="R1197" s="43"/>
      <c r="S1197" s="43"/>
      <c r="T1197" s="43"/>
      <c r="U1197" s="43"/>
      <c r="V1197" s="43"/>
      <c r="W1197" s="43"/>
      <c r="X1197" s="43"/>
      <c r="Y1197" s="43"/>
    </row>
    <row r="1198" ht="13.2" spans="1:25">
      <c r="A1198" s="42">
        <v>1197</v>
      </c>
      <c r="B1198" s="43" t="s">
        <v>1529</v>
      </c>
      <c r="C1198" s="43"/>
      <c r="D1198" s="43"/>
      <c r="E1198" s="43"/>
      <c r="F1198" s="43"/>
      <c r="G1198" s="43"/>
      <c r="H1198" s="43"/>
      <c r="I1198" s="43"/>
      <c r="J1198" s="43"/>
      <c r="K1198" s="43"/>
      <c r="L1198" s="43"/>
      <c r="M1198" s="43"/>
      <c r="N1198" s="43"/>
      <c r="O1198" s="43"/>
      <c r="P1198" s="43"/>
      <c r="Q1198" s="43"/>
      <c r="R1198" s="43"/>
      <c r="S1198" s="43"/>
      <c r="T1198" s="43"/>
      <c r="U1198" s="43"/>
      <c r="V1198" s="43"/>
      <c r="W1198" s="43"/>
      <c r="X1198" s="43"/>
      <c r="Y1198" s="43"/>
    </row>
    <row r="1199" ht="13.2" spans="1:25">
      <c r="A1199" s="42">
        <v>1198</v>
      </c>
      <c r="B1199" s="43" t="s">
        <v>1530</v>
      </c>
      <c r="C1199" s="43"/>
      <c r="D1199" s="43"/>
      <c r="E1199" s="43"/>
      <c r="F1199" s="43"/>
      <c r="G1199" s="43"/>
      <c r="H1199" s="43"/>
      <c r="I1199" s="43"/>
      <c r="J1199" s="43"/>
      <c r="K1199" s="43"/>
      <c r="L1199" s="43"/>
      <c r="M1199" s="43"/>
      <c r="N1199" s="43"/>
      <c r="O1199" s="43"/>
      <c r="P1199" s="43"/>
      <c r="Q1199" s="43"/>
      <c r="R1199" s="43"/>
      <c r="S1199" s="43"/>
      <c r="T1199" s="43"/>
      <c r="U1199" s="43"/>
      <c r="V1199" s="43"/>
      <c r="W1199" s="43"/>
      <c r="X1199" s="43"/>
      <c r="Y1199" s="43"/>
    </row>
    <row r="1200" ht="13.2" spans="1:25">
      <c r="A1200" s="42">
        <v>1199</v>
      </c>
      <c r="B1200" s="43" t="s">
        <v>1531</v>
      </c>
      <c r="C1200" s="43"/>
      <c r="D1200" s="43"/>
      <c r="E1200" s="43"/>
      <c r="F1200" s="43"/>
      <c r="G1200" s="43"/>
      <c r="H1200" s="43"/>
      <c r="I1200" s="43"/>
      <c r="J1200" s="43"/>
      <c r="K1200" s="43"/>
      <c r="L1200" s="43"/>
      <c r="M1200" s="43"/>
      <c r="N1200" s="43"/>
      <c r="O1200" s="43"/>
      <c r="P1200" s="43"/>
      <c r="Q1200" s="43"/>
      <c r="R1200" s="43"/>
      <c r="S1200" s="43"/>
      <c r="T1200" s="43"/>
      <c r="U1200" s="43"/>
      <c r="V1200" s="43"/>
      <c r="W1200" s="43"/>
      <c r="X1200" s="43"/>
      <c r="Y1200" s="43"/>
    </row>
    <row r="1201" ht="13.2" spans="1:25">
      <c r="A1201" s="42">
        <v>1200</v>
      </c>
      <c r="B1201" s="43" t="s">
        <v>1532</v>
      </c>
      <c r="C1201" s="43"/>
      <c r="D1201" s="43"/>
      <c r="E1201" s="43"/>
      <c r="F1201" s="43"/>
      <c r="G1201" s="43"/>
      <c r="H1201" s="43"/>
      <c r="I1201" s="43"/>
      <c r="J1201" s="43"/>
      <c r="K1201" s="43"/>
      <c r="L1201" s="43"/>
      <c r="M1201" s="43"/>
      <c r="N1201" s="43"/>
      <c r="O1201" s="43"/>
      <c r="P1201" s="43"/>
      <c r="Q1201" s="43"/>
      <c r="R1201" s="43"/>
      <c r="S1201" s="43"/>
      <c r="T1201" s="43"/>
      <c r="U1201" s="43"/>
      <c r="V1201" s="43"/>
      <c r="W1201" s="43"/>
      <c r="X1201" s="43"/>
      <c r="Y1201" s="43"/>
    </row>
    <row r="1202" ht="13.2" spans="1:25">
      <c r="A1202" s="42">
        <v>1201</v>
      </c>
      <c r="B1202" s="43" t="s">
        <v>1533</v>
      </c>
      <c r="C1202" s="43"/>
      <c r="D1202" s="43"/>
      <c r="E1202" s="43"/>
      <c r="F1202" s="43"/>
      <c r="G1202" s="43"/>
      <c r="H1202" s="43"/>
      <c r="I1202" s="43"/>
      <c r="J1202" s="43"/>
      <c r="K1202" s="43"/>
      <c r="L1202" s="43"/>
      <c r="M1202" s="43"/>
      <c r="N1202" s="43"/>
      <c r="O1202" s="43"/>
      <c r="P1202" s="43"/>
      <c r="Q1202" s="43"/>
      <c r="R1202" s="43"/>
      <c r="S1202" s="43"/>
      <c r="T1202" s="43"/>
      <c r="U1202" s="43"/>
      <c r="V1202" s="43"/>
      <c r="W1202" s="43"/>
      <c r="X1202" s="43"/>
      <c r="Y1202" s="43"/>
    </row>
    <row r="1203" ht="13.2" spans="1:25">
      <c r="A1203" s="42">
        <v>1202</v>
      </c>
      <c r="B1203" s="43" t="s">
        <v>1534</v>
      </c>
      <c r="C1203" s="43"/>
      <c r="D1203" s="43"/>
      <c r="E1203" s="43"/>
      <c r="F1203" s="43"/>
      <c r="G1203" s="43"/>
      <c r="H1203" s="43"/>
      <c r="I1203" s="43"/>
      <c r="J1203" s="43"/>
      <c r="K1203" s="43"/>
      <c r="L1203" s="43"/>
      <c r="M1203" s="43"/>
      <c r="N1203" s="43"/>
      <c r="O1203" s="43"/>
      <c r="P1203" s="43"/>
      <c r="Q1203" s="43"/>
      <c r="R1203" s="43"/>
      <c r="S1203" s="43"/>
      <c r="T1203" s="43"/>
      <c r="U1203" s="43"/>
      <c r="V1203" s="43"/>
      <c r="W1203" s="43"/>
      <c r="X1203" s="43"/>
      <c r="Y1203" s="43"/>
    </row>
    <row r="1204" ht="13.2" spans="1:25">
      <c r="A1204" s="42">
        <v>1203</v>
      </c>
      <c r="B1204" s="43" t="s">
        <v>1535</v>
      </c>
      <c r="C1204" s="43"/>
      <c r="D1204" s="43"/>
      <c r="E1204" s="43"/>
      <c r="F1204" s="43"/>
      <c r="G1204" s="43"/>
      <c r="H1204" s="43"/>
      <c r="I1204" s="43"/>
      <c r="J1204" s="43"/>
      <c r="K1204" s="43"/>
      <c r="L1204" s="43"/>
      <c r="M1204" s="43"/>
      <c r="N1204" s="43"/>
      <c r="O1204" s="43"/>
      <c r="P1204" s="43"/>
      <c r="Q1204" s="43"/>
      <c r="R1204" s="43"/>
      <c r="S1204" s="43"/>
      <c r="T1204" s="43"/>
      <c r="U1204" s="43"/>
      <c r="V1204" s="43"/>
      <c r="W1204" s="43"/>
      <c r="X1204" s="43"/>
      <c r="Y1204" s="43"/>
    </row>
    <row r="1205" ht="13.2" spans="1:25">
      <c r="A1205" s="42">
        <v>1204</v>
      </c>
      <c r="B1205" s="43" t="s">
        <v>1536</v>
      </c>
      <c r="C1205" s="43"/>
      <c r="D1205" s="43"/>
      <c r="E1205" s="43"/>
      <c r="F1205" s="43"/>
      <c r="G1205" s="43"/>
      <c r="H1205" s="43"/>
      <c r="I1205" s="43"/>
      <c r="J1205" s="43"/>
      <c r="K1205" s="43"/>
      <c r="L1205" s="43"/>
      <c r="M1205" s="43"/>
      <c r="N1205" s="43"/>
      <c r="O1205" s="43"/>
      <c r="P1205" s="43"/>
      <c r="Q1205" s="43"/>
      <c r="R1205" s="43"/>
      <c r="S1205" s="43"/>
      <c r="T1205" s="43"/>
      <c r="U1205" s="43"/>
      <c r="V1205" s="43"/>
      <c r="W1205" s="43"/>
      <c r="X1205" s="43"/>
      <c r="Y1205" s="43"/>
    </row>
    <row r="1206" ht="13.2" spans="1:25">
      <c r="A1206" s="42">
        <v>1205</v>
      </c>
      <c r="B1206" s="43" t="s">
        <v>1537</v>
      </c>
      <c r="C1206" s="43"/>
      <c r="D1206" s="43"/>
      <c r="E1206" s="43"/>
      <c r="F1206" s="43"/>
      <c r="G1206" s="43"/>
      <c r="H1206" s="43"/>
      <c r="I1206" s="43"/>
      <c r="J1206" s="43"/>
      <c r="K1206" s="43"/>
      <c r="L1206" s="43"/>
      <c r="M1206" s="43"/>
      <c r="N1206" s="43"/>
      <c r="O1206" s="43"/>
      <c r="P1206" s="43"/>
      <c r="Q1206" s="43"/>
      <c r="R1206" s="43"/>
      <c r="S1206" s="43"/>
      <c r="T1206" s="43"/>
      <c r="U1206" s="43"/>
      <c r="V1206" s="43"/>
      <c r="W1206" s="43"/>
      <c r="X1206" s="43"/>
      <c r="Y1206" s="43"/>
    </row>
    <row r="1207" ht="13.2" spans="1:25">
      <c r="A1207" s="42">
        <v>1206</v>
      </c>
      <c r="B1207" s="43" t="s">
        <v>1538</v>
      </c>
      <c r="C1207" s="43"/>
      <c r="D1207" s="43"/>
      <c r="E1207" s="43"/>
      <c r="F1207" s="43"/>
      <c r="G1207" s="43"/>
      <c r="H1207" s="43"/>
      <c r="I1207" s="43"/>
      <c r="J1207" s="43"/>
      <c r="K1207" s="43"/>
      <c r="L1207" s="43"/>
      <c r="M1207" s="43"/>
      <c r="N1207" s="43"/>
      <c r="O1207" s="43"/>
      <c r="P1207" s="43"/>
      <c r="Q1207" s="43"/>
      <c r="R1207" s="43"/>
      <c r="S1207" s="43"/>
      <c r="T1207" s="43"/>
      <c r="U1207" s="43"/>
      <c r="V1207" s="43"/>
      <c r="W1207" s="43"/>
      <c r="X1207" s="43"/>
      <c r="Y1207" s="43"/>
    </row>
    <row r="1208" ht="13.2" spans="1:25">
      <c r="A1208" s="42">
        <v>1207</v>
      </c>
      <c r="B1208" s="43" t="s">
        <v>1539</v>
      </c>
      <c r="C1208" s="43"/>
      <c r="D1208" s="43"/>
      <c r="E1208" s="43"/>
      <c r="F1208" s="43"/>
      <c r="G1208" s="43"/>
      <c r="H1208" s="43"/>
      <c r="I1208" s="43"/>
      <c r="J1208" s="43"/>
      <c r="K1208" s="43"/>
      <c r="L1208" s="43"/>
      <c r="M1208" s="43"/>
      <c r="N1208" s="43"/>
      <c r="O1208" s="43"/>
      <c r="P1208" s="43"/>
      <c r="Q1208" s="43"/>
      <c r="R1208" s="43"/>
      <c r="S1208" s="43"/>
      <c r="T1208" s="43"/>
      <c r="U1208" s="43"/>
      <c r="V1208" s="43"/>
      <c r="W1208" s="43"/>
      <c r="X1208" s="43"/>
      <c r="Y1208" s="43"/>
    </row>
    <row r="1209" ht="13.2" spans="1:25">
      <c r="A1209" s="42">
        <v>1208</v>
      </c>
      <c r="B1209" s="43" t="s">
        <v>1540</v>
      </c>
      <c r="C1209" s="43"/>
      <c r="D1209" s="43"/>
      <c r="E1209" s="43"/>
      <c r="F1209" s="43"/>
      <c r="G1209" s="43"/>
      <c r="H1209" s="43"/>
      <c r="I1209" s="43"/>
      <c r="J1209" s="43"/>
      <c r="K1209" s="43"/>
      <c r="L1209" s="43"/>
      <c r="M1209" s="43"/>
      <c r="N1209" s="43"/>
      <c r="O1209" s="43"/>
      <c r="P1209" s="43"/>
      <c r="Q1209" s="43"/>
      <c r="R1209" s="43"/>
      <c r="S1209" s="43"/>
      <c r="T1209" s="43"/>
      <c r="U1209" s="43"/>
      <c r="V1209" s="43"/>
      <c r="W1209" s="43"/>
      <c r="X1209" s="43"/>
      <c r="Y1209" s="43"/>
    </row>
    <row r="1210" ht="13.2" spans="1:25">
      <c r="A1210" s="42">
        <v>1209</v>
      </c>
      <c r="B1210" s="43" t="s">
        <v>1541</v>
      </c>
      <c r="C1210" s="43"/>
      <c r="D1210" s="43"/>
      <c r="E1210" s="43"/>
      <c r="F1210" s="43"/>
      <c r="G1210" s="43"/>
      <c r="H1210" s="43"/>
      <c r="I1210" s="43"/>
      <c r="J1210" s="43"/>
      <c r="K1210" s="43"/>
      <c r="L1210" s="43"/>
      <c r="M1210" s="43"/>
      <c r="N1210" s="43"/>
      <c r="O1210" s="43"/>
      <c r="P1210" s="43"/>
      <c r="Q1210" s="43"/>
      <c r="R1210" s="43"/>
      <c r="S1210" s="43"/>
      <c r="T1210" s="43"/>
      <c r="U1210" s="43"/>
      <c r="V1210" s="43"/>
      <c r="W1210" s="43"/>
      <c r="X1210" s="43"/>
      <c r="Y1210" s="43"/>
    </row>
    <row r="1211" ht="13.2" spans="1:25">
      <c r="A1211" s="42">
        <v>1210</v>
      </c>
      <c r="B1211" s="43" t="s">
        <v>1542</v>
      </c>
      <c r="C1211" s="43"/>
      <c r="D1211" s="43"/>
      <c r="E1211" s="43"/>
      <c r="F1211" s="43"/>
      <c r="G1211" s="43"/>
      <c r="H1211" s="43"/>
      <c r="I1211" s="43"/>
      <c r="J1211" s="43"/>
      <c r="K1211" s="43"/>
      <c r="L1211" s="43"/>
      <c r="M1211" s="43"/>
      <c r="N1211" s="43"/>
      <c r="O1211" s="43"/>
      <c r="P1211" s="43"/>
      <c r="Q1211" s="43"/>
      <c r="R1211" s="43"/>
      <c r="S1211" s="43"/>
      <c r="T1211" s="43"/>
      <c r="U1211" s="43"/>
      <c r="V1211" s="43"/>
      <c r="W1211" s="43"/>
      <c r="X1211" s="43"/>
      <c r="Y1211" s="43"/>
    </row>
    <row r="1212" ht="13.2" spans="1:25">
      <c r="A1212" s="42">
        <v>1211</v>
      </c>
      <c r="B1212" s="43" t="s">
        <v>1543</v>
      </c>
      <c r="C1212" s="43"/>
      <c r="D1212" s="43"/>
      <c r="E1212" s="43"/>
      <c r="F1212" s="43"/>
      <c r="G1212" s="43"/>
      <c r="H1212" s="43"/>
      <c r="I1212" s="43"/>
      <c r="J1212" s="43"/>
      <c r="K1212" s="43"/>
      <c r="L1212" s="43"/>
      <c r="M1212" s="43"/>
      <c r="N1212" s="43"/>
      <c r="O1212" s="43"/>
      <c r="P1212" s="43"/>
      <c r="Q1212" s="43"/>
      <c r="R1212" s="43"/>
      <c r="S1212" s="43"/>
      <c r="T1212" s="43"/>
      <c r="U1212" s="43"/>
      <c r="V1212" s="43"/>
      <c r="W1212" s="43"/>
      <c r="X1212" s="43"/>
      <c r="Y1212" s="43"/>
    </row>
    <row r="1213" ht="13.2" spans="1:25">
      <c r="A1213" s="42">
        <v>1212</v>
      </c>
      <c r="B1213" s="43" t="s">
        <v>1544</v>
      </c>
      <c r="C1213" s="43"/>
      <c r="D1213" s="43"/>
      <c r="E1213" s="43"/>
      <c r="F1213" s="43"/>
      <c r="G1213" s="43"/>
      <c r="H1213" s="43"/>
      <c r="I1213" s="43"/>
      <c r="J1213" s="43"/>
      <c r="K1213" s="43"/>
      <c r="L1213" s="43"/>
      <c r="M1213" s="43"/>
      <c r="N1213" s="43"/>
      <c r="O1213" s="43"/>
      <c r="P1213" s="43"/>
      <c r="Q1213" s="43"/>
      <c r="R1213" s="43"/>
      <c r="S1213" s="43"/>
      <c r="T1213" s="43"/>
      <c r="U1213" s="43"/>
      <c r="V1213" s="43"/>
      <c r="W1213" s="43"/>
      <c r="X1213" s="43"/>
      <c r="Y1213" s="43"/>
    </row>
    <row r="1214" ht="13.2" spans="1:25">
      <c r="A1214" s="42">
        <v>1213</v>
      </c>
      <c r="B1214" s="43" t="s">
        <v>1545</v>
      </c>
      <c r="C1214" s="43"/>
      <c r="D1214" s="43"/>
      <c r="E1214" s="43"/>
      <c r="F1214" s="43"/>
      <c r="G1214" s="43"/>
      <c r="H1214" s="43"/>
      <c r="I1214" s="43"/>
      <c r="J1214" s="43"/>
      <c r="K1214" s="43"/>
      <c r="L1214" s="43"/>
      <c r="M1214" s="43"/>
      <c r="N1214" s="43"/>
      <c r="O1214" s="43"/>
      <c r="P1214" s="43"/>
      <c r="Q1214" s="43"/>
      <c r="R1214" s="43"/>
      <c r="S1214" s="43"/>
      <c r="T1214" s="43"/>
      <c r="U1214" s="43"/>
      <c r="V1214" s="43"/>
      <c r="W1214" s="43"/>
      <c r="X1214" s="43"/>
      <c r="Y1214" s="43"/>
    </row>
    <row r="1215" ht="13.2" spans="1:25">
      <c r="A1215" s="42">
        <v>1214</v>
      </c>
      <c r="B1215" s="43" t="s">
        <v>1546</v>
      </c>
      <c r="C1215" s="43"/>
      <c r="D1215" s="43"/>
      <c r="E1215" s="43"/>
      <c r="F1215" s="43"/>
      <c r="G1215" s="43"/>
      <c r="H1215" s="43"/>
      <c r="I1215" s="43"/>
      <c r="J1215" s="43"/>
      <c r="K1215" s="43"/>
      <c r="L1215" s="43"/>
      <c r="M1215" s="43"/>
      <c r="N1215" s="43"/>
      <c r="O1215" s="43"/>
      <c r="P1215" s="43"/>
      <c r="Q1215" s="43"/>
      <c r="R1215" s="43"/>
      <c r="S1215" s="43"/>
      <c r="T1215" s="43"/>
      <c r="U1215" s="43"/>
      <c r="V1215" s="43"/>
      <c r="W1215" s="43"/>
      <c r="X1215" s="43"/>
      <c r="Y1215" s="43"/>
    </row>
    <row r="1216" ht="13.2" spans="1:25">
      <c r="A1216" s="42">
        <v>1215</v>
      </c>
      <c r="B1216" s="43" t="s">
        <v>1547</v>
      </c>
      <c r="C1216" s="43"/>
      <c r="D1216" s="43"/>
      <c r="E1216" s="43"/>
      <c r="F1216" s="43"/>
      <c r="G1216" s="43"/>
      <c r="H1216" s="43"/>
      <c r="I1216" s="43"/>
      <c r="J1216" s="43"/>
      <c r="K1216" s="43"/>
      <c r="L1216" s="43"/>
      <c r="M1216" s="43"/>
      <c r="N1216" s="43"/>
      <c r="O1216" s="43"/>
      <c r="P1216" s="43"/>
      <c r="Q1216" s="43"/>
      <c r="R1216" s="43"/>
      <c r="S1216" s="43"/>
      <c r="T1216" s="43"/>
      <c r="U1216" s="43"/>
      <c r="V1216" s="43"/>
      <c r="W1216" s="43"/>
      <c r="X1216" s="43"/>
      <c r="Y1216" s="43"/>
    </row>
    <row r="1217" ht="13.2" spans="1:25">
      <c r="A1217" s="42">
        <v>1216</v>
      </c>
      <c r="B1217" s="43" t="s">
        <v>1548</v>
      </c>
      <c r="C1217" s="43"/>
      <c r="D1217" s="43"/>
      <c r="E1217" s="43"/>
      <c r="F1217" s="43"/>
      <c r="G1217" s="43"/>
      <c r="H1217" s="43"/>
      <c r="I1217" s="43"/>
      <c r="J1217" s="43"/>
      <c r="K1217" s="43"/>
      <c r="L1217" s="43"/>
      <c r="M1217" s="43"/>
      <c r="N1217" s="43"/>
      <c r="O1217" s="43"/>
      <c r="P1217" s="43"/>
      <c r="Q1217" s="43"/>
      <c r="R1217" s="43"/>
      <c r="S1217" s="43"/>
      <c r="T1217" s="43"/>
      <c r="U1217" s="43"/>
      <c r="V1217" s="43"/>
      <c r="W1217" s="43"/>
      <c r="X1217" s="43"/>
      <c r="Y1217" s="43"/>
    </row>
    <row r="1218" ht="13.2" spans="1:25">
      <c r="A1218" s="42">
        <v>1217</v>
      </c>
      <c r="B1218" s="43" t="s">
        <v>1549</v>
      </c>
      <c r="C1218" s="43"/>
      <c r="D1218" s="43"/>
      <c r="E1218" s="43"/>
      <c r="F1218" s="43"/>
      <c r="G1218" s="43"/>
      <c r="H1218" s="43"/>
      <c r="I1218" s="43"/>
      <c r="J1218" s="43"/>
      <c r="K1218" s="43"/>
      <c r="L1218" s="43"/>
      <c r="M1218" s="43"/>
      <c r="N1218" s="43"/>
      <c r="O1218" s="43"/>
      <c r="P1218" s="43"/>
      <c r="Q1218" s="43"/>
      <c r="R1218" s="43"/>
      <c r="S1218" s="43"/>
      <c r="T1218" s="43"/>
      <c r="U1218" s="43"/>
      <c r="V1218" s="43"/>
      <c r="W1218" s="43"/>
      <c r="X1218" s="43"/>
      <c r="Y1218" s="43"/>
    </row>
    <row r="1219" ht="13.2" spans="1:25">
      <c r="A1219" s="42">
        <v>1218</v>
      </c>
      <c r="B1219" s="43" t="s">
        <v>1550</v>
      </c>
      <c r="C1219" s="43"/>
      <c r="D1219" s="43"/>
      <c r="E1219" s="43"/>
      <c r="F1219" s="43"/>
      <c r="G1219" s="43"/>
      <c r="H1219" s="43"/>
      <c r="I1219" s="43"/>
      <c r="J1219" s="43"/>
      <c r="K1219" s="43"/>
      <c r="L1219" s="43"/>
      <c r="M1219" s="43"/>
      <c r="N1219" s="43"/>
      <c r="O1219" s="43"/>
      <c r="P1219" s="43"/>
      <c r="Q1219" s="43"/>
      <c r="R1219" s="43"/>
      <c r="S1219" s="43"/>
      <c r="T1219" s="43"/>
      <c r="U1219" s="43"/>
      <c r="V1219" s="43"/>
      <c r="W1219" s="43"/>
      <c r="X1219" s="43"/>
      <c r="Y1219" s="43"/>
    </row>
    <row r="1220" ht="13.2" spans="1:25">
      <c r="A1220" s="42">
        <v>1219</v>
      </c>
      <c r="B1220" s="43" t="s">
        <v>1551</v>
      </c>
      <c r="C1220" s="43"/>
      <c r="D1220" s="43"/>
      <c r="E1220" s="43"/>
      <c r="F1220" s="43"/>
      <c r="G1220" s="43"/>
      <c r="H1220" s="43"/>
      <c r="I1220" s="43"/>
      <c r="J1220" s="43"/>
      <c r="K1220" s="43"/>
      <c r="L1220" s="43"/>
      <c r="M1220" s="43"/>
      <c r="N1220" s="43"/>
      <c r="O1220" s="43"/>
      <c r="P1220" s="43"/>
      <c r="Q1220" s="43"/>
      <c r="R1220" s="43"/>
      <c r="S1220" s="43"/>
      <c r="T1220" s="43"/>
      <c r="U1220" s="43"/>
      <c r="V1220" s="43"/>
      <c r="W1220" s="43"/>
      <c r="X1220" s="43"/>
      <c r="Y1220" s="43"/>
    </row>
    <row r="1221" ht="13.2" spans="1:25">
      <c r="A1221" s="42">
        <v>1220</v>
      </c>
      <c r="B1221" s="43" t="s">
        <v>1552</v>
      </c>
      <c r="C1221" s="43"/>
      <c r="D1221" s="43"/>
      <c r="E1221" s="43"/>
      <c r="F1221" s="43"/>
      <c r="G1221" s="43"/>
      <c r="H1221" s="43"/>
      <c r="I1221" s="43"/>
      <c r="J1221" s="43"/>
      <c r="K1221" s="43"/>
      <c r="L1221" s="43"/>
      <c r="M1221" s="43"/>
      <c r="N1221" s="43"/>
      <c r="O1221" s="43"/>
      <c r="P1221" s="43"/>
      <c r="Q1221" s="43"/>
      <c r="R1221" s="43"/>
      <c r="S1221" s="43"/>
      <c r="T1221" s="43"/>
      <c r="U1221" s="43"/>
      <c r="V1221" s="43"/>
      <c r="W1221" s="43"/>
      <c r="X1221" s="43"/>
      <c r="Y1221" s="43"/>
    </row>
    <row r="1222" ht="13.2" spans="1:25">
      <c r="A1222" s="42">
        <v>1221</v>
      </c>
      <c r="B1222" s="43" t="s">
        <v>1553</v>
      </c>
      <c r="C1222" s="43"/>
      <c r="D1222" s="43"/>
      <c r="E1222" s="43"/>
      <c r="F1222" s="43"/>
      <c r="G1222" s="43"/>
      <c r="H1222" s="43"/>
      <c r="I1222" s="43"/>
      <c r="J1222" s="43"/>
      <c r="K1222" s="43"/>
      <c r="L1222" s="43"/>
      <c r="M1222" s="43"/>
      <c r="N1222" s="43"/>
      <c r="O1222" s="43"/>
      <c r="P1222" s="43"/>
      <c r="Q1222" s="43"/>
      <c r="R1222" s="43"/>
      <c r="S1222" s="43"/>
      <c r="T1222" s="43"/>
      <c r="U1222" s="43"/>
      <c r="V1222" s="43"/>
      <c r="W1222" s="43"/>
      <c r="X1222" s="43"/>
      <c r="Y1222" s="43"/>
    </row>
    <row r="1223" ht="13.2" spans="1:25">
      <c r="A1223" s="42">
        <v>1222</v>
      </c>
      <c r="B1223" s="43" t="s">
        <v>1554</v>
      </c>
      <c r="C1223" s="43"/>
      <c r="D1223" s="43"/>
      <c r="E1223" s="43"/>
      <c r="F1223" s="43"/>
      <c r="G1223" s="43"/>
      <c r="H1223" s="43"/>
      <c r="I1223" s="43"/>
      <c r="J1223" s="43"/>
      <c r="K1223" s="43"/>
      <c r="L1223" s="43"/>
      <c r="M1223" s="43"/>
      <c r="N1223" s="43"/>
      <c r="O1223" s="43"/>
      <c r="P1223" s="43"/>
      <c r="Q1223" s="43"/>
      <c r="R1223" s="43"/>
      <c r="S1223" s="43"/>
      <c r="T1223" s="43"/>
      <c r="U1223" s="43"/>
      <c r="V1223" s="43"/>
      <c r="W1223" s="43"/>
      <c r="X1223" s="43"/>
      <c r="Y1223" s="43"/>
    </row>
    <row r="1224" ht="13.2" spans="1:25">
      <c r="A1224" s="42">
        <v>1223</v>
      </c>
      <c r="B1224" s="43" t="s">
        <v>1555</v>
      </c>
      <c r="C1224" s="43"/>
      <c r="D1224" s="43"/>
      <c r="E1224" s="43"/>
      <c r="F1224" s="43"/>
      <c r="G1224" s="43"/>
      <c r="H1224" s="43"/>
      <c r="I1224" s="43"/>
      <c r="J1224" s="43"/>
      <c r="K1224" s="43"/>
      <c r="L1224" s="43"/>
      <c r="M1224" s="43"/>
      <c r="N1224" s="43"/>
      <c r="O1224" s="43"/>
      <c r="P1224" s="43"/>
      <c r="Q1224" s="43"/>
      <c r="R1224" s="43"/>
      <c r="S1224" s="43"/>
      <c r="T1224" s="43"/>
      <c r="U1224" s="43"/>
      <c r="V1224" s="43"/>
      <c r="W1224" s="43"/>
      <c r="X1224" s="43"/>
      <c r="Y1224" s="43"/>
    </row>
    <row r="1225" ht="13.2" spans="1:25">
      <c r="A1225" s="42">
        <v>1224</v>
      </c>
      <c r="B1225" s="43" t="s">
        <v>1556</v>
      </c>
      <c r="C1225" s="43"/>
      <c r="D1225" s="43"/>
      <c r="E1225" s="43"/>
      <c r="F1225" s="43"/>
      <c r="G1225" s="43"/>
      <c r="H1225" s="43"/>
      <c r="I1225" s="43"/>
      <c r="J1225" s="43"/>
      <c r="K1225" s="43"/>
      <c r="L1225" s="43"/>
      <c r="M1225" s="43"/>
      <c r="N1225" s="43"/>
      <c r="O1225" s="43"/>
      <c r="P1225" s="43"/>
      <c r="Q1225" s="43"/>
      <c r="R1225" s="43"/>
      <c r="S1225" s="43"/>
      <c r="T1225" s="43"/>
      <c r="U1225" s="43"/>
      <c r="V1225" s="43"/>
      <c r="W1225" s="43"/>
      <c r="X1225" s="43"/>
      <c r="Y1225" s="43"/>
    </row>
    <row r="1226" ht="13.2" spans="1:25">
      <c r="A1226" s="42">
        <v>1225</v>
      </c>
      <c r="B1226" s="43" t="s">
        <v>1557</v>
      </c>
      <c r="C1226" s="43"/>
      <c r="D1226" s="43"/>
      <c r="E1226" s="43"/>
      <c r="F1226" s="43"/>
      <c r="G1226" s="43"/>
      <c r="H1226" s="43"/>
      <c r="I1226" s="43"/>
      <c r="J1226" s="43"/>
      <c r="K1226" s="43"/>
      <c r="L1226" s="43"/>
      <c r="M1226" s="43"/>
      <c r="N1226" s="43"/>
      <c r="O1226" s="43"/>
      <c r="P1226" s="43"/>
      <c r="Q1226" s="43"/>
      <c r="R1226" s="43"/>
      <c r="S1226" s="43"/>
      <c r="T1226" s="43"/>
      <c r="U1226" s="43"/>
      <c r="V1226" s="43"/>
      <c r="W1226" s="43"/>
      <c r="X1226" s="43"/>
      <c r="Y1226" s="43"/>
    </row>
    <row r="1227" ht="13.2" spans="1:25">
      <c r="A1227" s="42">
        <v>1226</v>
      </c>
      <c r="B1227" s="43" t="s">
        <v>1558</v>
      </c>
      <c r="C1227" s="43"/>
      <c r="D1227" s="43"/>
      <c r="E1227" s="43"/>
      <c r="F1227" s="43"/>
      <c r="G1227" s="43"/>
      <c r="H1227" s="43"/>
      <c r="I1227" s="43"/>
      <c r="J1227" s="43"/>
      <c r="K1227" s="43"/>
      <c r="L1227" s="43"/>
      <c r="M1227" s="43"/>
      <c r="N1227" s="43"/>
      <c r="O1227" s="43"/>
      <c r="P1227" s="43"/>
      <c r="Q1227" s="43"/>
      <c r="R1227" s="43"/>
      <c r="S1227" s="43"/>
      <c r="T1227" s="43"/>
      <c r="U1227" s="43"/>
      <c r="V1227" s="43"/>
      <c r="W1227" s="43"/>
      <c r="X1227" s="43"/>
      <c r="Y1227" s="43"/>
    </row>
    <row r="1228" ht="13.2" spans="1:25">
      <c r="A1228" s="42">
        <v>1227</v>
      </c>
      <c r="B1228" s="43" t="s">
        <v>1559</v>
      </c>
      <c r="C1228" s="43"/>
      <c r="D1228" s="43"/>
      <c r="E1228" s="43"/>
      <c r="F1228" s="43"/>
      <c r="G1228" s="43"/>
      <c r="H1228" s="43"/>
      <c r="I1228" s="43"/>
      <c r="J1228" s="43"/>
      <c r="K1228" s="43"/>
      <c r="L1228" s="43"/>
      <c r="M1228" s="43"/>
      <c r="N1228" s="43"/>
      <c r="O1228" s="43"/>
      <c r="P1228" s="43"/>
      <c r="Q1228" s="43"/>
      <c r="R1228" s="43"/>
      <c r="S1228" s="43"/>
      <c r="T1228" s="43"/>
      <c r="U1228" s="43"/>
      <c r="V1228" s="43"/>
      <c r="W1228" s="43"/>
      <c r="X1228" s="43"/>
      <c r="Y1228" s="43"/>
    </row>
    <row r="1229" ht="13.2" spans="1:25">
      <c r="A1229" s="42">
        <v>1228</v>
      </c>
      <c r="B1229" s="43" t="s">
        <v>1560</v>
      </c>
      <c r="C1229" s="43"/>
      <c r="D1229" s="43"/>
      <c r="E1229" s="43"/>
      <c r="F1229" s="43"/>
      <c r="G1229" s="43"/>
      <c r="H1229" s="43"/>
      <c r="I1229" s="43"/>
      <c r="J1229" s="43"/>
      <c r="K1229" s="43"/>
      <c r="L1229" s="43"/>
      <c r="M1229" s="43"/>
      <c r="N1229" s="43"/>
      <c r="O1229" s="43"/>
      <c r="P1229" s="43"/>
      <c r="Q1229" s="43"/>
      <c r="R1229" s="43"/>
      <c r="S1229" s="43"/>
      <c r="T1229" s="43"/>
      <c r="U1229" s="43"/>
      <c r="V1229" s="43"/>
      <c r="W1229" s="43"/>
      <c r="X1229" s="43"/>
      <c r="Y1229" s="43"/>
    </row>
    <row r="1230" ht="13.2" spans="1:25">
      <c r="A1230" s="42">
        <v>1229</v>
      </c>
      <c r="B1230" s="43" t="s">
        <v>1561</v>
      </c>
      <c r="C1230" s="43"/>
      <c r="D1230" s="43"/>
      <c r="E1230" s="43"/>
      <c r="F1230" s="43"/>
      <c r="G1230" s="43"/>
      <c r="H1230" s="43"/>
      <c r="I1230" s="43"/>
      <c r="J1230" s="43"/>
      <c r="K1230" s="43"/>
      <c r="L1230" s="43"/>
      <c r="M1230" s="43"/>
      <c r="N1230" s="43"/>
      <c r="O1230" s="43"/>
      <c r="P1230" s="43"/>
      <c r="Q1230" s="43"/>
      <c r="R1230" s="43"/>
      <c r="S1230" s="43"/>
      <c r="T1230" s="43"/>
      <c r="U1230" s="43"/>
      <c r="V1230" s="43"/>
      <c r="W1230" s="43"/>
      <c r="X1230" s="43"/>
      <c r="Y1230" s="43"/>
    </row>
    <row r="1231" ht="13.2" spans="1:25">
      <c r="A1231" s="42">
        <v>1230</v>
      </c>
      <c r="B1231" s="43" t="s">
        <v>1562</v>
      </c>
      <c r="C1231" s="43"/>
      <c r="D1231" s="43"/>
      <c r="E1231" s="43"/>
      <c r="F1231" s="43"/>
      <c r="G1231" s="43"/>
      <c r="H1231" s="43"/>
      <c r="I1231" s="43"/>
      <c r="J1231" s="43"/>
      <c r="K1231" s="43"/>
      <c r="L1231" s="43"/>
      <c r="M1231" s="43"/>
      <c r="N1231" s="43"/>
      <c r="O1231" s="43"/>
      <c r="P1231" s="43"/>
      <c r="Q1231" s="43"/>
      <c r="R1231" s="43"/>
      <c r="S1231" s="43"/>
      <c r="T1231" s="43"/>
      <c r="U1231" s="43"/>
      <c r="V1231" s="43"/>
      <c r="W1231" s="43"/>
      <c r="X1231" s="43"/>
      <c r="Y1231" s="43"/>
    </row>
    <row r="1232" ht="13.2" spans="1:25">
      <c r="A1232" s="42">
        <v>1231</v>
      </c>
      <c r="B1232" s="43" t="s">
        <v>1563</v>
      </c>
      <c r="C1232" s="43"/>
      <c r="D1232" s="43"/>
      <c r="E1232" s="43"/>
      <c r="F1232" s="43"/>
      <c r="G1232" s="43"/>
      <c r="H1232" s="43"/>
      <c r="I1232" s="43"/>
      <c r="J1232" s="43"/>
      <c r="K1232" s="43"/>
      <c r="L1232" s="43"/>
      <c r="M1232" s="43"/>
      <c r="N1232" s="43"/>
      <c r="O1232" s="43"/>
      <c r="P1232" s="43"/>
      <c r="Q1232" s="43"/>
      <c r="R1232" s="43"/>
      <c r="S1232" s="43"/>
      <c r="T1232" s="43"/>
      <c r="U1232" s="43"/>
      <c r="V1232" s="43"/>
      <c r="W1232" s="43"/>
      <c r="X1232" s="43"/>
      <c r="Y1232" s="43"/>
    </row>
    <row r="1233" ht="13.2" spans="1:25">
      <c r="A1233" s="42">
        <v>1232</v>
      </c>
      <c r="B1233" s="43" t="s">
        <v>1564</v>
      </c>
      <c r="C1233" s="43"/>
      <c r="D1233" s="43"/>
      <c r="E1233" s="43"/>
      <c r="F1233" s="43"/>
      <c r="G1233" s="43"/>
      <c r="H1233" s="43"/>
      <c r="I1233" s="43"/>
      <c r="J1233" s="43"/>
      <c r="K1233" s="43"/>
      <c r="L1233" s="43"/>
      <c r="M1233" s="43"/>
      <c r="N1233" s="43"/>
      <c r="O1233" s="43"/>
      <c r="P1233" s="43"/>
      <c r="Q1233" s="43"/>
      <c r="R1233" s="43"/>
      <c r="S1233" s="43"/>
      <c r="T1233" s="43"/>
      <c r="U1233" s="43"/>
      <c r="V1233" s="43"/>
      <c r="W1233" s="43"/>
      <c r="X1233" s="43"/>
      <c r="Y1233" s="43"/>
    </row>
    <row r="1234" ht="13.2" spans="1:25">
      <c r="A1234" s="42">
        <v>1233</v>
      </c>
      <c r="B1234" s="43" t="s">
        <v>1565</v>
      </c>
      <c r="C1234" s="43"/>
      <c r="D1234" s="43"/>
      <c r="E1234" s="43"/>
      <c r="F1234" s="43"/>
      <c r="G1234" s="43"/>
      <c r="H1234" s="43"/>
      <c r="I1234" s="43"/>
      <c r="J1234" s="43"/>
      <c r="K1234" s="43"/>
      <c r="L1234" s="43"/>
      <c r="M1234" s="43"/>
      <c r="N1234" s="43"/>
      <c r="O1234" s="43"/>
      <c r="P1234" s="43"/>
      <c r="Q1234" s="43"/>
      <c r="R1234" s="43"/>
      <c r="S1234" s="43"/>
      <c r="T1234" s="43"/>
      <c r="U1234" s="43"/>
      <c r="V1234" s="43"/>
      <c r="W1234" s="43"/>
      <c r="X1234" s="43"/>
      <c r="Y1234" s="43"/>
    </row>
    <row r="1235" ht="13.2" spans="1:25">
      <c r="A1235" s="42">
        <v>1234</v>
      </c>
      <c r="B1235" s="43" t="s">
        <v>1566</v>
      </c>
      <c r="C1235" s="43"/>
      <c r="D1235" s="43"/>
      <c r="E1235" s="43"/>
      <c r="F1235" s="43"/>
      <c r="G1235" s="43"/>
      <c r="H1235" s="43"/>
      <c r="I1235" s="43"/>
      <c r="J1235" s="43"/>
      <c r="K1235" s="43"/>
      <c r="L1235" s="43"/>
      <c r="M1235" s="43"/>
      <c r="N1235" s="43"/>
      <c r="O1235" s="43"/>
      <c r="P1235" s="43"/>
      <c r="Q1235" s="43"/>
      <c r="R1235" s="43"/>
      <c r="S1235" s="43"/>
      <c r="T1235" s="43"/>
      <c r="U1235" s="43"/>
      <c r="V1235" s="43"/>
      <c r="W1235" s="43"/>
      <c r="X1235" s="43"/>
      <c r="Y1235" s="43"/>
    </row>
    <row r="1236" ht="13.2" spans="1:25">
      <c r="A1236" s="42">
        <v>1235</v>
      </c>
      <c r="B1236" s="43" t="s">
        <v>1567</v>
      </c>
      <c r="C1236" s="43"/>
      <c r="D1236" s="43"/>
      <c r="E1236" s="43"/>
      <c r="F1236" s="43"/>
      <c r="G1236" s="43"/>
      <c r="H1236" s="43"/>
      <c r="I1236" s="43"/>
      <c r="J1236" s="43"/>
      <c r="K1236" s="43"/>
      <c r="L1236" s="43"/>
      <c r="M1236" s="43"/>
      <c r="N1236" s="43"/>
      <c r="O1236" s="43"/>
      <c r="P1236" s="43"/>
      <c r="Q1236" s="43"/>
      <c r="R1236" s="43"/>
      <c r="S1236" s="43"/>
      <c r="T1236" s="43"/>
      <c r="U1236" s="43"/>
      <c r="V1236" s="43"/>
      <c r="W1236" s="43"/>
      <c r="X1236" s="43"/>
      <c r="Y1236" s="43"/>
    </row>
    <row r="1237" ht="13.2" spans="1:25">
      <c r="A1237" s="42">
        <v>1236</v>
      </c>
      <c r="B1237" s="43" t="s">
        <v>1568</v>
      </c>
      <c r="C1237" s="43"/>
      <c r="D1237" s="43"/>
      <c r="E1237" s="43"/>
      <c r="F1237" s="43"/>
      <c r="G1237" s="43"/>
      <c r="H1237" s="43"/>
      <c r="I1237" s="43"/>
      <c r="J1237" s="43"/>
      <c r="K1237" s="43"/>
      <c r="L1237" s="43"/>
      <c r="M1237" s="43"/>
      <c r="N1237" s="43"/>
      <c r="O1237" s="43"/>
      <c r="P1237" s="43"/>
      <c r="Q1237" s="43"/>
      <c r="R1237" s="43"/>
      <c r="S1237" s="43"/>
      <c r="T1237" s="43"/>
      <c r="U1237" s="43"/>
      <c r="V1237" s="43"/>
      <c r="W1237" s="43"/>
      <c r="X1237" s="43"/>
      <c r="Y1237" s="43"/>
    </row>
    <row r="1238" ht="13.2" spans="1:25">
      <c r="A1238" s="42">
        <v>1237</v>
      </c>
      <c r="B1238" s="43" t="s">
        <v>1569</v>
      </c>
      <c r="C1238" s="43"/>
      <c r="D1238" s="43"/>
      <c r="E1238" s="43"/>
      <c r="F1238" s="43"/>
      <c r="G1238" s="43"/>
      <c r="H1238" s="43"/>
      <c r="I1238" s="43"/>
      <c r="J1238" s="43"/>
      <c r="K1238" s="43"/>
      <c r="L1238" s="43"/>
      <c r="M1238" s="43"/>
      <c r="N1238" s="43"/>
      <c r="O1238" s="43"/>
      <c r="P1238" s="43"/>
      <c r="Q1238" s="43"/>
      <c r="R1238" s="43"/>
      <c r="S1238" s="43"/>
      <c r="T1238" s="43"/>
      <c r="U1238" s="43"/>
      <c r="V1238" s="43"/>
      <c r="W1238" s="43"/>
      <c r="X1238" s="43"/>
      <c r="Y1238" s="43"/>
    </row>
    <row r="1239" ht="13.2" spans="1:25">
      <c r="A1239" s="42">
        <v>1238</v>
      </c>
      <c r="B1239" s="43" t="s">
        <v>1570</v>
      </c>
      <c r="C1239" s="43"/>
      <c r="D1239" s="43"/>
      <c r="E1239" s="43"/>
      <c r="F1239" s="43"/>
      <c r="G1239" s="43"/>
      <c r="H1239" s="43"/>
      <c r="I1239" s="43"/>
      <c r="J1239" s="43"/>
      <c r="K1239" s="43"/>
      <c r="L1239" s="43"/>
      <c r="M1239" s="43"/>
      <c r="N1239" s="43"/>
      <c r="O1239" s="43"/>
      <c r="P1239" s="43"/>
      <c r="Q1239" s="43"/>
      <c r="R1239" s="43"/>
      <c r="S1239" s="43"/>
      <c r="T1239" s="43"/>
      <c r="U1239" s="43"/>
      <c r="V1239" s="43"/>
      <c r="W1239" s="43"/>
      <c r="X1239" s="43"/>
      <c r="Y1239" s="43"/>
    </row>
    <row r="1240" ht="13.2" spans="1:25">
      <c r="A1240" s="42">
        <v>1239</v>
      </c>
      <c r="B1240" s="43" t="s">
        <v>1571</v>
      </c>
      <c r="C1240" s="43"/>
      <c r="D1240" s="43"/>
      <c r="E1240" s="43"/>
      <c r="F1240" s="43"/>
      <c r="G1240" s="43"/>
      <c r="H1240" s="43"/>
      <c r="I1240" s="43"/>
      <c r="J1240" s="43"/>
      <c r="K1240" s="43"/>
      <c r="L1240" s="43"/>
      <c r="M1240" s="43"/>
      <c r="N1240" s="43"/>
      <c r="O1240" s="43"/>
      <c r="P1240" s="43"/>
      <c r="Q1240" s="43"/>
      <c r="R1240" s="43"/>
      <c r="S1240" s="43"/>
      <c r="T1240" s="43"/>
      <c r="U1240" s="43"/>
      <c r="V1240" s="43"/>
      <c r="W1240" s="43"/>
      <c r="X1240" s="43"/>
      <c r="Y1240" s="43"/>
    </row>
    <row r="1241" ht="13.2" spans="1:25">
      <c r="A1241" s="42">
        <v>1240</v>
      </c>
      <c r="B1241" s="43" t="s">
        <v>1572</v>
      </c>
      <c r="C1241" s="43"/>
      <c r="D1241" s="43"/>
      <c r="E1241" s="43"/>
      <c r="F1241" s="43"/>
      <c r="G1241" s="43"/>
      <c r="H1241" s="43"/>
      <c r="I1241" s="43"/>
      <c r="J1241" s="43"/>
      <c r="K1241" s="43"/>
      <c r="L1241" s="43"/>
      <c r="M1241" s="43"/>
      <c r="N1241" s="43"/>
      <c r="O1241" s="43"/>
      <c r="P1241" s="43"/>
      <c r="Q1241" s="43"/>
      <c r="R1241" s="43"/>
      <c r="S1241" s="43"/>
      <c r="T1241" s="43"/>
      <c r="U1241" s="43"/>
      <c r="V1241" s="43"/>
      <c r="W1241" s="43"/>
      <c r="X1241" s="43"/>
      <c r="Y1241" s="43"/>
    </row>
    <row r="1242" ht="13.2" spans="1:25">
      <c r="A1242" s="42">
        <v>1241</v>
      </c>
      <c r="B1242" s="43" t="s">
        <v>1573</v>
      </c>
      <c r="C1242" s="43"/>
      <c r="D1242" s="43"/>
      <c r="E1242" s="43"/>
      <c r="F1242" s="43"/>
      <c r="G1242" s="43"/>
      <c r="H1242" s="43"/>
      <c r="I1242" s="43"/>
      <c r="J1242" s="43"/>
      <c r="K1242" s="43"/>
      <c r="L1242" s="43"/>
      <c r="M1242" s="43"/>
      <c r="N1242" s="43"/>
      <c r="O1242" s="43"/>
      <c r="P1242" s="43"/>
      <c r="Q1242" s="43"/>
      <c r="R1242" s="43"/>
      <c r="S1242" s="43"/>
      <c r="T1242" s="43"/>
      <c r="U1242" s="43"/>
      <c r="V1242" s="43"/>
      <c r="W1242" s="43"/>
      <c r="X1242" s="43"/>
      <c r="Y1242" s="43"/>
    </row>
    <row r="1243" ht="13.2" spans="1:25">
      <c r="A1243" s="42">
        <v>1242</v>
      </c>
      <c r="B1243" s="43" t="s">
        <v>1574</v>
      </c>
      <c r="C1243" s="43"/>
      <c r="D1243" s="43"/>
      <c r="E1243" s="43"/>
      <c r="F1243" s="43"/>
      <c r="G1243" s="43"/>
      <c r="H1243" s="43"/>
      <c r="I1243" s="43"/>
      <c r="J1243" s="43"/>
      <c r="K1243" s="43"/>
      <c r="L1243" s="43"/>
      <c r="M1243" s="43"/>
      <c r="N1243" s="43"/>
      <c r="O1243" s="43"/>
      <c r="P1243" s="43"/>
      <c r="Q1243" s="43"/>
      <c r="R1243" s="43"/>
      <c r="S1243" s="43"/>
      <c r="T1243" s="43"/>
      <c r="U1243" s="43"/>
      <c r="V1243" s="43"/>
      <c r="W1243" s="43"/>
      <c r="X1243" s="43"/>
      <c r="Y1243" s="43"/>
    </row>
    <row r="1244" ht="13.2" spans="1:25">
      <c r="A1244" s="42">
        <v>1243</v>
      </c>
      <c r="B1244" s="43" t="s">
        <v>1575</v>
      </c>
      <c r="C1244" s="43"/>
      <c r="D1244" s="43"/>
      <c r="E1244" s="43"/>
      <c r="F1244" s="43"/>
      <c r="G1244" s="43"/>
      <c r="H1244" s="43"/>
      <c r="I1244" s="43"/>
      <c r="J1244" s="43"/>
      <c r="K1244" s="43"/>
      <c r="L1244" s="43"/>
      <c r="M1244" s="43"/>
      <c r="N1244" s="43"/>
      <c r="O1244" s="43"/>
      <c r="P1244" s="43"/>
      <c r="Q1244" s="43"/>
      <c r="R1244" s="43"/>
      <c r="S1244" s="43"/>
      <c r="T1244" s="43"/>
      <c r="U1244" s="43"/>
      <c r="V1244" s="43"/>
      <c r="W1244" s="43"/>
      <c r="X1244" s="43"/>
      <c r="Y1244" s="43"/>
    </row>
    <row r="1245" ht="13.2" spans="1:25">
      <c r="A1245" s="42">
        <v>1244</v>
      </c>
      <c r="B1245" s="43" t="s">
        <v>1576</v>
      </c>
      <c r="C1245" s="43"/>
      <c r="D1245" s="43"/>
      <c r="E1245" s="43"/>
      <c r="F1245" s="43"/>
      <c r="G1245" s="43"/>
      <c r="H1245" s="43"/>
      <c r="I1245" s="43"/>
      <c r="J1245" s="43"/>
      <c r="K1245" s="43"/>
      <c r="L1245" s="43"/>
      <c r="M1245" s="43"/>
      <c r="N1245" s="43"/>
      <c r="O1245" s="43"/>
      <c r="P1245" s="43"/>
      <c r="Q1245" s="43"/>
      <c r="R1245" s="43"/>
      <c r="S1245" s="43"/>
      <c r="T1245" s="43"/>
      <c r="U1245" s="43"/>
      <c r="V1245" s="43"/>
      <c r="W1245" s="43"/>
      <c r="X1245" s="43"/>
      <c r="Y1245" s="43"/>
    </row>
    <row r="1246" ht="13.2" spans="1:25">
      <c r="A1246" s="42">
        <v>1245</v>
      </c>
      <c r="B1246" s="43" t="s">
        <v>1577</v>
      </c>
      <c r="C1246" s="43"/>
      <c r="D1246" s="43"/>
      <c r="E1246" s="43"/>
      <c r="F1246" s="43"/>
      <c r="G1246" s="43"/>
      <c r="H1246" s="43"/>
      <c r="I1246" s="43"/>
      <c r="J1246" s="43"/>
      <c r="K1246" s="43"/>
      <c r="L1246" s="43"/>
      <c r="M1246" s="43"/>
      <c r="N1246" s="43"/>
      <c r="O1246" s="43"/>
      <c r="P1246" s="43"/>
      <c r="Q1246" s="43"/>
      <c r="R1246" s="43"/>
      <c r="S1246" s="43"/>
      <c r="T1246" s="43"/>
      <c r="U1246" s="43"/>
      <c r="V1246" s="43"/>
      <c r="W1246" s="43"/>
      <c r="X1246" s="43"/>
      <c r="Y1246" s="43"/>
    </row>
    <row r="1247" ht="13.2" spans="1:25">
      <c r="A1247" s="42">
        <v>1246</v>
      </c>
      <c r="B1247" s="42" t="s">
        <v>1578</v>
      </c>
      <c r="C1247" s="43"/>
      <c r="D1247" s="43"/>
      <c r="E1247" s="43"/>
      <c r="F1247" s="43"/>
      <c r="G1247" s="43"/>
      <c r="H1247" s="43"/>
      <c r="I1247" s="43"/>
      <c r="J1247" s="43"/>
      <c r="K1247" s="43"/>
      <c r="L1247" s="43"/>
      <c r="M1247" s="43"/>
      <c r="N1247" s="43"/>
      <c r="O1247" s="43"/>
      <c r="P1247" s="43"/>
      <c r="Q1247" s="43"/>
      <c r="R1247" s="43"/>
      <c r="S1247" s="43"/>
      <c r="T1247" s="43"/>
      <c r="U1247" s="43"/>
      <c r="V1247" s="43"/>
      <c r="W1247" s="43"/>
      <c r="X1247" s="43"/>
      <c r="Y1247" s="43"/>
    </row>
    <row r="1248" ht="13.2" spans="1:25">
      <c r="A1248" s="42">
        <v>1247</v>
      </c>
      <c r="B1248" s="43" t="s">
        <v>1579</v>
      </c>
      <c r="C1248" s="43"/>
      <c r="D1248" s="43"/>
      <c r="E1248" s="43"/>
      <c r="F1248" s="43"/>
      <c r="G1248" s="43"/>
      <c r="H1248" s="43"/>
      <c r="I1248" s="43"/>
      <c r="J1248" s="43"/>
      <c r="K1248" s="43"/>
      <c r="L1248" s="43"/>
      <c r="M1248" s="43"/>
      <c r="N1248" s="43"/>
      <c r="O1248" s="43"/>
      <c r="P1248" s="43"/>
      <c r="Q1248" s="43"/>
      <c r="R1248" s="43"/>
      <c r="S1248" s="43"/>
      <c r="T1248" s="43"/>
      <c r="U1248" s="43"/>
      <c r="V1248" s="43"/>
      <c r="W1248" s="43"/>
      <c r="X1248" s="43"/>
      <c r="Y1248" s="43"/>
    </row>
    <row r="1249" ht="13.2" spans="1:25">
      <c r="A1249" s="42">
        <v>1248</v>
      </c>
      <c r="B1249" s="43" t="s">
        <v>1580</v>
      </c>
      <c r="C1249" s="43"/>
      <c r="D1249" s="43"/>
      <c r="E1249" s="43"/>
      <c r="F1249" s="43"/>
      <c r="G1249" s="43"/>
      <c r="H1249" s="43"/>
      <c r="I1249" s="43"/>
      <c r="J1249" s="43"/>
      <c r="K1249" s="43"/>
      <c r="L1249" s="43"/>
      <c r="M1249" s="43"/>
      <c r="N1249" s="43"/>
      <c r="O1249" s="43"/>
      <c r="P1249" s="43"/>
      <c r="Q1249" s="43"/>
      <c r="R1249" s="43"/>
      <c r="S1249" s="43"/>
      <c r="T1249" s="43"/>
      <c r="U1249" s="43"/>
      <c r="V1249" s="43"/>
      <c r="W1249" s="43"/>
      <c r="X1249" s="43"/>
      <c r="Y1249" s="43"/>
    </row>
    <row r="1250" ht="13.2" spans="1:25">
      <c r="A1250" s="42">
        <v>1249</v>
      </c>
      <c r="B1250" s="43" t="s">
        <v>1581</v>
      </c>
      <c r="C1250" s="43"/>
      <c r="D1250" s="43"/>
      <c r="E1250" s="43"/>
      <c r="F1250" s="43"/>
      <c r="G1250" s="43"/>
      <c r="H1250" s="43"/>
      <c r="I1250" s="43"/>
      <c r="J1250" s="43"/>
      <c r="K1250" s="43"/>
      <c r="L1250" s="43"/>
      <c r="M1250" s="43"/>
      <c r="N1250" s="43"/>
      <c r="O1250" s="43"/>
      <c r="P1250" s="43"/>
      <c r="Q1250" s="43"/>
      <c r="R1250" s="43"/>
      <c r="S1250" s="43"/>
      <c r="T1250" s="43"/>
      <c r="U1250" s="43"/>
      <c r="V1250" s="43"/>
      <c r="W1250" s="43"/>
      <c r="X1250" s="43"/>
      <c r="Y1250" s="43"/>
    </row>
    <row r="1251" ht="13.2" spans="1:25">
      <c r="A1251" s="42">
        <v>1250</v>
      </c>
      <c r="B1251" s="43" t="s">
        <v>1582</v>
      </c>
      <c r="C1251" s="43"/>
      <c r="D1251" s="43"/>
      <c r="E1251" s="43"/>
      <c r="F1251" s="43"/>
      <c r="G1251" s="43"/>
      <c r="H1251" s="43"/>
      <c r="I1251" s="43"/>
      <c r="J1251" s="43"/>
      <c r="K1251" s="43"/>
      <c r="L1251" s="43"/>
      <c r="M1251" s="43"/>
      <c r="N1251" s="43"/>
      <c r="O1251" s="43"/>
      <c r="P1251" s="43"/>
      <c r="Q1251" s="43"/>
      <c r="R1251" s="43"/>
      <c r="S1251" s="43"/>
      <c r="T1251" s="43"/>
      <c r="U1251" s="43"/>
      <c r="V1251" s="43"/>
      <c r="W1251" s="43"/>
      <c r="X1251" s="43"/>
      <c r="Y1251" s="43"/>
    </row>
    <row r="1252" ht="13.2" spans="1:25">
      <c r="A1252" s="42">
        <v>1251</v>
      </c>
      <c r="B1252" s="43" t="s">
        <v>1583</v>
      </c>
      <c r="C1252" s="43"/>
      <c r="D1252" s="43"/>
      <c r="E1252" s="43"/>
      <c r="F1252" s="43"/>
      <c r="G1252" s="43"/>
      <c r="H1252" s="43"/>
      <c r="I1252" s="43"/>
      <c r="J1252" s="43"/>
      <c r="K1252" s="43"/>
      <c r="L1252" s="43"/>
      <c r="M1252" s="43"/>
      <c r="N1252" s="43"/>
      <c r="O1252" s="43"/>
      <c r="P1252" s="43"/>
      <c r="Q1252" s="43"/>
      <c r="R1252" s="43"/>
      <c r="S1252" s="43"/>
      <c r="T1252" s="43"/>
      <c r="U1252" s="43"/>
      <c r="V1252" s="43"/>
      <c r="W1252" s="43"/>
      <c r="X1252" s="43"/>
      <c r="Y1252" s="43"/>
    </row>
    <row r="1253" ht="13.2" spans="1:25">
      <c r="A1253" s="42">
        <v>1252</v>
      </c>
      <c r="B1253" s="43" t="s">
        <v>1584</v>
      </c>
      <c r="C1253" s="43"/>
      <c r="D1253" s="43"/>
      <c r="E1253" s="43"/>
      <c r="F1253" s="43"/>
      <c r="G1253" s="43"/>
      <c r="H1253" s="43"/>
      <c r="I1253" s="43"/>
      <c r="J1253" s="43"/>
      <c r="K1253" s="43"/>
      <c r="L1253" s="43"/>
      <c r="M1253" s="43"/>
      <c r="N1253" s="43"/>
      <c r="O1253" s="43"/>
      <c r="P1253" s="43"/>
      <c r="Q1253" s="43"/>
      <c r="R1253" s="43"/>
      <c r="S1253" s="43"/>
      <c r="T1253" s="43"/>
      <c r="U1253" s="43"/>
      <c r="V1253" s="43"/>
      <c r="W1253" s="43"/>
      <c r="X1253" s="43"/>
      <c r="Y1253" s="43"/>
    </row>
    <row r="1254" ht="13.2" spans="1:25">
      <c r="A1254" s="42">
        <v>1253</v>
      </c>
      <c r="B1254" s="43" t="s">
        <v>1585</v>
      </c>
      <c r="C1254" s="43"/>
      <c r="D1254" s="43"/>
      <c r="E1254" s="43"/>
      <c r="F1254" s="43"/>
      <c r="G1254" s="43"/>
      <c r="H1254" s="43"/>
      <c r="I1254" s="43"/>
      <c r="J1254" s="43"/>
      <c r="K1254" s="43"/>
      <c r="L1254" s="43"/>
      <c r="M1254" s="43"/>
      <c r="N1254" s="43"/>
      <c r="O1254" s="43"/>
      <c r="P1254" s="43"/>
      <c r="Q1254" s="43"/>
      <c r="R1254" s="43"/>
      <c r="S1254" s="43"/>
      <c r="T1254" s="43"/>
      <c r="U1254" s="43"/>
      <c r="V1254" s="43"/>
      <c r="W1254" s="43"/>
      <c r="X1254" s="43"/>
      <c r="Y1254" s="43"/>
    </row>
    <row r="1255" ht="13.2" spans="1:25">
      <c r="A1255" s="42">
        <v>1254</v>
      </c>
      <c r="B1255" s="43" t="s">
        <v>1586</v>
      </c>
      <c r="C1255" s="43"/>
      <c r="D1255" s="43"/>
      <c r="E1255" s="43"/>
      <c r="F1255" s="43"/>
      <c r="G1255" s="43"/>
      <c r="H1255" s="43"/>
      <c r="I1255" s="43"/>
      <c r="J1255" s="43"/>
      <c r="K1255" s="43"/>
      <c r="L1255" s="43"/>
      <c r="M1255" s="43"/>
      <c r="N1255" s="43"/>
      <c r="O1255" s="43"/>
      <c r="P1255" s="43"/>
      <c r="Q1255" s="43"/>
      <c r="R1255" s="43"/>
      <c r="S1255" s="43"/>
      <c r="T1255" s="43"/>
      <c r="U1255" s="43"/>
      <c r="V1255" s="43"/>
      <c r="W1255" s="43"/>
      <c r="X1255" s="43"/>
      <c r="Y1255" s="43"/>
    </row>
    <row r="1256" ht="13.2" spans="1:25">
      <c r="A1256" s="42">
        <v>1255</v>
      </c>
      <c r="B1256" s="43" t="s">
        <v>1587</v>
      </c>
      <c r="C1256" s="43"/>
      <c r="D1256" s="43"/>
      <c r="E1256" s="43"/>
      <c r="F1256" s="43"/>
      <c r="G1256" s="43"/>
      <c r="H1256" s="43"/>
      <c r="I1256" s="43"/>
      <c r="J1256" s="43"/>
      <c r="K1256" s="43"/>
      <c r="L1256" s="43"/>
      <c r="M1256" s="43"/>
      <c r="N1256" s="43"/>
      <c r="O1256" s="43"/>
      <c r="P1256" s="43"/>
      <c r="Q1256" s="43"/>
      <c r="R1256" s="43"/>
      <c r="S1256" s="43"/>
      <c r="T1256" s="43"/>
      <c r="U1256" s="43"/>
      <c r="V1256" s="43"/>
      <c r="W1256" s="43"/>
      <c r="X1256" s="43"/>
      <c r="Y1256" s="43"/>
    </row>
    <row r="1257" ht="13.2" spans="1:25">
      <c r="A1257" s="42">
        <v>1256</v>
      </c>
      <c r="B1257" s="43" t="s">
        <v>1588</v>
      </c>
      <c r="C1257" s="43"/>
      <c r="D1257" s="43"/>
      <c r="E1257" s="43"/>
      <c r="F1257" s="43"/>
      <c r="G1257" s="43"/>
      <c r="H1257" s="43"/>
      <c r="I1257" s="43"/>
      <c r="J1257" s="43"/>
      <c r="K1257" s="43"/>
      <c r="L1257" s="43"/>
      <c r="M1257" s="43"/>
      <c r="N1257" s="43"/>
      <c r="O1257" s="43"/>
      <c r="P1257" s="43"/>
      <c r="Q1257" s="43"/>
      <c r="R1257" s="43"/>
      <c r="S1257" s="43"/>
      <c r="T1257" s="43"/>
      <c r="U1257" s="43"/>
      <c r="V1257" s="43"/>
      <c r="W1257" s="43"/>
      <c r="X1257" s="43"/>
      <c r="Y1257" s="43"/>
    </row>
    <row r="1258" ht="13.2" spans="1:25">
      <c r="A1258" s="42">
        <v>1257</v>
      </c>
      <c r="B1258" s="43" t="s">
        <v>1589</v>
      </c>
      <c r="C1258" s="43"/>
      <c r="D1258" s="43"/>
      <c r="E1258" s="43"/>
      <c r="F1258" s="43"/>
      <c r="G1258" s="43"/>
      <c r="H1258" s="43"/>
      <c r="I1258" s="43"/>
      <c r="J1258" s="43"/>
      <c r="K1258" s="43"/>
      <c r="L1258" s="43"/>
      <c r="M1258" s="43"/>
      <c r="N1258" s="43"/>
      <c r="O1258" s="43"/>
      <c r="P1258" s="43"/>
      <c r="Q1258" s="43"/>
      <c r="R1258" s="43"/>
      <c r="S1258" s="43"/>
      <c r="T1258" s="43"/>
      <c r="U1258" s="43"/>
      <c r="V1258" s="43"/>
      <c r="W1258" s="43"/>
      <c r="X1258" s="43"/>
      <c r="Y1258" s="43"/>
    </row>
    <row r="1259" ht="13.2" spans="1:25">
      <c r="A1259" s="42">
        <v>1258</v>
      </c>
      <c r="B1259" s="43" t="s">
        <v>1590</v>
      </c>
      <c r="C1259" s="43"/>
      <c r="D1259" s="43"/>
      <c r="E1259" s="43"/>
      <c r="F1259" s="43"/>
      <c r="G1259" s="43"/>
      <c r="H1259" s="43"/>
      <c r="I1259" s="43"/>
      <c r="J1259" s="43"/>
      <c r="K1259" s="43"/>
      <c r="L1259" s="43"/>
      <c r="M1259" s="43"/>
      <c r="N1259" s="43"/>
      <c r="O1259" s="43"/>
      <c r="P1259" s="43"/>
      <c r="Q1259" s="43"/>
      <c r="R1259" s="43"/>
      <c r="S1259" s="43"/>
      <c r="T1259" s="43"/>
      <c r="U1259" s="43"/>
      <c r="V1259" s="43"/>
      <c r="W1259" s="43"/>
      <c r="X1259" s="43"/>
      <c r="Y1259" s="43"/>
    </row>
    <row r="1260" ht="13.2" spans="1:25">
      <c r="A1260" s="42">
        <v>1259</v>
      </c>
      <c r="B1260" s="43" t="s">
        <v>1591</v>
      </c>
      <c r="C1260" s="43"/>
      <c r="D1260" s="43"/>
      <c r="E1260" s="43"/>
      <c r="F1260" s="43"/>
      <c r="G1260" s="43"/>
      <c r="H1260" s="43"/>
      <c r="I1260" s="43"/>
      <c r="J1260" s="43"/>
      <c r="K1260" s="43"/>
      <c r="L1260" s="43"/>
      <c r="M1260" s="43"/>
      <c r="N1260" s="43"/>
      <c r="O1260" s="43"/>
      <c r="P1260" s="43"/>
      <c r="Q1260" s="43"/>
      <c r="R1260" s="43"/>
      <c r="S1260" s="43"/>
      <c r="T1260" s="43"/>
      <c r="U1260" s="43"/>
      <c r="V1260" s="43"/>
      <c r="W1260" s="43"/>
      <c r="X1260" s="43"/>
      <c r="Y1260" s="43"/>
    </row>
    <row r="1261" ht="13.2" spans="1:25">
      <c r="A1261" s="42">
        <v>1260</v>
      </c>
      <c r="B1261" s="43" t="s">
        <v>1592</v>
      </c>
      <c r="C1261" s="43"/>
      <c r="D1261" s="43"/>
      <c r="E1261" s="43"/>
      <c r="F1261" s="43"/>
      <c r="G1261" s="43"/>
      <c r="H1261" s="43"/>
      <c r="I1261" s="43"/>
      <c r="J1261" s="43"/>
      <c r="K1261" s="43"/>
      <c r="L1261" s="43"/>
      <c r="M1261" s="43"/>
      <c r="N1261" s="43"/>
      <c r="O1261" s="43"/>
      <c r="P1261" s="43"/>
      <c r="Q1261" s="43"/>
      <c r="R1261" s="43"/>
      <c r="S1261" s="43"/>
      <c r="T1261" s="43"/>
      <c r="U1261" s="43"/>
      <c r="V1261" s="43"/>
      <c r="W1261" s="43"/>
      <c r="X1261" s="43"/>
      <c r="Y1261" s="43"/>
    </row>
    <row r="1262" ht="13.2" spans="1:25">
      <c r="A1262" s="42">
        <v>1261</v>
      </c>
      <c r="B1262" s="43" t="s">
        <v>1593</v>
      </c>
      <c r="C1262" s="43"/>
      <c r="D1262" s="43"/>
      <c r="E1262" s="43"/>
      <c r="F1262" s="43"/>
      <c r="G1262" s="43"/>
      <c r="H1262" s="43"/>
      <c r="I1262" s="43"/>
      <c r="J1262" s="43"/>
      <c r="K1262" s="43"/>
      <c r="L1262" s="43"/>
      <c r="M1262" s="43"/>
      <c r="N1262" s="43"/>
      <c r="O1262" s="43"/>
      <c r="P1262" s="43"/>
      <c r="Q1262" s="43"/>
      <c r="R1262" s="43"/>
      <c r="S1262" s="43"/>
      <c r="T1262" s="43"/>
      <c r="U1262" s="43"/>
      <c r="V1262" s="43"/>
      <c r="W1262" s="43"/>
      <c r="X1262" s="43"/>
      <c r="Y1262" s="43"/>
    </row>
    <row r="1263" ht="13.2" spans="1:25">
      <c r="A1263" s="42">
        <v>1262</v>
      </c>
      <c r="B1263" s="43" t="s">
        <v>1594</v>
      </c>
      <c r="C1263" s="43"/>
      <c r="D1263" s="43"/>
      <c r="E1263" s="43"/>
      <c r="F1263" s="43"/>
      <c r="G1263" s="43"/>
      <c r="H1263" s="43"/>
      <c r="I1263" s="43"/>
      <c r="J1263" s="43"/>
      <c r="K1263" s="43"/>
      <c r="L1263" s="43"/>
      <c r="M1263" s="43"/>
      <c r="N1263" s="43"/>
      <c r="O1263" s="43"/>
      <c r="P1263" s="43"/>
      <c r="Q1263" s="43"/>
      <c r="R1263" s="43"/>
      <c r="S1263" s="43"/>
      <c r="T1263" s="43"/>
      <c r="U1263" s="43"/>
      <c r="V1263" s="43"/>
      <c r="W1263" s="43"/>
      <c r="X1263" s="43"/>
      <c r="Y1263" s="43"/>
    </row>
    <row r="1264" ht="13.2" spans="1:25">
      <c r="A1264" s="42">
        <v>1263</v>
      </c>
      <c r="B1264" s="43" t="s">
        <v>1595</v>
      </c>
      <c r="C1264" s="43"/>
      <c r="D1264" s="43"/>
      <c r="E1264" s="43"/>
      <c r="F1264" s="43"/>
      <c r="G1264" s="43"/>
      <c r="H1264" s="43"/>
      <c r="I1264" s="43"/>
      <c r="J1264" s="43"/>
      <c r="K1264" s="43"/>
      <c r="L1264" s="43"/>
      <c r="M1264" s="43"/>
      <c r="N1264" s="43"/>
      <c r="O1264" s="43"/>
      <c r="P1264" s="43"/>
      <c r="Q1264" s="43"/>
      <c r="R1264" s="43"/>
      <c r="S1264" s="43"/>
      <c r="T1264" s="43"/>
      <c r="U1264" s="43"/>
      <c r="V1264" s="43"/>
      <c r="W1264" s="43"/>
      <c r="X1264" s="43"/>
      <c r="Y1264" s="43"/>
    </row>
    <row r="1265" ht="13.2" spans="1:25">
      <c r="A1265" s="42">
        <v>1264</v>
      </c>
      <c r="B1265" s="42" t="s">
        <v>1596</v>
      </c>
      <c r="C1265" s="43"/>
      <c r="D1265" s="43"/>
      <c r="E1265" s="43"/>
      <c r="F1265" s="43"/>
      <c r="G1265" s="43"/>
      <c r="H1265" s="43"/>
      <c r="I1265" s="43"/>
      <c r="J1265" s="43"/>
      <c r="K1265" s="43"/>
      <c r="L1265" s="43"/>
      <c r="M1265" s="43"/>
      <c r="N1265" s="43"/>
      <c r="O1265" s="43"/>
      <c r="P1265" s="43"/>
      <c r="Q1265" s="43"/>
      <c r="R1265" s="43"/>
      <c r="S1265" s="43"/>
      <c r="T1265" s="43"/>
      <c r="U1265" s="43"/>
      <c r="V1265" s="43"/>
      <c r="W1265" s="43"/>
      <c r="X1265" s="43"/>
      <c r="Y1265" s="43"/>
    </row>
    <row r="1266" ht="13.2" spans="1:25">
      <c r="A1266" s="42">
        <v>1265</v>
      </c>
      <c r="B1266" s="43" t="s">
        <v>1597</v>
      </c>
      <c r="C1266" s="43"/>
      <c r="D1266" s="43"/>
      <c r="E1266" s="43"/>
      <c r="F1266" s="43"/>
      <c r="G1266" s="43"/>
      <c r="H1266" s="43"/>
      <c r="I1266" s="43"/>
      <c r="J1266" s="43"/>
      <c r="K1266" s="43"/>
      <c r="L1266" s="43"/>
      <c r="M1266" s="43"/>
      <c r="N1266" s="43"/>
      <c r="O1266" s="43"/>
      <c r="P1266" s="43"/>
      <c r="Q1266" s="43"/>
      <c r="R1266" s="43"/>
      <c r="S1266" s="43"/>
      <c r="T1266" s="43"/>
      <c r="U1266" s="43"/>
      <c r="V1266" s="43"/>
      <c r="W1266" s="43"/>
      <c r="X1266" s="43"/>
      <c r="Y1266" s="43"/>
    </row>
    <row r="1267" ht="13.2" spans="1:25">
      <c r="A1267" s="42">
        <v>1266</v>
      </c>
      <c r="B1267" s="43" t="s">
        <v>1598</v>
      </c>
      <c r="C1267" s="43"/>
      <c r="D1267" s="43"/>
      <c r="E1267" s="43"/>
      <c r="F1267" s="43"/>
      <c r="G1267" s="43"/>
      <c r="H1267" s="43"/>
      <c r="I1267" s="43"/>
      <c r="J1267" s="43"/>
      <c r="K1267" s="43"/>
      <c r="L1267" s="43"/>
      <c r="M1267" s="43"/>
      <c r="N1267" s="43"/>
      <c r="O1267" s="43"/>
      <c r="P1267" s="43"/>
      <c r="Q1267" s="43"/>
      <c r="R1267" s="43"/>
      <c r="S1267" s="43"/>
      <c r="T1267" s="43"/>
      <c r="U1267" s="43"/>
      <c r="V1267" s="43"/>
      <c r="W1267" s="43"/>
      <c r="X1267" s="43"/>
      <c r="Y1267" s="43"/>
    </row>
    <row r="1268" ht="13.2" spans="1:25">
      <c r="A1268" s="42">
        <v>1267</v>
      </c>
      <c r="B1268" s="43" t="s">
        <v>1599</v>
      </c>
      <c r="C1268" s="43"/>
      <c r="D1268" s="43"/>
      <c r="E1268" s="43"/>
      <c r="F1268" s="43"/>
      <c r="G1268" s="43"/>
      <c r="H1268" s="43"/>
      <c r="I1268" s="43"/>
      <c r="J1268" s="43"/>
      <c r="K1268" s="43"/>
      <c r="L1268" s="43"/>
      <c r="M1268" s="43"/>
      <c r="N1268" s="43"/>
      <c r="O1268" s="43"/>
      <c r="P1268" s="43"/>
      <c r="Q1268" s="43"/>
      <c r="R1268" s="43"/>
      <c r="S1268" s="43"/>
      <c r="T1268" s="43"/>
      <c r="U1268" s="43"/>
      <c r="V1268" s="43"/>
      <c r="W1268" s="43"/>
      <c r="X1268" s="43"/>
      <c r="Y1268" s="43"/>
    </row>
    <row r="1269" ht="13.2" spans="1:25">
      <c r="A1269" s="42">
        <v>1268</v>
      </c>
      <c r="B1269" s="43" t="s">
        <v>1600</v>
      </c>
      <c r="C1269" s="43"/>
      <c r="D1269" s="43"/>
      <c r="E1269" s="43"/>
      <c r="F1269" s="43"/>
      <c r="G1269" s="43"/>
      <c r="H1269" s="43"/>
      <c r="I1269" s="43"/>
      <c r="J1269" s="43"/>
      <c r="K1269" s="43"/>
      <c r="L1269" s="43"/>
      <c r="M1269" s="43"/>
      <c r="N1269" s="43"/>
      <c r="O1269" s="43"/>
      <c r="P1269" s="43"/>
      <c r="Q1269" s="43"/>
      <c r="R1269" s="43"/>
      <c r="S1269" s="43"/>
      <c r="T1269" s="43"/>
      <c r="U1269" s="43"/>
      <c r="V1269" s="43"/>
      <c r="W1269" s="43"/>
      <c r="X1269" s="43"/>
      <c r="Y1269" s="43"/>
    </row>
    <row r="1270" ht="13.2" spans="1:25">
      <c r="A1270" s="42">
        <v>1269</v>
      </c>
      <c r="B1270" s="43" t="s">
        <v>1601</v>
      </c>
      <c r="C1270" s="43"/>
      <c r="D1270" s="43"/>
      <c r="E1270" s="43"/>
      <c r="F1270" s="43"/>
      <c r="G1270" s="43"/>
      <c r="H1270" s="43"/>
      <c r="I1270" s="43"/>
      <c r="J1270" s="43"/>
      <c r="K1270" s="43"/>
      <c r="L1270" s="43"/>
      <c r="M1270" s="43"/>
      <c r="N1270" s="43"/>
      <c r="O1270" s="43"/>
      <c r="P1270" s="43"/>
      <c r="Q1270" s="43"/>
      <c r="R1270" s="43"/>
      <c r="S1270" s="43"/>
      <c r="T1270" s="43"/>
      <c r="U1270" s="43"/>
      <c r="V1270" s="43"/>
      <c r="W1270" s="43"/>
      <c r="X1270" s="43"/>
      <c r="Y1270" s="43"/>
    </row>
    <row r="1271" ht="13.2" spans="1:25">
      <c r="A1271" s="42">
        <v>1270</v>
      </c>
      <c r="B1271" s="43" t="s">
        <v>1602</v>
      </c>
      <c r="C1271" s="43"/>
      <c r="D1271" s="43"/>
      <c r="E1271" s="43"/>
      <c r="F1271" s="43"/>
      <c r="G1271" s="43"/>
      <c r="H1271" s="43"/>
      <c r="I1271" s="43"/>
      <c r="J1271" s="43"/>
      <c r="K1271" s="43"/>
      <c r="L1271" s="43"/>
      <c r="M1271" s="43"/>
      <c r="N1271" s="43"/>
      <c r="O1271" s="43"/>
      <c r="P1271" s="43"/>
      <c r="Q1271" s="43"/>
      <c r="R1271" s="43"/>
      <c r="S1271" s="43"/>
      <c r="T1271" s="43"/>
      <c r="U1271" s="43"/>
      <c r="V1271" s="43"/>
      <c r="W1271" s="43"/>
      <c r="X1271" s="43"/>
      <c r="Y1271" s="43"/>
    </row>
    <row r="1272" ht="13.2" spans="1:25">
      <c r="A1272" s="42">
        <v>1271</v>
      </c>
      <c r="B1272" s="43" t="s">
        <v>1603</v>
      </c>
      <c r="C1272" s="43"/>
      <c r="D1272" s="43"/>
      <c r="E1272" s="43"/>
      <c r="F1272" s="43"/>
      <c r="G1272" s="43"/>
      <c r="H1272" s="43"/>
      <c r="I1272" s="43"/>
      <c r="J1272" s="43"/>
      <c r="K1272" s="43"/>
      <c r="L1272" s="43"/>
      <c r="M1272" s="43"/>
      <c r="N1272" s="43"/>
      <c r="O1272" s="43"/>
      <c r="P1272" s="43"/>
      <c r="Q1272" s="43"/>
      <c r="R1272" s="43"/>
      <c r="S1272" s="43"/>
      <c r="T1272" s="43"/>
      <c r="U1272" s="43"/>
      <c r="V1272" s="43"/>
      <c r="W1272" s="43"/>
      <c r="X1272" s="43"/>
      <c r="Y1272" s="43"/>
    </row>
    <row r="1273" ht="13.2" spans="1:25">
      <c r="A1273" s="42">
        <v>1272</v>
      </c>
      <c r="B1273" s="43" t="s">
        <v>1604</v>
      </c>
      <c r="C1273" s="43"/>
      <c r="D1273" s="43"/>
      <c r="E1273" s="43"/>
      <c r="F1273" s="43"/>
      <c r="G1273" s="43"/>
      <c r="H1273" s="43"/>
      <c r="I1273" s="43"/>
      <c r="J1273" s="43"/>
      <c r="K1273" s="43"/>
      <c r="L1273" s="43"/>
      <c r="M1273" s="43"/>
      <c r="N1273" s="43"/>
      <c r="O1273" s="43"/>
      <c r="P1273" s="43"/>
      <c r="Q1273" s="43"/>
      <c r="R1273" s="43"/>
      <c r="S1273" s="43"/>
      <c r="T1273" s="43"/>
      <c r="U1273" s="43"/>
      <c r="V1273" s="43"/>
      <c r="W1273" s="43"/>
      <c r="X1273" s="43"/>
      <c r="Y1273" s="43"/>
    </row>
    <row r="1274" ht="13.2" spans="1:25">
      <c r="A1274" s="42">
        <v>1273</v>
      </c>
      <c r="B1274" s="43" t="s">
        <v>1605</v>
      </c>
      <c r="C1274" s="43"/>
      <c r="D1274" s="43"/>
      <c r="E1274" s="43"/>
      <c r="F1274" s="43"/>
      <c r="G1274" s="43"/>
      <c r="H1274" s="43"/>
      <c r="I1274" s="43"/>
      <c r="J1274" s="43"/>
      <c r="K1274" s="43"/>
      <c r="L1274" s="43"/>
      <c r="M1274" s="43"/>
      <c r="N1274" s="43"/>
      <c r="O1274" s="43"/>
      <c r="P1274" s="43"/>
      <c r="Q1274" s="43"/>
      <c r="R1274" s="43"/>
      <c r="S1274" s="43"/>
      <c r="T1274" s="43"/>
      <c r="U1274" s="43"/>
      <c r="V1274" s="43"/>
      <c r="W1274" s="43"/>
      <c r="X1274" s="43"/>
      <c r="Y1274" s="43"/>
    </row>
    <row r="1275" ht="13.2" spans="1:25">
      <c r="A1275" s="42">
        <v>1274</v>
      </c>
      <c r="B1275" s="43" t="s">
        <v>1606</v>
      </c>
      <c r="C1275" s="43"/>
      <c r="D1275" s="43"/>
      <c r="E1275" s="43"/>
      <c r="F1275" s="43"/>
      <c r="G1275" s="43"/>
      <c r="H1275" s="43"/>
      <c r="I1275" s="43"/>
      <c r="J1275" s="43"/>
      <c r="K1275" s="43"/>
      <c r="L1275" s="43"/>
      <c r="M1275" s="43"/>
      <c r="N1275" s="43"/>
      <c r="O1275" s="43"/>
      <c r="P1275" s="43"/>
      <c r="Q1275" s="43"/>
      <c r="R1275" s="43"/>
      <c r="S1275" s="43"/>
      <c r="T1275" s="43"/>
      <c r="U1275" s="43"/>
      <c r="V1275" s="43"/>
      <c r="W1275" s="43"/>
      <c r="X1275" s="43"/>
      <c r="Y1275" s="43"/>
    </row>
    <row r="1276" ht="13.2" spans="1:25">
      <c r="A1276" s="42">
        <v>1275</v>
      </c>
      <c r="B1276" s="43" t="s">
        <v>1607</v>
      </c>
      <c r="C1276" s="43"/>
      <c r="D1276" s="43"/>
      <c r="E1276" s="43"/>
      <c r="F1276" s="43"/>
      <c r="G1276" s="43"/>
      <c r="H1276" s="43"/>
      <c r="I1276" s="43"/>
      <c r="J1276" s="43"/>
      <c r="K1276" s="43"/>
      <c r="L1276" s="43"/>
      <c r="M1276" s="43"/>
      <c r="N1276" s="43"/>
      <c r="O1276" s="43"/>
      <c r="P1276" s="43"/>
      <c r="Q1276" s="43"/>
      <c r="R1276" s="43"/>
      <c r="S1276" s="43"/>
      <c r="T1276" s="43"/>
      <c r="U1276" s="43"/>
      <c r="V1276" s="43"/>
      <c r="W1276" s="43"/>
      <c r="X1276" s="43"/>
      <c r="Y1276" s="43"/>
    </row>
    <row r="1277" ht="13.2" spans="1:25">
      <c r="A1277" s="42">
        <v>1276</v>
      </c>
      <c r="B1277" s="43" t="s">
        <v>1608</v>
      </c>
      <c r="C1277" s="43"/>
      <c r="D1277" s="43"/>
      <c r="E1277" s="43"/>
      <c r="F1277" s="43"/>
      <c r="G1277" s="43"/>
      <c r="H1277" s="43"/>
      <c r="I1277" s="43"/>
      <c r="J1277" s="43"/>
      <c r="K1277" s="43"/>
      <c r="L1277" s="43"/>
      <c r="M1277" s="43"/>
      <c r="N1277" s="43"/>
      <c r="O1277" s="43"/>
      <c r="P1277" s="43"/>
      <c r="Q1277" s="43"/>
      <c r="R1277" s="43"/>
      <c r="S1277" s="43"/>
      <c r="T1277" s="43"/>
      <c r="U1277" s="43"/>
      <c r="V1277" s="43"/>
      <c r="W1277" s="43"/>
      <c r="X1277" s="43"/>
      <c r="Y1277" s="43"/>
    </row>
    <row r="1278" ht="13.2" spans="1:25">
      <c r="A1278" s="42">
        <v>1277</v>
      </c>
      <c r="B1278" s="43" t="s">
        <v>1609</v>
      </c>
      <c r="C1278" s="43"/>
      <c r="D1278" s="43"/>
      <c r="E1278" s="43"/>
      <c r="F1278" s="43"/>
      <c r="G1278" s="43"/>
      <c r="H1278" s="43"/>
      <c r="I1278" s="43"/>
      <c r="J1278" s="43"/>
      <c r="K1278" s="43"/>
      <c r="L1278" s="43"/>
      <c r="M1278" s="43"/>
      <c r="N1278" s="43"/>
      <c r="O1278" s="43"/>
      <c r="P1278" s="43"/>
      <c r="Q1278" s="43"/>
      <c r="R1278" s="43"/>
      <c r="S1278" s="43"/>
      <c r="T1278" s="43"/>
      <c r="U1278" s="43"/>
      <c r="V1278" s="43"/>
      <c r="W1278" s="43"/>
      <c r="X1278" s="43"/>
      <c r="Y1278" s="43"/>
    </row>
    <row r="1279" ht="13.2" spans="1:25">
      <c r="A1279" s="42">
        <v>1278</v>
      </c>
      <c r="B1279" s="43" t="s">
        <v>1610</v>
      </c>
      <c r="C1279" s="43"/>
      <c r="D1279" s="43"/>
      <c r="E1279" s="43"/>
      <c r="F1279" s="43"/>
      <c r="G1279" s="43"/>
      <c r="H1279" s="43"/>
      <c r="I1279" s="43"/>
      <c r="J1279" s="43"/>
      <c r="K1279" s="43"/>
      <c r="L1279" s="43"/>
      <c r="M1279" s="43"/>
      <c r="N1279" s="43"/>
      <c r="O1279" s="43"/>
      <c r="P1279" s="43"/>
      <c r="Q1279" s="43"/>
      <c r="R1279" s="43"/>
      <c r="S1279" s="43"/>
      <c r="T1279" s="43"/>
      <c r="U1279" s="43"/>
      <c r="V1279" s="43"/>
      <c r="W1279" s="43"/>
      <c r="X1279" s="43"/>
      <c r="Y1279" s="43"/>
    </row>
    <row r="1280" ht="13.2" spans="1:25">
      <c r="A1280" s="42">
        <v>1279</v>
      </c>
      <c r="B1280" s="43" t="s">
        <v>1611</v>
      </c>
      <c r="C1280" s="43"/>
      <c r="D1280" s="43"/>
      <c r="E1280" s="43"/>
      <c r="F1280" s="43"/>
      <c r="G1280" s="43"/>
      <c r="H1280" s="43"/>
      <c r="I1280" s="43"/>
      <c r="J1280" s="43"/>
      <c r="K1280" s="43"/>
      <c r="L1280" s="43"/>
      <c r="M1280" s="43"/>
      <c r="N1280" s="43"/>
      <c r="O1280" s="43"/>
      <c r="P1280" s="43"/>
      <c r="Q1280" s="43"/>
      <c r="R1280" s="43"/>
      <c r="S1280" s="43"/>
      <c r="T1280" s="43"/>
      <c r="U1280" s="43"/>
      <c r="V1280" s="43"/>
      <c r="W1280" s="43"/>
      <c r="X1280" s="43"/>
      <c r="Y1280" s="43"/>
    </row>
    <row r="1281" ht="13.2" spans="1:25">
      <c r="A1281" s="42">
        <v>1280</v>
      </c>
      <c r="B1281" s="43" t="s">
        <v>1612</v>
      </c>
      <c r="C1281" s="43"/>
      <c r="D1281" s="43"/>
      <c r="E1281" s="43"/>
      <c r="F1281" s="43"/>
      <c r="G1281" s="43"/>
      <c r="H1281" s="43"/>
      <c r="I1281" s="43"/>
      <c r="J1281" s="43"/>
      <c r="K1281" s="43"/>
      <c r="L1281" s="43"/>
      <c r="M1281" s="43"/>
      <c r="N1281" s="43"/>
      <c r="O1281" s="43"/>
      <c r="P1281" s="43"/>
      <c r="Q1281" s="43"/>
      <c r="R1281" s="43"/>
      <c r="S1281" s="43"/>
      <c r="T1281" s="43"/>
      <c r="U1281" s="43"/>
      <c r="V1281" s="43"/>
      <c r="W1281" s="43"/>
      <c r="X1281" s="43"/>
      <c r="Y1281" s="43"/>
    </row>
    <row r="1282" ht="13.2" spans="1:25">
      <c r="A1282" s="42">
        <v>1281</v>
      </c>
      <c r="B1282" s="43" t="s">
        <v>1613</v>
      </c>
      <c r="C1282" s="43"/>
      <c r="D1282" s="43"/>
      <c r="E1282" s="43"/>
      <c r="F1282" s="43"/>
      <c r="G1282" s="43"/>
      <c r="H1282" s="43"/>
      <c r="I1282" s="43"/>
      <c r="J1282" s="43"/>
      <c r="K1282" s="43"/>
      <c r="L1282" s="43"/>
      <c r="M1282" s="43"/>
      <c r="N1282" s="43"/>
      <c r="O1282" s="43"/>
      <c r="P1282" s="43"/>
      <c r="Q1282" s="43"/>
      <c r="R1282" s="43"/>
      <c r="S1282" s="43"/>
      <c r="T1282" s="43"/>
      <c r="U1282" s="43"/>
      <c r="V1282" s="43"/>
      <c r="W1282" s="43"/>
      <c r="X1282" s="43"/>
      <c r="Y1282" s="43"/>
    </row>
    <row r="1283" ht="13.2" spans="1:25">
      <c r="A1283" s="42">
        <v>1282</v>
      </c>
      <c r="B1283" s="43" t="s">
        <v>1614</v>
      </c>
      <c r="C1283" s="43"/>
      <c r="D1283" s="43"/>
      <c r="E1283" s="43"/>
      <c r="F1283" s="43"/>
      <c r="G1283" s="43"/>
      <c r="H1283" s="43"/>
      <c r="I1283" s="43"/>
      <c r="J1283" s="43"/>
      <c r="K1283" s="43"/>
      <c r="L1283" s="43"/>
      <c r="M1283" s="43"/>
      <c r="N1283" s="43"/>
      <c r="O1283" s="43"/>
      <c r="P1283" s="43"/>
      <c r="Q1283" s="43"/>
      <c r="R1283" s="43"/>
      <c r="S1283" s="43"/>
      <c r="T1283" s="43"/>
      <c r="U1283" s="43"/>
      <c r="V1283" s="43"/>
      <c r="W1283" s="43"/>
      <c r="X1283" s="43"/>
      <c r="Y1283" s="43"/>
    </row>
    <row r="1284" ht="13.2" spans="1:25">
      <c r="A1284" s="42">
        <v>1283</v>
      </c>
      <c r="B1284" s="43" t="s">
        <v>1615</v>
      </c>
      <c r="C1284" s="43"/>
      <c r="D1284" s="43"/>
      <c r="E1284" s="43"/>
      <c r="F1284" s="43"/>
      <c r="G1284" s="43"/>
      <c r="H1284" s="43"/>
      <c r="I1284" s="43"/>
      <c r="J1284" s="43"/>
      <c r="K1284" s="43"/>
      <c r="L1284" s="43"/>
      <c r="M1284" s="43"/>
      <c r="N1284" s="43"/>
      <c r="O1284" s="43"/>
      <c r="P1284" s="43"/>
      <c r="Q1284" s="43"/>
      <c r="R1284" s="43"/>
      <c r="S1284" s="43"/>
      <c r="T1284" s="43"/>
      <c r="U1284" s="43"/>
      <c r="V1284" s="43"/>
      <c r="W1284" s="43"/>
      <c r="X1284" s="43"/>
      <c r="Y1284" s="43"/>
    </row>
    <row r="1285" ht="13.2" spans="1:25">
      <c r="A1285" s="42">
        <v>1284</v>
      </c>
      <c r="B1285" s="43" t="s">
        <v>1616</v>
      </c>
      <c r="C1285" s="43"/>
      <c r="D1285" s="43"/>
      <c r="E1285" s="43"/>
      <c r="F1285" s="43"/>
      <c r="G1285" s="43"/>
      <c r="H1285" s="43"/>
      <c r="I1285" s="43"/>
      <c r="J1285" s="43"/>
      <c r="K1285" s="43"/>
      <c r="L1285" s="43"/>
      <c r="M1285" s="43"/>
      <c r="N1285" s="43"/>
      <c r="O1285" s="43"/>
      <c r="P1285" s="43"/>
      <c r="Q1285" s="43"/>
      <c r="R1285" s="43"/>
      <c r="S1285" s="43"/>
      <c r="T1285" s="43"/>
      <c r="U1285" s="43"/>
      <c r="V1285" s="43"/>
      <c r="W1285" s="43"/>
      <c r="X1285" s="43"/>
      <c r="Y1285" s="43"/>
    </row>
    <row r="1286" ht="13.2" spans="1:25">
      <c r="A1286" s="42">
        <v>1285</v>
      </c>
      <c r="B1286" s="43" t="s">
        <v>1617</v>
      </c>
      <c r="C1286" s="43"/>
      <c r="D1286" s="43"/>
      <c r="E1286" s="43"/>
      <c r="F1286" s="43"/>
      <c r="G1286" s="43"/>
      <c r="H1286" s="43"/>
      <c r="I1286" s="43"/>
      <c r="J1286" s="43"/>
      <c r="K1286" s="43"/>
      <c r="L1286" s="43"/>
      <c r="M1286" s="43"/>
      <c r="N1286" s="43"/>
      <c r="O1286" s="43"/>
      <c r="P1286" s="43"/>
      <c r="Q1286" s="43"/>
      <c r="R1286" s="43"/>
      <c r="S1286" s="43"/>
      <c r="T1286" s="43"/>
      <c r="U1286" s="43"/>
      <c r="V1286" s="43"/>
      <c r="W1286" s="43"/>
      <c r="X1286" s="43"/>
      <c r="Y1286" s="43"/>
    </row>
    <row r="1287" ht="13.2" spans="1:25">
      <c r="A1287" s="42">
        <v>1286</v>
      </c>
      <c r="B1287" s="43" t="s">
        <v>1618</v>
      </c>
      <c r="C1287" s="43"/>
      <c r="D1287" s="43"/>
      <c r="E1287" s="43"/>
      <c r="F1287" s="43"/>
      <c r="G1287" s="43"/>
      <c r="H1287" s="43"/>
      <c r="I1287" s="43"/>
      <c r="J1287" s="43"/>
      <c r="K1287" s="43"/>
      <c r="L1287" s="43"/>
      <c r="M1287" s="43"/>
      <c r="N1287" s="43"/>
      <c r="O1287" s="43"/>
      <c r="P1287" s="43"/>
      <c r="Q1287" s="43"/>
      <c r="R1287" s="43"/>
      <c r="S1287" s="43"/>
      <c r="T1287" s="43"/>
      <c r="U1287" s="43"/>
      <c r="V1287" s="43"/>
      <c r="W1287" s="43"/>
      <c r="X1287" s="43"/>
      <c r="Y1287" s="43"/>
    </row>
    <row r="1288" ht="13.2" spans="1:25">
      <c r="A1288" s="42">
        <v>1287</v>
      </c>
      <c r="B1288" s="43" t="s">
        <v>1619</v>
      </c>
      <c r="C1288" s="43"/>
      <c r="D1288" s="43"/>
      <c r="E1288" s="43"/>
      <c r="F1288" s="43"/>
      <c r="G1288" s="43"/>
      <c r="H1288" s="43"/>
      <c r="I1288" s="43"/>
      <c r="J1288" s="43"/>
      <c r="K1288" s="43"/>
      <c r="L1288" s="43"/>
      <c r="M1288" s="43"/>
      <c r="N1288" s="43"/>
      <c r="O1288" s="43"/>
      <c r="P1288" s="43"/>
      <c r="Q1288" s="43"/>
      <c r="R1288" s="43"/>
      <c r="S1288" s="43"/>
      <c r="T1288" s="43"/>
      <c r="U1288" s="43"/>
      <c r="V1288" s="43"/>
      <c r="W1288" s="43"/>
      <c r="X1288" s="43"/>
      <c r="Y1288" s="43"/>
    </row>
    <row r="1289" ht="13.2" spans="1:25">
      <c r="A1289" s="42">
        <v>1288</v>
      </c>
      <c r="B1289" s="43" t="s">
        <v>1620</v>
      </c>
      <c r="C1289" s="43"/>
      <c r="D1289" s="43"/>
      <c r="E1289" s="43"/>
      <c r="F1289" s="43"/>
      <c r="G1289" s="43"/>
      <c r="H1289" s="43"/>
      <c r="I1289" s="43"/>
      <c r="J1289" s="43"/>
      <c r="K1289" s="43"/>
      <c r="L1289" s="43"/>
      <c r="M1289" s="43"/>
      <c r="N1289" s="43"/>
      <c r="O1289" s="43"/>
      <c r="P1289" s="43"/>
      <c r="Q1289" s="43"/>
      <c r="R1289" s="43"/>
      <c r="S1289" s="43"/>
      <c r="T1289" s="43"/>
      <c r="U1289" s="43"/>
      <c r="V1289" s="43"/>
      <c r="W1289" s="43"/>
      <c r="X1289" s="43"/>
      <c r="Y1289" s="43"/>
    </row>
    <row r="1290" ht="13.2" spans="1:25">
      <c r="A1290" s="42">
        <v>1289</v>
      </c>
      <c r="B1290" s="43" t="s">
        <v>1621</v>
      </c>
      <c r="C1290" s="43"/>
      <c r="D1290" s="43"/>
      <c r="E1290" s="43"/>
      <c r="F1290" s="43"/>
      <c r="G1290" s="43"/>
      <c r="H1290" s="43"/>
      <c r="I1290" s="43"/>
      <c r="J1290" s="43"/>
      <c r="K1290" s="43"/>
      <c r="L1290" s="43"/>
      <c r="M1290" s="43"/>
      <c r="N1290" s="43"/>
      <c r="O1290" s="43"/>
      <c r="P1290" s="43"/>
      <c r="Q1290" s="43"/>
      <c r="R1290" s="43"/>
      <c r="S1290" s="43"/>
      <c r="T1290" s="43"/>
      <c r="U1290" s="43"/>
      <c r="V1290" s="43"/>
      <c r="W1290" s="43"/>
      <c r="X1290" s="43"/>
      <c r="Y1290" s="43"/>
    </row>
    <row r="1291" ht="13.2" spans="1:25">
      <c r="A1291" s="42">
        <v>1290</v>
      </c>
      <c r="B1291" s="43" t="s">
        <v>1622</v>
      </c>
      <c r="C1291" s="43"/>
      <c r="D1291" s="43"/>
      <c r="E1291" s="43"/>
      <c r="F1291" s="43"/>
      <c r="G1291" s="43"/>
      <c r="H1291" s="43"/>
      <c r="I1291" s="43"/>
      <c r="J1291" s="43"/>
      <c r="K1291" s="43"/>
      <c r="L1291" s="43"/>
      <c r="M1291" s="43"/>
      <c r="N1291" s="43"/>
      <c r="O1291" s="43"/>
      <c r="P1291" s="43"/>
      <c r="Q1291" s="43"/>
      <c r="R1291" s="43"/>
      <c r="S1291" s="43"/>
      <c r="T1291" s="43"/>
      <c r="U1291" s="43"/>
      <c r="V1291" s="43"/>
      <c r="W1291" s="43"/>
      <c r="X1291" s="43"/>
      <c r="Y1291" s="43"/>
    </row>
    <row r="1292" ht="13.2" spans="1:25">
      <c r="A1292" s="42">
        <v>1291</v>
      </c>
      <c r="B1292" s="43" t="s">
        <v>1623</v>
      </c>
      <c r="C1292" s="43"/>
      <c r="D1292" s="43"/>
      <c r="E1292" s="43"/>
      <c r="F1292" s="43"/>
      <c r="G1292" s="43"/>
      <c r="H1292" s="43"/>
      <c r="I1292" s="43"/>
      <c r="J1292" s="43"/>
      <c r="K1292" s="43"/>
      <c r="L1292" s="43"/>
      <c r="M1292" s="43"/>
      <c r="N1292" s="43"/>
      <c r="O1292" s="43"/>
      <c r="P1292" s="43"/>
      <c r="Q1292" s="43"/>
      <c r="R1292" s="43"/>
      <c r="S1292" s="43"/>
      <c r="T1292" s="43"/>
      <c r="U1292" s="43"/>
      <c r="V1292" s="43"/>
      <c r="W1292" s="43"/>
      <c r="X1292" s="43"/>
      <c r="Y1292" s="43"/>
    </row>
    <row r="1293" ht="13.2" spans="1:25">
      <c r="A1293" s="42">
        <v>1292</v>
      </c>
      <c r="B1293" s="43" t="s">
        <v>1624</v>
      </c>
      <c r="C1293" s="43"/>
      <c r="D1293" s="43"/>
      <c r="E1293" s="43"/>
      <c r="F1293" s="43"/>
      <c r="G1293" s="43"/>
      <c r="H1293" s="43"/>
      <c r="I1293" s="43"/>
      <c r="J1293" s="43"/>
      <c r="K1293" s="43"/>
      <c r="L1293" s="43"/>
      <c r="M1293" s="43"/>
      <c r="N1293" s="43"/>
      <c r="O1293" s="43"/>
      <c r="P1293" s="43"/>
      <c r="Q1293" s="43"/>
      <c r="R1293" s="43"/>
      <c r="S1293" s="43"/>
      <c r="T1293" s="43"/>
      <c r="U1293" s="43"/>
      <c r="V1293" s="43"/>
      <c r="W1293" s="43"/>
      <c r="X1293" s="43"/>
      <c r="Y1293" s="43"/>
    </row>
    <row r="1294" ht="13.2" spans="1:25">
      <c r="A1294" s="42">
        <v>1293</v>
      </c>
      <c r="B1294" s="43" t="s">
        <v>1625</v>
      </c>
      <c r="C1294" s="43"/>
      <c r="D1294" s="43"/>
      <c r="E1294" s="43"/>
      <c r="F1294" s="43"/>
      <c r="G1294" s="43"/>
      <c r="H1294" s="43"/>
      <c r="I1294" s="43"/>
      <c r="J1294" s="43"/>
      <c r="K1294" s="43"/>
      <c r="L1294" s="43"/>
      <c r="M1294" s="43"/>
      <c r="N1294" s="43"/>
      <c r="O1294" s="43"/>
      <c r="P1294" s="43"/>
      <c r="Q1294" s="43"/>
      <c r="R1294" s="43"/>
      <c r="S1294" s="43"/>
      <c r="T1294" s="43"/>
      <c r="U1294" s="43"/>
      <c r="V1294" s="43"/>
      <c r="W1294" s="43"/>
      <c r="X1294" s="43"/>
      <c r="Y1294" s="43"/>
    </row>
    <row r="1295" ht="13.2" spans="1:25">
      <c r="A1295" s="42">
        <v>1294</v>
      </c>
      <c r="B1295" s="43" t="s">
        <v>1626</v>
      </c>
      <c r="C1295" s="43"/>
      <c r="D1295" s="43"/>
      <c r="E1295" s="43"/>
      <c r="F1295" s="43"/>
      <c r="G1295" s="43"/>
      <c r="H1295" s="43"/>
      <c r="I1295" s="43"/>
      <c r="J1295" s="43"/>
      <c r="K1295" s="43"/>
      <c r="L1295" s="43"/>
      <c r="M1295" s="43"/>
      <c r="N1295" s="43"/>
      <c r="O1295" s="43"/>
      <c r="P1295" s="43"/>
      <c r="Q1295" s="43"/>
      <c r="R1295" s="43"/>
      <c r="S1295" s="43"/>
      <c r="T1295" s="43"/>
      <c r="U1295" s="43"/>
      <c r="V1295" s="43"/>
      <c r="W1295" s="43"/>
      <c r="X1295" s="43"/>
      <c r="Y1295" s="43"/>
    </row>
    <row r="1296" ht="13.2" spans="1:25">
      <c r="A1296" s="42">
        <v>1295</v>
      </c>
      <c r="B1296" s="43" t="s">
        <v>1627</v>
      </c>
      <c r="C1296" s="43"/>
      <c r="D1296" s="43"/>
      <c r="E1296" s="43"/>
      <c r="F1296" s="43"/>
      <c r="G1296" s="43"/>
      <c r="H1296" s="43"/>
      <c r="I1296" s="43"/>
      <c r="J1296" s="43"/>
      <c r="K1296" s="43"/>
      <c r="L1296" s="43"/>
      <c r="M1296" s="43"/>
      <c r="N1296" s="43"/>
      <c r="O1296" s="43"/>
      <c r="P1296" s="43"/>
      <c r="Q1296" s="43"/>
      <c r="R1296" s="43"/>
      <c r="S1296" s="43"/>
      <c r="T1296" s="43"/>
      <c r="U1296" s="43"/>
      <c r="V1296" s="43"/>
      <c r="W1296" s="43"/>
      <c r="X1296" s="43"/>
      <c r="Y1296" s="43"/>
    </row>
    <row r="1297" ht="13.2" spans="1:25">
      <c r="A1297" s="42">
        <v>1296</v>
      </c>
      <c r="B1297" s="43" t="s">
        <v>1628</v>
      </c>
      <c r="C1297" s="43"/>
      <c r="D1297" s="43"/>
      <c r="E1297" s="43"/>
      <c r="F1297" s="43"/>
      <c r="G1297" s="43"/>
      <c r="H1297" s="43"/>
      <c r="I1297" s="43"/>
      <c r="J1297" s="43"/>
      <c r="K1297" s="43"/>
      <c r="L1297" s="43"/>
      <c r="M1297" s="43"/>
      <c r="N1297" s="43"/>
      <c r="O1297" s="43"/>
      <c r="P1297" s="43"/>
      <c r="Q1297" s="43"/>
      <c r="R1297" s="43"/>
      <c r="S1297" s="43"/>
      <c r="T1297" s="43"/>
      <c r="U1297" s="43"/>
      <c r="V1297" s="43"/>
      <c r="W1297" s="43"/>
      <c r="X1297" s="43"/>
      <c r="Y1297" s="43"/>
    </row>
    <row r="1298" ht="13.2" spans="1:25">
      <c r="A1298" s="42">
        <v>1297</v>
      </c>
      <c r="B1298" s="43" t="s">
        <v>1629</v>
      </c>
      <c r="C1298" s="43"/>
      <c r="D1298" s="43"/>
      <c r="E1298" s="43"/>
      <c r="F1298" s="43"/>
      <c r="G1298" s="43"/>
      <c r="H1298" s="43"/>
      <c r="I1298" s="43"/>
      <c r="J1298" s="43"/>
      <c r="K1298" s="43"/>
      <c r="L1298" s="43"/>
      <c r="M1298" s="43"/>
      <c r="N1298" s="43"/>
      <c r="O1298" s="43"/>
      <c r="P1298" s="43"/>
      <c r="Q1298" s="43"/>
      <c r="R1298" s="43"/>
      <c r="S1298" s="43"/>
      <c r="T1298" s="43"/>
      <c r="U1298" s="43"/>
      <c r="V1298" s="43"/>
      <c r="W1298" s="43"/>
      <c r="X1298" s="43"/>
      <c r="Y1298" s="43"/>
    </row>
    <row r="1299" ht="13.2" spans="1:25">
      <c r="A1299" s="42">
        <v>1298</v>
      </c>
      <c r="B1299" s="43" t="s">
        <v>1630</v>
      </c>
      <c r="C1299" s="43"/>
      <c r="D1299" s="43"/>
      <c r="E1299" s="43"/>
      <c r="F1299" s="43"/>
      <c r="G1299" s="43"/>
      <c r="H1299" s="43"/>
      <c r="I1299" s="43"/>
      <c r="J1299" s="43"/>
      <c r="K1299" s="43"/>
      <c r="L1299" s="43"/>
      <c r="M1299" s="43"/>
      <c r="N1299" s="43"/>
      <c r="O1299" s="43"/>
      <c r="P1299" s="43"/>
      <c r="Q1299" s="43"/>
      <c r="R1299" s="43"/>
      <c r="S1299" s="43"/>
      <c r="T1299" s="43"/>
      <c r="U1299" s="43"/>
      <c r="V1299" s="43"/>
      <c r="W1299" s="43"/>
      <c r="X1299" s="43"/>
      <c r="Y1299" s="43"/>
    </row>
    <row r="1300" ht="13.2" spans="1:25">
      <c r="A1300" s="42">
        <v>1299</v>
      </c>
      <c r="B1300" s="43" t="s">
        <v>1631</v>
      </c>
      <c r="C1300" s="43"/>
      <c r="D1300" s="43"/>
      <c r="E1300" s="43"/>
      <c r="F1300" s="43"/>
      <c r="G1300" s="43"/>
      <c r="H1300" s="43"/>
      <c r="I1300" s="43"/>
      <c r="J1300" s="43"/>
      <c r="K1300" s="43"/>
      <c r="L1300" s="43"/>
      <c r="M1300" s="43"/>
      <c r="N1300" s="43"/>
      <c r="O1300" s="43"/>
      <c r="P1300" s="43"/>
      <c r="Q1300" s="43"/>
      <c r="R1300" s="43"/>
      <c r="S1300" s="43"/>
      <c r="T1300" s="43"/>
      <c r="U1300" s="43"/>
      <c r="V1300" s="43"/>
      <c r="W1300" s="43"/>
      <c r="X1300" s="43"/>
      <c r="Y1300" s="43"/>
    </row>
    <row r="1301" ht="13.2" spans="1:25">
      <c r="A1301" s="42">
        <v>1300</v>
      </c>
      <c r="B1301" s="43" t="s">
        <v>1632</v>
      </c>
      <c r="C1301" s="43"/>
      <c r="D1301" s="43"/>
      <c r="E1301" s="43"/>
      <c r="F1301" s="43"/>
      <c r="G1301" s="43"/>
      <c r="H1301" s="43"/>
      <c r="I1301" s="43"/>
      <c r="J1301" s="43"/>
      <c r="K1301" s="43"/>
      <c r="L1301" s="43"/>
      <c r="M1301" s="43"/>
      <c r="N1301" s="43"/>
      <c r="O1301" s="43"/>
      <c r="P1301" s="43"/>
      <c r="Q1301" s="43"/>
      <c r="R1301" s="43"/>
      <c r="S1301" s="43"/>
      <c r="T1301" s="43"/>
      <c r="U1301" s="43"/>
      <c r="V1301" s="43"/>
      <c r="W1301" s="43"/>
      <c r="X1301" s="43"/>
      <c r="Y1301" s="43"/>
    </row>
    <row r="1302" ht="13.2" spans="1:25">
      <c r="A1302" s="42">
        <v>1301</v>
      </c>
      <c r="B1302" s="43" t="s">
        <v>1633</v>
      </c>
      <c r="C1302" s="43"/>
      <c r="D1302" s="43"/>
      <c r="E1302" s="43"/>
      <c r="F1302" s="43"/>
      <c r="G1302" s="43"/>
      <c r="H1302" s="43"/>
      <c r="I1302" s="43"/>
      <c r="J1302" s="43"/>
      <c r="K1302" s="43"/>
      <c r="L1302" s="43"/>
      <c r="M1302" s="43"/>
      <c r="N1302" s="43"/>
      <c r="O1302" s="43"/>
      <c r="P1302" s="43"/>
      <c r="Q1302" s="43"/>
      <c r="R1302" s="43"/>
      <c r="S1302" s="43"/>
      <c r="T1302" s="43"/>
      <c r="U1302" s="43"/>
      <c r="V1302" s="43"/>
      <c r="W1302" s="43"/>
      <c r="X1302" s="43"/>
      <c r="Y1302" s="43"/>
    </row>
    <row r="1303" ht="13.2" spans="1:25">
      <c r="A1303" s="42">
        <v>1302</v>
      </c>
      <c r="B1303" s="43" t="s">
        <v>1634</v>
      </c>
      <c r="C1303" s="43"/>
      <c r="D1303" s="43"/>
      <c r="E1303" s="43"/>
      <c r="F1303" s="43"/>
      <c r="G1303" s="43"/>
      <c r="H1303" s="43"/>
      <c r="I1303" s="43"/>
      <c r="J1303" s="43"/>
      <c r="K1303" s="43"/>
      <c r="L1303" s="43"/>
      <c r="M1303" s="43"/>
      <c r="N1303" s="43"/>
      <c r="O1303" s="43"/>
      <c r="P1303" s="43"/>
      <c r="Q1303" s="43"/>
      <c r="R1303" s="43"/>
      <c r="S1303" s="43"/>
      <c r="T1303" s="43"/>
      <c r="U1303" s="43"/>
      <c r="V1303" s="43"/>
      <c r="W1303" s="43"/>
      <c r="X1303" s="43"/>
      <c r="Y1303" s="43"/>
    </row>
    <row r="1304" ht="13.2" spans="1:25">
      <c r="A1304" s="42">
        <v>1303</v>
      </c>
      <c r="B1304" s="43" t="s">
        <v>1635</v>
      </c>
      <c r="C1304" s="43"/>
      <c r="D1304" s="43"/>
      <c r="E1304" s="43"/>
      <c r="F1304" s="43"/>
      <c r="G1304" s="43"/>
      <c r="H1304" s="43"/>
      <c r="I1304" s="43"/>
      <c r="J1304" s="43"/>
      <c r="K1304" s="43"/>
      <c r="L1304" s="43"/>
      <c r="M1304" s="43"/>
      <c r="N1304" s="43"/>
      <c r="O1304" s="43"/>
      <c r="P1304" s="43"/>
      <c r="Q1304" s="43"/>
      <c r="R1304" s="43"/>
      <c r="S1304" s="43"/>
      <c r="T1304" s="43"/>
      <c r="U1304" s="43"/>
      <c r="V1304" s="43"/>
      <c r="W1304" s="43"/>
      <c r="X1304" s="43"/>
      <c r="Y1304" s="43"/>
    </row>
    <row r="1305" ht="13.2" spans="1:25">
      <c r="A1305" s="42">
        <v>1304</v>
      </c>
      <c r="B1305" s="43" t="s">
        <v>1636</v>
      </c>
      <c r="C1305" s="43"/>
      <c r="D1305" s="43"/>
      <c r="E1305" s="43"/>
      <c r="F1305" s="43"/>
      <c r="G1305" s="43"/>
      <c r="H1305" s="43"/>
      <c r="I1305" s="43"/>
      <c r="J1305" s="43"/>
      <c r="K1305" s="43"/>
      <c r="L1305" s="43"/>
      <c r="M1305" s="43"/>
      <c r="N1305" s="43"/>
      <c r="O1305" s="43"/>
      <c r="P1305" s="43"/>
      <c r="Q1305" s="43"/>
      <c r="R1305" s="43"/>
      <c r="S1305" s="43"/>
      <c r="T1305" s="43"/>
      <c r="U1305" s="43"/>
      <c r="V1305" s="43"/>
      <c r="W1305" s="43"/>
      <c r="X1305" s="43"/>
      <c r="Y1305" s="43"/>
    </row>
    <row r="1306" ht="13.2" spans="1:25">
      <c r="A1306" s="42">
        <v>1305</v>
      </c>
      <c r="B1306" s="43" t="s">
        <v>1637</v>
      </c>
      <c r="C1306" s="43"/>
      <c r="D1306" s="43"/>
      <c r="E1306" s="43"/>
      <c r="F1306" s="43"/>
      <c r="G1306" s="43"/>
      <c r="H1306" s="43"/>
      <c r="I1306" s="43"/>
      <c r="J1306" s="43"/>
      <c r="K1306" s="43"/>
      <c r="L1306" s="43"/>
      <c r="M1306" s="43"/>
      <c r="N1306" s="43"/>
      <c r="O1306" s="43"/>
      <c r="P1306" s="43"/>
      <c r="Q1306" s="43"/>
      <c r="R1306" s="43"/>
      <c r="S1306" s="43"/>
      <c r="T1306" s="43"/>
      <c r="U1306" s="43"/>
      <c r="V1306" s="43"/>
      <c r="W1306" s="43"/>
      <c r="X1306" s="43"/>
      <c r="Y1306" s="43"/>
    </row>
    <row r="1307" ht="13.2" spans="1:25">
      <c r="A1307" s="42">
        <v>1306</v>
      </c>
      <c r="B1307" s="43" t="s">
        <v>1638</v>
      </c>
      <c r="C1307" s="43"/>
      <c r="D1307" s="43"/>
      <c r="E1307" s="43"/>
      <c r="F1307" s="43"/>
      <c r="G1307" s="43"/>
      <c r="H1307" s="43"/>
      <c r="I1307" s="43"/>
      <c r="J1307" s="43"/>
      <c r="K1307" s="43"/>
      <c r="L1307" s="43"/>
      <c r="M1307" s="43"/>
      <c r="N1307" s="43"/>
      <c r="O1307" s="43"/>
      <c r="P1307" s="43"/>
      <c r="Q1307" s="43"/>
      <c r="R1307" s="43"/>
      <c r="S1307" s="43"/>
      <c r="T1307" s="43"/>
      <c r="U1307" s="43"/>
      <c r="V1307" s="43"/>
      <c r="W1307" s="43"/>
      <c r="X1307" s="43"/>
      <c r="Y1307" s="43"/>
    </row>
    <row r="1308" ht="13.2" spans="1:25">
      <c r="A1308" s="42">
        <v>1307</v>
      </c>
      <c r="B1308" s="43" t="s">
        <v>1639</v>
      </c>
      <c r="C1308" s="43"/>
      <c r="D1308" s="43"/>
      <c r="E1308" s="43"/>
      <c r="F1308" s="43"/>
      <c r="G1308" s="43"/>
      <c r="H1308" s="43"/>
      <c r="I1308" s="43"/>
      <c r="J1308" s="43"/>
      <c r="K1308" s="43"/>
      <c r="L1308" s="43"/>
      <c r="M1308" s="43"/>
      <c r="N1308" s="43"/>
      <c r="O1308" s="43"/>
      <c r="P1308" s="43"/>
      <c r="Q1308" s="43"/>
      <c r="R1308" s="43"/>
      <c r="S1308" s="43"/>
      <c r="T1308" s="43"/>
      <c r="U1308" s="43"/>
      <c r="V1308" s="43"/>
      <c r="W1308" s="43"/>
      <c r="X1308" s="43"/>
      <c r="Y1308" s="43"/>
    </row>
    <row r="1309" ht="13.2" spans="1:25">
      <c r="A1309" s="42">
        <v>1308</v>
      </c>
      <c r="B1309" s="43" t="s">
        <v>1640</v>
      </c>
      <c r="C1309" s="43"/>
      <c r="D1309" s="43"/>
      <c r="E1309" s="43"/>
      <c r="F1309" s="43"/>
      <c r="G1309" s="43"/>
      <c r="H1309" s="43"/>
      <c r="I1309" s="43"/>
      <c r="J1309" s="43"/>
      <c r="K1309" s="43"/>
      <c r="L1309" s="43"/>
      <c r="M1309" s="43"/>
      <c r="N1309" s="43"/>
      <c r="O1309" s="43"/>
      <c r="P1309" s="43"/>
      <c r="Q1309" s="43"/>
      <c r="R1309" s="43"/>
      <c r="S1309" s="43"/>
      <c r="T1309" s="43"/>
      <c r="U1309" s="43"/>
      <c r="V1309" s="43"/>
      <c r="W1309" s="43"/>
      <c r="X1309" s="43"/>
      <c r="Y1309" s="43"/>
    </row>
    <row r="1310" ht="13.2" spans="1:25">
      <c r="A1310" s="42">
        <v>1309</v>
      </c>
      <c r="B1310" s="43" t="s">
        <v>1641</v>
      </c>
      <c r="C1310" s="43"/>
      <c r="D1310" s="43"/>
      <c r="E1310" s="43"/>
      <c r="F1310" s="43"/>
      <c r="G1310" s="43"/>
      <c r="H1310" s="43"/>
      <c r="I1310" s="43"/>
      <c r="J1310" s="43"/>
      <c r="K1310" s="43"/>
      <c r="L1310" s="43"/>
      <c r="M1310" s="43"/>
      <c r="N1310" s="43"/>
      <c r="O1310" s="43"/>
      <c r="P1310" s="43"/>
      <c r="Q1310" s="43"/>
      <c r="R1310" s="43"/>
      <c r="S1310" s="43"/>
      <c r="T1310" s="43"/>
      <c r="U1310" s="43"/>
      <c r="V1310" s="43"/>
      <c r="W1310" s="43"/>
      <c r="X1310" s="43"/>
      <c r="Y1310" s="43"/>
    </row>
    <row r="1311" ht="13.2" spans="1:25">
      <c r="A1311" s="42">
        <v>1310</v>
      </c>
      <c r="B1311" s="43" t="s">
        <v>1642</v>
      </c>
      <c r="C1311" s="43"/>
      <c r="D1311" s="43"/>
      <c r="E1311" s="43"/>
      <c r="F1311" s="43"/>
      <c r="G1311" s="43"/>
      <c r="H1311" s="43"/>
      <c r="I1311" s="43"/>
      <c r="J1311" s="43"/>
      <c r="K1311" s="43"/>
      <c r="L1311" s="43"/>
      <c r="M1311" s="43"/>
      <c r="N1311" s="43"/>
      <c r="O1311" s="43"/>
      <c r="P1311" s="43"/>
      <c r="Q1311" s="43"/>
      <c r="R1311" s="43"/>
      <c r="S1311" s="43"/>
      <c r="T1311" s="43"/>
      <c r="U1311" s="43"/>
      <c r="V1311" s="43"/>
      <c r="W1311" s="43"/>
      <c r="X1311" s="43"/>
      <c r="Y1311" s="43"/>
    </row>
    <row r="1312" ht="13.2" spans="1:25">
      <c r="A1312" s="42">
        <v>1311</v>
      </c>
      <c r="B1312" s="43" t="s">
        <v>1643</v>
      </c>
      <c r="C1312" s="43"/>
      <c r="D1312" s="43"/>
      <c r="E1312" s="43"/>
      <c r="F1312" s="43"/>
      <c r="G1312" s="43"/>
      <c r="H1312" s="43"/>
      <c r="I1312" s="43"/>
      <c r="J1312" s="43"/>
      <c r="K1312" s="43"/>
      <c r="L1312" s="43"/>
      <c r="M1312" s="43"/>
      <c r="N1312" s="43"/>
      <c r="O1312" s="43"/>
      <c r="P1312" s="43"/>
      <c r="Q1312" s="43"/>
      <c r="R1312" s="43"/>
      <c r="S1312" s="43"/>
      <c r="T1312" s="43"/>
      <c r="U1312" s="43"/>
      <c r="V1312" s="43"/>
      <c r="W1312" s="43"/>
      <c r="X1312" s="43"/>
      <c r="Y1312" s="43"/>
    </row>
    <row r="1313" ht="13.2" spans="1:25">
      <c r="A1313" s="42">
        <v>1312</v>
      </c>
      <c r="B1313" s="43" t="s">
        <v>1644</v>
      </c>
      <c r="C1313" s="43"/>
      <c r="D1313" s="43"/>
      <c r="E1313" s="43"/>
      <c r="F1313" s="43"/>
      <c r="G1313" s="43"/>
      <c r="H1313" s="43"/>
      <c r="I1313" s="43"/>
      <c r="J1313" s="43"/>
      <c r="K1313" s="43"/>
      <c r="L1313" s="43"/>
      <c r="M1313" s="43"/>
      <c r="N1313" s="43"/>
      <c r="O1313" s="43"/>
      <c r="P1313" s="43"/>
      <c r="Q1313" s="43"/>
      <c r="R1313" s="43"/>
      <c r="S1313" s="43"/>
      <c r="T1313" s="43"/>
      <c r="U1313" s="43"/>
      <c r="V1313" s="43"/>
      <c r="W1313" s="43"/>
      <c r="X1313" s="43"/>
      <c r="Y1313" s="43"/>
    </row>
    <row r="1314" ht="13.2" spans="1:25">
      <c r="A1314" s="42">
        <v>1313</v>
      </c>
      <c r="B1314" s="43" t="s">
        <v>1645</v>
      </c>
      <c r="C1314" s="43"/>
      <c r="D1314" s="43"/>
      <c r="E1314" s="43"/>
      <c r="F1314" s="43"/>
      <c r="G1314" s="43"/>
      <c r="H1314" s="43"/>
      <c r="I1314" s="43"/>
      <c r="J1314" s="43"/>
      <c r="K1314" s="43"/>
      <c r="L1314" s="43"/>
      <c r="M1314" s="43"/>
      <c r="N1314" s="43"/>
      <c r="O1314" s="43"/>
      <c r="P1314" s="43"/>
      <c r="Q1314" s="43"/>
      <c r="R1314" s="43"/>
      <c r="S1314" s="43"/>
      <c r="T1314" s="43"/>
      <c r="U1314" s="43"/>
      <c r="V1314" s="43"/>
      <c r="W1314" s="43"/>
      <c r="X1314" s="43"/>
      <c r="Y1314" s="43"/>
    </row>
    <row r="1315" ht="13.2" spans="1:25">
      <c r="A1315" s="42">
        <v>1314</v>
      </c>
      <c r="B1315" s="43" t="s">
        <v>1646</v>
      </c>
      <c r="C1315" s="43"/>
      <c r="D1315" s="43"/>
      <c r="E1315" s="43"/>
      <c r="F1315" s="43"/>
      <c r="G1315" s="43"/>
      <c r="H1315" s="43"/>
      <c r="I1315" s="43"/>
      <c r="J1315" s="43"/>
      <c r="K1315" s="43"/>
      <c r="L1315" s="43"/>
      <c r="M1315" s="43"/>
      <c r="N1315" s="43"/>
      <c r="O1315" s="43"/>
      <c r="P1315" s="43"/>
      <c r="Q1315" s="43"/>
      <c r="R1315" s="43"/>
      <c r="S1315" s="43"/>
      <c r="T1315" s="43"/>
      <c r="U1315" s="43"/>
      <c r="V1315" s="43"/>
      <c r="W1315" s="43"/>
      <c r="X1315" s="43"/>
      <c r="Y1315" s="43"/>
    </row>
    <row r="1316" ht="13.2" spans="1:25">
      <c r="A1316" s="42">
        <v>1315</v>
      </c>
      <c r="B1316" s="43" t="s">
        <v>1647</v>
      </c>
      <c r="C1316" s="43"/>
      <c r="D1316" s="43"/>
      <c r="E1316" s="43"/>
      <c r="F1316" s="43"/>
      <c r="G1316" s="43"/>
      <c r="H1316" s="43"/>
      <c r="I1316" s="43"/>
      <c r="J1316" s="43"/>
      <c r="K1316" s="43"/>
      <c r="L1316" s="43"/>
      <c r="M1316" s="43"/>
      <c r="N1316" s="43"/>
      <c r="O1316" s="43"/>
      <c r="P1316" s="43"/>
      <c r="Q1316" s="43"/>
      <c r="R1316" s="43"/>
      <c r="S1316" s="43"/>
      <c r="T1316" s="43"/>
      <c r="U1316" s="43"/>
      <c r="V1316" s="43"/>
      <c r="W1316" s="43"/>
      <c r="X1316" s="43"/>
      <c r="Y1316" s="43"/>
    </row>
    <row r="1317" ht="13.2" spans="1:25">
      <c r="A1317" s="42">
        <v>1316</v>
      </c>
      <c r="B1317" s="43" t="s">
        <v>1648</v>
      </c>
      <c r="C1317" s="43"/>
      <c r="D1317" s="43"/>
      <c r="E1317" s="43"/>
      <c r="F1317" s="43"/>
      <c r="G1317" s="43"/>
      <c r="H1317" s="43"/>
      <c r="I1317" s="43"/>
      <c r="J1317" s="43"/>
      <c r="K1317" s="43"/>
      <c r="L1317" s="43"/>
      <c r="M1317" s="43"/>
      <c r="N1317" s="43"/>
      <c r="O1317" s="43"/>
      <c r="P1317" s="43"/>
      <c r="Q1317" s="43"/>
      <c r="R1317" s="43"/>
      <c r="S1317" s="43"/>
      <c r="T1317" s="43"/>
      <c r="U1317" s="43"/>
      <c r="V1317" s="43"/>
      <c r="W1317" s="43"/>
      <c r="X1317" s="43"/>
      <c r="Y1317" s="43"/>
    </row>
    <row r="1318" ht="13.2" spans="1:25">
      <c r="A1318" s="42">
        <v>1317</v>
      </c>
      <c r="B1318" s="43" t="s">
        <v>1649</v>
      </c>
      <c r="C1318" s="43"/>
      <c r="D1318" s="43"/>
      <c r="E1318" s="43"/>
      <c r="F1318" s="43"/>
      <c r="G1318" s="43"/>
      <c r="H1318" s="43"/>
      <c r="I1318" s="43"/>
      <c r="J1318" s="43"/>
      <c r="K1318" s="43"/>
      <c r="L1318" s="43"/>
      <c r="M1318" s="43"/>
      <c r="N1318" s="43"/>
      <c r="O1318" s="43"/>
      <c r="P1318" s="43"/>
      <c r="Q1318" s="43"/>
      <c r="R1318" s="43"/>
      <c r="S1318" s="43"/>
      <c r="T1318" s="43"/>
      <c r="U1318" s="43"/>
      <c r="V1318" s="43"/>
      <c r="W1318" s="43"/>
      <c r="X1318" s="43"/>
      <c r="Y1318" s="43"/>
    </row>
    <row r="1319" ht="13.2" spans="1:25">
      <c r="A1319" s="42">
        <v>1318</v>
      </c>
      <c r="B1319" s="43" t="s">
        <v>1650</v>
      </c>
      <c r="C1319" s="43"/>
      <c r="D1319" s="43"/>
      <c r="E1319" s="43"/>
      <c r="F1319" s="43"/>
      <c r="G1319" s="43"/>
      <c r="H1319" s="43"/>
      <c r="I1319" s="43"/>
      <c r="J1319" s="43"/>
      <c r="K1319" s="43"/>
      <c r="L1319" s="43"/>
      <c r="M1319" s="43"/>
      <c r="N1319" s="43"/>
      <c r="O1319" s="43"/>
      <c r="P1319" s="43"/>
      <c r="Q1319" s="43"/>
      <c r="R1319" s="43"/>
      <c r="S1319" s="43"/>
      <c r="T1319" s="43"/>
      <c r="U1319" s="43"/>
      <c r="V1319" s="43"/>
      <c r="W1319" s="43"/>
      <c r="X1319" s="43"/>
      <c r="Y1319" s="43"/>
    </row>
    <row r="1320" ht="13.2" spans="1:25">
      <c r="A1320" s="42">
        <v>1319</v>
      </c>
      <c r="B1320" s="43" t="s">
        <v>1651</v>
      </c>
      <c r="C1320" s="43"/>
      <c r="D1320" s="43"/>
      <c r="E1320" s="43"/>
      <c r="F1320" s="43"/>
      <c r="G1320" s="43"/>
      <c r="H1320" s="43"/>
      <c r="I1320" s="43"/>
      <c r="J1320" s="43"/>
      <c r="K1320" s="43"/>
      <c r="L1320" s="43"/>
      <c r="M1320" s="43"/>
      <c r="N1320" s="43"/>
      <c r="O1320" s="43"/>
      <c r="P1320" s="43"/>
      <c r="Q1320" s="43"/>
      <c r="R1320" s="43"/>
      <c r="S1320" s="43"/>
      <c r="T1320" s="43"/>
      <c r="U1320" s="43"/>
      <c r="V1320" s="43"/>
      <c r="W1320" s="43"/>
      <c r="X1320" s="43"/>
      <c r="Y1320" s="43"/>
    </row>
    <row r="1321" ht="13.2" spans="1:25">
      <c r="A1321" s="42">
        <v>1320</v>
      </c>
      <c r="B1321" s="43" t="s">
        <v>1652</v>
      </c>
      <c r="C1321" s="43"/>
      <c r="D1321" s="43"/>
      <c r="E1321" s="43"/>
      <c r="F1321" s="43"/>
      <c r="G1321" s="43"/>
      <c r="H1321" s="43"/>
      <c r="I1321" s="43"/>
      <c r="J1321" s="43"/>
      <c r="K1321" s="43"/>
      <c r="L1321" s="43"/>
      <c r="M1321" s="43"/>
      <c r="N1321" s="43"/>
      <c r="O1321" s="43"/>
      <c r="P1321" s="43"/>
      <c r="Q1321" s="43"/>
      <c r="R1321" s="43"/>
      <c r="S1321" s="43"/>
      <c r="T1321" s="43"/>
      <c r="U1321" s="43"/>
      <c r="V1321" s="43"/>
      <c r="W1321" s="43"/>
      <c r="X1321" s="43"/>
      <c r="Y1321" s="43"/>
    </row>
    <row r="1322" ht="13.2" spans="1:25">
      <c r="A1322" s="42">
        <v>1321</v>
      </c>
      <c r="B1322" s="43" t="s">
        <v>1653</v>
      </c>
      <c r="C1322" s="43"/>
      <c r="D1322" s="43"/>
      <c r="E1322" s="43"/>
      <c r="F1322" s="43"/>
      <c r="G1322" s="43"/>
      <c r="H1322" s="43"/>
      <c r="I1322" s="43"/>
      <c r="J1322" s="43"/>
      <c r="K1322" s="43"/>
      <c r="L1322" s="43"/>
      <c r="M1322" s="43"/>
      <c r="N1322" s="43"/>
      <c r="O1322" s="43"/>
      <c r="P1322" s="43"/>
      <c r="Q1322" s="43"/>
      <c r="R1322" s="43"/>
      <c r="S1322" s="43"/>
      <c r="T1322" s="43"/>
      <c r="U1322" s="43"/>
      <c r="V1322" s="43"/>
      <c r="W1322" s="43"/>
      <c r="X1322" s="43"/>
      <c r="Y1322" s="43"/>
    </row>
    <row r="1323" ht="13.2" spans="1:25">
      <c r="A1323" s="42">
        <v>1322</v>
      </c>
      <c r="B1323" s="43" t="s">
        <v>1654</v>
      </c>
      <c r="C1323" s="43"/>
      <c r="D1323" s="43"/>
      <c r="E1323" s="43"/>
      <c r="F1323" s="43"/>
      <c r="G1323" s="43"/>
      <c r="H1323" s="43"/>
      <c r="I1323" s="43"/>
      <c r="J1323" s="43"/>
      <c r="K1323" s="43"/>
      <c r="L1323" s="43"/>
      <c r="M1323" s="43"/>
      <c r="N1323" s="43"/>
      <c r="O1323" s="43"/>
      <c r="P1323" s="43"/>
      <c r="Q1323" s="43"/>
      <c r="R1323" s="43"/>
      <c r="S1323" s="43"/>
      <c r="T1323" s="43"/>
      <c r="U1323" s="43"/>
      <c r="V1323" s="43"/>
      <c r="W1323" s="43"/>
      <c r="X1323" s="43"/>
      <c r="Y1323" s="43"/>
    </row>
    <row r="1324" ht="13.2" spans="1:25">
      <c r="A1324" s="42">
        <v>1323</v>
      </c>
      <c r="B1324" s="43" t="s">
        <v>1655</v>
      </c>
      <c r="C1324" s="43"/>
      <c r="D1324" s="43"/>
      <c r="E1324" s="43"/>
      <c r="F1324" s="43"/>
      <c r="G1324" s="43"/>
      <c r="H1324" s="43"/>
      <c r="I1324" s="43"/>
      <c r="J1324" s="43"/>
      <c r="K1324" s="43"/>
      <c r="L1324" s="43"/>
      <c r="M1324" s="43"/>
      <c r="N1324" s="43"/>
      <c r="O1324" s="43"/>
      <c r="P1324" s="43"/>
      <c r="Q1324" s="43"/>
      <c r="R1324" s="43"/>
      <c r="S1324" s="43"/>
      <c r="T1324" s="43"/>
      <c r="U1324" s="43"/>
      <c r="V1324" s="43"/>
      <c r="W1324" s="43"/>
      <c r="X1324" s="43"/>
      <c r="Y1324" s="43"/>
    </row>
    <row r="1325" ht="13.2" spans="1:25">
      <c r="A1325" s="42">
        <v>1324</v>
      </c>
      <c r="B1325" s="43" t="s">
        <v>1656</v>
      </c>
      <c r="C1325" s="43"/>
      <c r="D1325" s="43"/>
      <c r="E1325" s="43"/>
      <c r="F1325" s="43"/>
      <c r="G1325" s="43"/>
      <c r="H1325" s="43"/>
      <c r="I1325" s="43"/>
      <c r="J1325" s="43"/>
      <c r="K1325" s="43"/>
      <c r="L1325" s="43"/>
      <c r="M1325" s="43"/>
      <c r="N1325" s="43"/>
      <c r="O1325" s="43"/>
      <c r="P1325" s="43"/>
      <c r="Q1325" s="43"/>
      <c r="R1325" s="43"/>
      <c r="S1325" s="43"/>
      <c r="T1325" s="43"/>
      <c r="U1325" s="43"/>
      <c r="V1325" s="43"/>
      <c r="W1325" s="43"/>
      <c r="X1325" s="43"/>
      <c r="Y1325" s="43"/>
    </row>
    <row r="1326" ht="13.2" spans="1:25">
      <c r="A1326" s="42">
        <v>1325</v>
      </c>
      <c r="B1326" s="43" t="s">
        <v>1657</v>
      </c>
      <c r="C1326" s="43"/>
      <c r="D1326" s="43"/>
      <c r="E1326" s="43"/>
      <c r="F1326" s="43"/>
      <c r="G1326" s="43"/>
      <c r="H1326" s="43"/>
      <c r="I1326" s="43"/>
      <c r="J1326" s="43"/>
      <c r="K1326" s="43"/>
      <c r="L1326" s="43"/>
      <c r="M1326" s="43"/>
      <c r="N1326" s="43"/>
      <c r="O1326" s="43"/>
      <c r="P1326" s="43"/>
      <c r="Q1326" s="43"/>
      <c r="R1326" s="43"/>
      <c r="S1326" s="43"/>
      <c r="T1326" s="43"/>
      <c r="U1326" s="43"/>
      <c r="V1326" s="43"/>
      <c r="W1326" s="43"/>
      <c r="X1326" s="43"/>
      <c r="Y1326" s="43"/>
    </row>
    <row r="1327" ht="13.2" spans="1:25">
      <c r="A1327" s="42">
        <v>1326</v>
      </c>
      <c r="B1327" s="43" t="s">
        <v>1658</v>
      </c>
      <c r="C1327" s="43"/>
      <c r="D1327" s="43"/>
      <c r="E1327" s="43"/>
      <c r="F1327" s="43"/>
      <c r="G1327" s="43"/>
      <c r="H1327" s="43"/>
      <c r="I1327" s="43"/>
      <c r="J1327" s="43"/>
      <c r="K1327" s="43"/>
      <c r="L1327" s="43"/>
      <c r="M1327" s="43"/>
      <c r="N1327" s="43"/>
      <c r="O1327" s="43"/>
      <c r="P1327" s="43"/>
      <c r="Q1327" s="43"/>
      <c r="R1327" s="43"/>
      <c r="S1327" s="43"/>
      <c r="T1327" s="43"/>
      <c r="U1327" s="43"/>
      <c r="V1327" s="43"/>
      <c r="W1327" s="43"/>
      <c r="X1327" s="43"/>
      <c r="Y1327" s="43"/>
    </row>
    <row r="1328" ht="13.2" spans="1:25">
      <c r="A1328" s="42">
        <v>1327</v>
      </c>
      <c r="B1328" s="43" t="s">
        <v>1659</v>
      </c>
      <c r="C1328" s="43"/>
      <c r="D1328" s="43"/>
      <c r="E1328" s="43"/>
      <c r="F1328" s="43"/>
      <c r="G1328" s="43"/>
      <c r="H1328" s="43"/>
      <c r="I1328" s="43"/>
      <c r="J1328" s="43"/>
      <c r="K1328" s="43"/>
      <c r="L1328" s="43"/>
      <c r="M1328" s="43"/>
      <c r="N1328" s="43"/>
      <c r="O1328" s="43"/>
      <c r="P1328" s="43"/>
      <c r="Q1328" s="43"/>
      <c r="R1328" s="43"/>
      <c r="S1328" s="43"/>
      <c r="T1328" s="43"/>
      <c r="U1328" s="43"/>
      <c r="V1328" s="43"/>
      <c r="W1328" s="43"/>
      <c r="X1328" s="43"/>
      <c r="Y1328" s="43"/>
    </row>
    <row r="1329" ht="13.2" spans="1:25">
      <c r="A1329" s="42">
        <v>1328</v>
      </c>
      <c r="B1329" s="43" t="s">
        <v>1660</v>
      </c>
      <c r="C1329" s="43"/>
      <c r="D1329" s="43"/>
      <c r="E1329" s="43"/>
      <c r="F1329" s="43"/>
      <c r="G1329" s="43"/>
      <c r="H1329" s="43"/>
      <c r="I1329" s="43"/>
      <c r="J1329" s="43"/>
      <c r="K1329" s="43"/>
      <c r="L1329" s="43"/>
      <c r="M1329" s="43"/>
      <c r="N1329" s="43"/>
      <c r="O1329" s="43"/>
      <c r="P1329" s="43"/>
      <c r="Q1329" s="43"/>
      <c r="R1329" s="43"/>
      <c r="S1329" s="43"/>
      <c r="T1329" s="43"/>
      <c r="U1329" s="43"/>
      <c r="V1329" s="43"/>
      <c r="W1329" s="43"/>
      <c r="X1329" s="43"/>
      <c r="Y1329" s="43"/>
    </row>
    <row r="1330" ht="13.2" spans="1:25">
      <c r="A1330" s="42">
        <v>1329</v>
      </c>
      <c r="B1330" s="43" t="s">
        <v>1661</v>
      </c>
      <c r="C1330" s="43"/>
      <c r="D1330" s="43"/>
      <c r="E1330" s="43"/>
      <c r="F1330" s="43"/>
      <c r="G1330" s="43"/>
      <c r="H1330" s="43"/>
      <c r="I1330" s="43"/>
      <c r="J1330" s="43"/>
      <c r="K1330" s="43"/>
      <c r="L1330" s="43"/>
      <c r="M1330" s="43"/>
      <c r="N1330" s="43"/>
      <c r="O1330" s="43"/>
      <c r="P1330" s="43"/>
      <c r="Q1330" s="43"/>
      <c r="R1330" s="43"/>
      <c r="S1330" s="43"/>
      <c r="T1330" s="43"/>
      <c r="U1330" s="43"/>
      <c r="V1330" s="43"/>
      <c r="W1330" s="43"/>
      <c r="X1330" s="43"/>
      <c r="Y1330" s="43"/>
    </row>
    <row r="1331" ht="13.2" spans="1:25">
      <c r="A1331" s="42">
        <v>1330</v>
      </c>
      <c r="B1331" s="43" t="s">
        <v>1662</v>
      </c>
      <c r="C1331" s="43"/>
      <c r="D1331" s="43"/>
      <c r="E1331" s="43"/>
      <c r="F1331" s="43"/>
      <c r="G1331" s="43"/>
      <c r="H1331" s="43"/>
      <c r="I1331" s="43"/>
      <c r="J1331" s="43"/>
      <c r="K1331" s="43"/>
      <c r="L1331" s="43"/>
      <c r="M1331" s="43"/>
      <c r="N1331" s="43"/>
      <c r="O1331" s="43"/>
      <c r="P1331" s="43"/>
      <c r="Q1331" s="43"/>
      <c r="R1331" s="43"/>
      <c r="S1331" s="43"/>
      <c r="T1331" s="43"/>
      <c r="U1331" s="43"/>
      <c r="V1331" s="43"/>
      <c r="W1331" s="43"/>
      <c r="X1331" s="43"/>
      <c r="Y1331" s="43"/>
    </row>
    <row r="1332" ht="13.2" spans="1:25">
      <c r="A1332" s="42">
        <v>1331</v>
      </c>
      <c r="B1332" s="43" t="s">
        <v>1663</v>
      </c>
      <c r="C1332" s="43"/>
      <c r="D1332" s="43"/>
      <c r="E1332" s="43"/>
      <c r="F1332" s="43"/>
      <c r="G1332" s="43"/>
      <c r="H1332" s="43"/>
      <c r="I1332" s="43"/>
      <c r="J1332" s="43"/>
      <c r="K1332" s="43"/>
      <c r="L1332" s="43"/>
      <c r="M1332" s="43"/>
      <c r="N1332" s="43"/>
      <c r="O1332" s="43"/>
      <c r="P1332" s="43"/>
      <c r="Q1332" s="43"/>
      <c r="R1332" s="43"/>
      <c r="S1332" s="43"/>
      <c r="T1332" s="43"/>
      <c r="U1332" s="43"/>
      <c r="V1332" s="43"/>
      <c r="W1332" s="43"/>
      <c r="X1332" s="43"/>
      <c r="Y1332" s="43"/>
    </row>
    <row r="1333" ht="13.2" spans="1:25">
      <c r="A1333" s="42">
        <v>1332</v>
      </c>
      <c r="B1333" s="43" t="s">
        <v>1664</v>
      </c>
      <c r="C1333" s="43"/>
      <c r="D1333" s="43"/>
      <c r="E1333" s="43"/>
      <c r="F1333" s="43"/>
      <c r="G1333" s="43"/>
      <c r="H1333" s="43"/>
      <c r="I1333" s="43"/>
      <c r="J1333" s="43"/>
      <c r="K1333" s="43"/>
      <c r="L1333" s="43"/>
      <c r="M1333" s="43"/>
      <c r="N1333" s="43"/>
      <c r="O1333" s="43"/>
      <c r="P1333" s="43"/>
      <c r="Q1333" s="43"/>
      <c r="R1333" s="43"/>
      <c r="S1333" s="43"/>
      <c r="T1333" s="43"/>
      <c r="U1333" s="43"/>
      <c r="V1333" s="43"/>
      <c r="W1333" s="43"/>
      <c r="X1333" s="43"/>
      <c r="Y1333" s="43"/>
    </row>
    <row r="1334" ht="13.2" spans="1:25">
      <c r="A1334" s="42">
        <v>1333</v>
      </c>
      <c r="B1334" s="43" t="s">
        <v>1665</v>
      </c>
      <c r="C1334" s="43"/>
      <c r="D1334" s="43"/>
      <c r="E1334" s="43"/>
      <c r="F1334" s="43"/>
      <c r="G1334" s="43"/>
      <c r="H1334" s="43"/>
      <c r="I1334" s="43"/>
      <c r="J1334" s="43"/>
      <c r="K1334" s="43"/>
      <c r="L1334" s="43"/>
      <c r="M1334" s="43"/>
      <c r="N1334" s="43"/>
      <c r="O1334" s="43"/>
      <c r="P1334" s="43"/>
      <c r="Q1334" s="43"/>
      <c r="R1334" s="43"/>
      <c r="S1334" s="43"/>
      <c r="T1334" s="43"/>
      <c r="U1334" s="43"/>
      <c r="V1334" s="43"/>
      <c r="W1334" s="43"/>
      <c r="X1334" s="43"/>
      <c r="Y1334" s="43"/>
    </row>
    <row r="1335" ht="13.2" spans="1:25">
      <c r="A1335" s="42">
        <v>1334</v>
      </c>
      <c r="B1335" s="43" t="s">
        <v>1666</v>
      </c>
      <c r="C1335" s="43"/>
      <c r="D1335" s="43"/>
      <c r="E1335" s="43"/>
      <c r="F1335" s="43"/>
      <c r="G1335" s="43"/>
      <c r="H1335" s="43"/>
      <c r="I1335" s="43"/>
      <c r="J1335" s="43"/>
      <c r="K1335" s="43"/>
      <c r="L1335" s="43"/>
      <c r="M1335" s="43"/>
      <c r="N1335" s="43"/>
      <c r="O1335" s="43"/>
      <c r="P1335" s="43"/>
      <c r="Q1335" s="43"/>
      <c r="R1335" s="43"/>
      <c r="S1335" s="43"/>
      <c r="T1335" s="43"/>
      <c r="U1335" s="43"/>
      <c r="V1335" s="43"/>
      <c r="W1335" s="43"/>
      <c r="X1335" s="43"/>
      <c r="Y1335" s="43"/>
    </row>
    <row r="1336" ht="13.2" spans="1:25">
      <c r="A1336" s="42">
        <v>1335</v>
      </c>
      <c r="B1336" s="43" t="s">
        <v>1667</v>
      </c>
      <c r="C1336" s="43"/>
      <c r="D1336" s="43"/>
      <c r="E1336" s="43"/>
      <c r="F1336" s="43"/>
      <c r="G1336" s="43"/>
      <c r="H1336" s="43"/>
      <c r="I1336" s="43"/>
      <c r="J1336" s="43"/>
      <c r="K1336" s="43"/>
      <c r="L1336" s="43"/>
      <c r="M1336" s="43"/>
      <c r="N1336" s="43"/>
      <c r="O1336" s="43"/>
      <c r="P1336" s="43"/>
      <c r="Q1336" s="43"/>
      <c r="R1336" s="43"/>
      <c r="S1336" s="43"/>
      <c r="T1336" s="43"/>
      <c r="U1336" s="43"/>
      <c r="V1336" s="43"/>
      <c r="W1336" s="43"/>
      <c r="X1336" s="43"/>
      <c r="Y1336" s="43"/>
    </row>
    <row r="1337" ht="13.2" spans="1:25">
      <c r="A1337" s="42">
        <v>1336</v>
      </c>
      <c r="B1337" s="43" t="s">
        <v>1668</v>
      </c>
      <c r="C1337" s="43"/>
      <c r="D1337" s="43"/>
      <c r="E1337" s="43"/>
      <c r="F1337" s="43"/>
      <c r="G1337" s="43"/>
      <c r="H1337" s="43"/>
      <c r="I1337" s="43"/>
      <c r="J1337" s="43"/>
      <c r="K1337" s="43"/>
      <c r="L1337" s="43"/>
      <c r="M1337" s="43"/>
      <c r="N1337" s="43"/>
      <c r="O1337" s="43"/>
      <c r="P1337" s="43"/>
      <c r="Q1337" s="43"/>
      <c r="R1337" s="43"/>
      <c r="S1337" s="43"/>
      <c r="T1337" s="43"/>
      <c r="U1337" s="43"/>
      <c r="V1337" s="43"/>
      <c r="W1337" s="43"/>
      <c r="X1337" s="43"/>
      <c r="Y1337" s="43"/>
    </row>
    <row r="1338" ht="13.2" spans="1:25">
      <c r="A1338" s="42">
        <v>1337</v>
      </c>
      <c r="B1338" s="43" t="s">
        <v>1669</v>
      </c>
      <c r="C1338" s="43"/>
      <c r="D1338" s="43"/>
      <c r="E1338" s="43"/>
      <c r="F1338" s="43"/>
      <c r="G1338" s="43"/>
      <c r="H1338" s="43"/>
      <c r="I1338" s="43"/>
      <c r="J1338" s="43"/>
      <c r="K1338" s="43"/>
      <c r="L1338" s="43"/>
      <c r="M1338" s="43"/>
      <c r="N1338" s="43"/>
      <c r="O1338" s="43"/>
      <c r="P1338" s="43"/>
      <c r="Q1338" s="43"/>
      <c r="R1338" s="43"/>
      <c r="S1338" s="43"/>
      <c r="T1338" s="43"/>
      <c r="U1338" s="43"/>
      <c r="V1338" s="43"/>
      <c r="W1338" s="43"/>
      <c r="X1338" s="43"/>
      <c r="Y1338" s="43"/>
    </row>
    <row r="1339" ht="13.2" spans="1:25">
      <c r="A1339" s="42">
        <v>1338</v>
      </c>
      <c r="B1339" s="43" t="s">
        <v>1670</v>
      </c>
      <c r="C1339" s="43"/>
      <c r="D1339" s="43"/>
      <c r="E1339" s="43"/>
      <c r="F1339" s="43"/>
      <c r="G1339" s="43"/>
      <c r="H1339" s="43"/>
      <c r="I1339" s="43"/>
      <c r="J1339" s="43"/>
      <c r="K1339" s="43"/>
      <c r="L1339" s="43"/>
      <c r="M1339" s="43"/>
      <c r="N1339" s="43"/>
      <c r="O1339" s="43"/>
      <c r="P1339" s="43"/>
      <c r="Q1339" s="43"/>
      <c r="R1339" s="43"/>
      <c r="S1339" s="43"/>
      <c r="T1339" s="43"/>
      <c r="U1339" s="43"/>
      <c r="V1339" s="43"/>
      <c r="W1339" s="43"/>
      <c r="X1339" s="43"/>
      <c r="Y1339" s="43"/>
    </row>
    <row r="1340" ht="13.2" spans="1:25">
      <c r="A1340" s="42">
        <v>1339</v>
      </c>
      <c r="B1340" s="43" t="s">
        <v>1671</v>
      </c>
      <c r="C1340" s="43"/>
      <c r="D1340" s="43"/>
      <c r="E1340" s="43"/>
      <c r="F1340" s="43"/>
      <c r="G1340" s="43"/>
      <c r="H1340" s="43"/>
      <c r="I1340" s="43"/>
      <c r="J1340" s="43"/>
      <c r="K1340" s="43"/>
      <c r="L1340" s="43"/>
      <c r="M1340" s="43"/>
      <c r="N1340" s="43"/>
      <c r="O1340" s="43"/>
      <c r="P1340" s="43"/>
      <c r="Q1340" s="43"/>
      <c r="R1340" s="43"/>
      <c r="S1340" s="43"/>
      <c r="T1340" s="43"/>
      <c r="U1340" s="43"/>
      <c r="V1340" s="43"/>
      <c r="W1340" s="43"/>
      <c r="X1340" s="43"/>
      <c r="Y1340" s="43"/>
    </row>
    <row r="1341" ht="13.2" spans="1:25">
      <c r="A1341" s="42">
        <v>1340</v>
      </c>
      <c r="B1341" s="43" t="s">
        <v>1672</v>
      </c>
      <c r="C1341" s="43"/>
      <c r="D1341" s="43"/>
      <c r="E1341" s="43"/>
      <c r="F1341" s="43"/>
      <c r="G1341" s="43"/>
      <c r="H1341" s="43"/>
      <c r="I1341" s="43"/>
      <c r="J1341" s="43"/>
      <c r="K1341" s="43"/>
      <c r="L1341" s="43"/>
      <c r="M1341" s="43"/>
      <c r="N1341" s="43"/>
      <c r="O1341" s="43"/>
      <c r="P1341" s="43"/>
      <c r="Q1341" s="43"/>
      <c r="R1341" s="43"/>
      <c r="S1341" s="43"/>
      <c r="T1341" s="43"/>
      <c r="U1341" s="43"/>
      <c r="V1341" s="43"/>
      <c r="W1341" s="43"/>
      <c r="X1341" s="43"/>
      <c r="Y1341" s="43"/>
    </row>
    <row r="1342" ht="13.2" spans="1:25">
      <c r="A1342" s="42">
        <v>1341</v>
      </c>
      <c r="B1342" s="43" t="s">
        <v>1673</v>
      </c>
      <c r="C1342" s="43"/>
      <c r="D1342" s="43"/>
      <c r="E1342" s="43"/>
      <c r="F1342" s="43"/>
      <c r="G1342" s="43"/>
      <c r="H1342" s="43"/>
      <c r="I1342" s="43"/>
      <c r="J1342" s="43"/>
      <c r="K1342" s="43"/>
      <c r="L1342" s="43"/>
      <c r="M1342" s="43"/>
      <c r="N1342" s="43"/>
      <c r="O1342" s="43"/>
      <c r="P1342" s="43"/>
      <c r="Q1342" s="43"/>
      <c r="R1342" s="43"/>
      <c r="S1342" s="43"/>
      <c r="T1342" s="43"/>
      <c r="U1342" s="43"/>
      <c r="V1342" s="43"/>
      <c r="W1342" s="43"/>
      <c r="X1342" s="43"/>
      <c r="Y1342" s="43"/>
    </row>
    <row r="1343" ht="13.2" spans="1:25">
      <c r="A1343" s="42">
        <v>1342</v>
      </c>
      <c r="B1343" s="43" t="s">
        <v>1674</v>
      </c>
      <c r="C1343" s="43"/>
      <c r="D1343" s="43"/>
      <c r="E1343" s="43"/>
      <c r="F1343" s="43"/>
      <c r="G1343" s="43"/>
      <c r="H1343" s="43"/>
      <c r="I1343" s="43"/>
      <c r="J1343" s="43"/>
      <c r="K1343" s="43"/>
      <c r="L1343" s="43"/>
      <c r="M1343" s="43"/>
      <c r="N1343" s="43"/>
      <c r="O1343" s="43"/>
      <c r="P1343" s="43"/>
      <c r="Q1343" s="43"/>
      <c r="R1343" s="43"/>
      <c r="S1343" s="43"/>
      <c r="T1343" s="43"/>
      <c r="U1343" s="43"/>
      <c r="V1343" s="43"/>
      <c r="W1343" s="43"/>
      <c r="X1343" s="43"/>
      <c r="Y1343" s="43"/>
    </row>
    <row r="1344" ht="13.2" spans="1:25">
      <c r="A1344" s="42">
        <v>1343</v>
      </c>
      <c r="B1344" s="43" t="s">
        <v>1675</v>
      </c>
      <c r="C1344" s="43"/>
      <c r="D1344" s="43"/>
      <c r="E1344" s="43"/>
      <c r="F1344" s="43"/>
      <c r="G1344" s="43"/>
      <c r="H1344" s="43"/>
      <c r="I1344" s="43"/>
      <c r="J1344" s="43"/>
      <c r="K1344" s="43"/>
      <c r="L1344" s="43"/>
      <c r="M1344" s="43"/>
      <c r="N1344" s="43"/>
      <c r="O1344" s="43"/>
      <c r="P1344" s="43"/>
      <c r="Q1344" s="43"/>
      <c r="R1344" s="43"/>
      <c r="S1344" s="43"/>
      <c r="T1344" s="43"/>
      <c r="U1344" s="43"/>
      <c r="V1344" s="43"/>
      <c r="W1344" s="43"/>
      <c r="X1344" s="43"/>
      <c r="Y1344" s="43"/>
    </row>
    <row r="1345" ht="13.2" spans="1:25">
      <c r="A1345" s="42">
        <v>1344</v>
      </c>
      <c r="B1345" s="43" t="s">
        <v>1676</v>
      </c>
      <c r="C1345" s="43"/>
      <c r="D1345" s="43"/>
      <c r="E1345" s="43"/>
      <c r="F1345" s="43"/>
      <c r="G1345" s="43"/>
      <c r="H1345" s="43"/>
      <c r="I1345" s="43"/>
      <c r="J1345" s="43"/>
      <c r="K1345" s="43"/>
      <c r="L1345" s="43"/>
      <c r="M1345" s="43"/>
      <c r="N1345" s="43"/>
      <c r="O1345" s="43"/>
      <c r="P1345" s="43"/>
      <c r="Q1345" s="43"/>
      <c r="R1345" s="43"/>
      <c r="S1345" s="43"/>
      <c r="T1345" s="43"/>
      <c r="U1345" s="43"/>
      <c r="V1345" s="43"/>
      <c r="W1345" s="43"/>
      <c r="X1345" s="43"/>
      <c r="Y1345" s="43"/>
    </row>
    <row r="1346" ht="13.2" spans="1:25">
      <c r="A1346" s="42">
        <v>1345</v>
      </c>
      <c r="B1346" s="43" t="s">
        <v>1677</v>
      </c>
      <c r="C1346" s="43"/>
      <c r="D1346" s="43"/>
      <c r="E1346" s="43"/>
      <c r="F1346" s="43"/>
      <c r="G1346" s="43"/>
      <c r="H1346" s="43"/>
      <c r="I1346" s="43"/>
      <c r="J1346" s="43"/>
      <c r="K1346" s="43"/>
      <c r="L1346" s="43"/>
      <c r="M1346" s="43"/>
      <c r="N1346" s="43"/>
      <c r="O1346" s="43"/>
      <c r="P1346" s="43"/>
      <c r="Q1346" s="43"/>
      <c r="R1346" s="43"/>
      <c r="S1346" s="43"/>
      <c r="T1346" s="43"/>
      <c r="U1346" s="43"/>
      <c r="V1346" s="43"/>
      <c r="W1346" s="43"/>
      <c r="X1346" s="43"/>
      <c r="Y1346" s="43"/>
    </row>
    <row r="1347" ht="13.2" spans="1:25">
      <c r="A1347" s="42">
        <v>1346</v>
      </c>
      <c r="B1347" s="43" t="s">
        <v>1678</v>
      </c>
      <c r="C1347" s="43"/>
      <c r="D1347" s="43"/>
      <c r="E1347" s="43"/>
      <c r="F1347" s="43"/>
      <c r="G1347" s="43"/>
      <c r="H1347" s="43"/>
      <c r="I1347" s="43"/>
      <c r="J1347" s="43"/>
      <c r="K1347" s="43"/>
      <c r="L1347" s="43"/>
      <c r="M1347" s="43"/>
      <c r="N1347" s="43"/>
      <c r="O1347" s="43"/>
      <c r="P1347" s="43"/>
      <c r="Q1347" s="43"/>
      <c r="R1347" s="43"/>
      <c r="S1347" s="43"/>
      <c r="T1347" s="43"/>
      <c r="U1347" s="43"/>
      <c r="V1347" s="43"/>
      <c r="W1347" s="43"/>
      <c r="X1347" s="43"/>
      <c r="Y1347" s="43"/>
    </row>
    <row r="1348" ht="13.2" spans="1:25">
      <c r="A1348" s="42">
        <v>1347</v>
      </c>
      <c r="B1348" s="43" t="s">
        <v>1679</v>
      </c>
      <c r="C1348" s="43"/>
      <c r="D1348" s="43"/>
      <c r="E1348" s="43"/>
      <c r="F1348" s="43"/>
      <c r="G1348" s="43"/>
      <c r="H1348" s="43"/>
      <c r="I1348" s="43"/>
      <c r="J1348" s="43"/>
      <c r="K1348" s="43"/>
      <c r="L1348" s="43"/>
      <c r="M1348" s="43"/>
      <c r="N1348" s="43"/>
      <c r="O1348" s="43"/>
      <c r="P1348" s="43"/>
      <c r="Q1348" s="43"/>
      <c r="R1348" s="43"/>
      <c r="S1348" s="43"/>
      <c r="T1348" s="43"/>
      <c r="U1348" s="43"/>
      <c r="V1348" s="43"/>
      <c r="W1348" s="43"/>
      <c r="X1348" s="43"/>
      <c r="Y1348" s="43"/>
    </row>
    <row r="1349" ht="13.2" spans="1:25">
      <c r="A1349" s="42">
        <v>1348</v>
      </c>
      <c r="B1349" s="43" t="s">
        <v>1680</v>
      </c>
      <c r="C1349" s="43"/>
      <c r="D1349" s="43"/>
      <c r="E1349" s="43"/>
      <c r="F1349" s="43"/>
      <c r="G1349" s="43"/>
      <c r="H1349" s="43"/>
      <c r="I1349" s="43"/>
      <c r="J1349" s="43"/>
      <c r="K1349" s="43"/>
      <c r="L1349" s="43"/>
      <c r="M1349" s="43"/>
      <c r="N1349" s="43"/>
      <c r="O1349" s="43"/>
      <c r="P1349" s="43"/>
      <c r="Q1349" s="43"/>
      <c r="R1349" s="43"/>
      <c r="S1349" s="43"/>
      <c r="T1349" s="43"/>
      <c r="U1349" s="43"/>
      <c r="V1349" s="43"/>
      <c r="W1349" s="43"/>
      <c r="X1349" s="43"/>
      <c r="Y1349" s="43"/>
    </row>
    <row r="1350" ht="13.2" spans="1:25">
      <c r="A1350" s="42">
        <v>1349</v>
      </c>
      <c r="B1350" s="43" t="s">
        <v>1681</v>
      </c>
      <c r="C1350" s="43"/>
      <c r="D1350" s="43"/>
      <c r="E1350" s="43"/>
      <c r="F1350" s="43"/>
      <c r="G1350" s="43"/>
      <c r="H1350" s="43"/>
      <c r="I1350" s="43"/>
      <c r="J1350" s="43"/>
      <c r="K1350" s="43"/>
      <c r="L1350" s="43"/>
      <c r="M1350" s="43"/>
      <c r="N1350" s="43"/>
      <c r="O1350" s="43"/>
      <c r="P1350" s="43"/>
      <c r="Q1350" s="43"/>
      <c r="R1350" s="43"/>
      <c r="S1350" s="43"/>
      <c r="T1350" s="43"/>
      <c r="U1350" s="43"/>
      <c r="V1350" s="43"/>
      <c r="W1350" s="43"/>
      <c r="X1350" s="43"/>
      <c r="Y1350" s="43"/>
    </row>
    <row r="1351" ht="13.2" spans="1:25">
      <c r="A1351" s="42">
        <v>1350</v>
      </c>
      <c r="B1351" s="43" t="s">
        <v>1682</v>
      </c>
      <c r="C1351" s="43"/>
      <c r="D1351" s="43"/>
      <c r="E1351" s="43"/>
      <c r="F1351" s="43"/>
      <c r="G1351" s="43"/>
      <c r="H1351" s="43"/>
      <c r="I1351" s="43"/>
      <c r="J1351" s="43"/>
      <c r="K1351" s="43"/>
      <c r="L1351" s="43"/>
      <c r="M1351" s="43"/>
      <c r="N1351" s="43"/>
      <c r="O1351" s="43"/>
      <c r="P1351" s="43"/>
      <c r="Q1351" s="43"/>
      <c r="R1351" s="43"/>
      <c r="S1351" s="43"/>
      <c r="T1351" s="43"/>
      <c r="U1351" s="43"/>
      <c r="V1351" s="43"/>
      <c r="W1351" s="43"/>
      <c r="X1351" s="43"/>
      <c r="Y1351" s="43"/>
    </row>
    <row r="1352" ht="13.2" spans="1:25">
      <c r="A1352" s="42">
        <v>1351</v>
      </c>
      <c r="B1352" s="43" t="s">
        <v>1683</v>
      </c>
      <c r="C1352" s="43"/>
      <c r="D1352" s="43"/>
      <c r="E1352" s="43"/>
      <c r="F1352" s="43"/>
      <c r="G1352" s="43"/>
      <c r="H1352" s="43"/>
      <c r="I1352" s="43"/>
      <c r="J1352" s="43"/>
      <c r="K1352" s="43"/>
      <c r="L1352" s="43"/>
      <c r="M1352" s="43"/>
      <c r="N1352" s="43"/>
      <c r="O1352" s="43"/>
      <c r="P1352" s="43"/>
      <c r="Q1352" s="43"/>
      <c r="R1352" s="43"/>
      <c r="S1352" s="43"/>
      <c r="T1352" s="43"/>
      <c r="U1352" s="43"/>
      <c r="V1352" s="43"/>
      <c r="W1352" s="43"/>
      <c r="X1352" s="43"/>
      <c r="Y1352" s="43"/>
    </row>
    <row r="1353" ht="13.2" spans="1:25">
      <c r="A1353" s="42">
        <v>1352</v>
      </c>
      <c r="B1353" s="43" t="s">
        <v>1684</v>
      </c>
      <c r="C1353" s="43"/>
      <c r="D1353" s="43"/>
      <c r="E1353" s="43"/>
      <c r="F1353" s="43"/>
      <c r="G1353" s="43"/>
      <c r="H1353" s="43"/>
      <c r="I1353" s="43"/>
      <c r="J1353" s="43"/>
      <c r="K1353" s="43"/>
      <c r="L1353" s="43"/>
      <c r="M1353" s="43"/>
      <c r="N1353" s="43"/>
      <c r="O1353" s="43"/>
      <c r="P1353" s="43"/>
      <c r="Q1353" s="43"/>
      <c r="R1353" s="43"/>
      <c r="S1353" s="43"/>
      <c r="T1353" s="43"/>
      <c r="U1353" s="43"/>
      <c r="V1353" s="43"/>
      <c r="W1353" s="43"/>
      <c r="X1353" s="43"/>
      <c r="Y1353" s="43"/>
    </row>
    <row r="1354" ht="13.2" spans="1:25">
      <c r="A1354" s="42">
        <v>1353</v>
      </c>
      <c r="B1354" s="43" t="s">
        <v>1685</v>
      </c>
      <c r="C1354" s="43"/>
      <c r="D1354" s="43"/>
      <c r="E1354" s="43"/>
      <c r="F1354" s="43"/>
      <c r="G1354" s="43"/>
      <c r="H1354" s="43"/>
      <c r="I1354" s="43"/>
      <c r="J1354" s="43"/>
      <c r="K1354" s="43"/>
      <c r="L1354" s="43"/>
      <c r="M1354" s="43"/>
      <c r="N1354" s="43"/>
      <c r="O1354" s="43"/>
      <c r="P1354" s="43"/>
      <c r="Q1354" s="43"/>
      <c r="R1354" s="43"/>
      <c r="S1354" s="43"/>
      <c r="T1354" s="43"/>
      <c r="U1354" s="43"/>
      <c r="V1354" s="43"/>
      <c r="W1354" s="43"/>
      <c r="X1354" s="43"/>
      <c r="Y1354" s="43"/>
    </row>
    <row r="1355" ht="13.2" spans="1:25">
      <c r="A1355" s="42">
        <v>1354</v>
      </c>
      <c r="B1355" s="43" t="s">
        <v>1686</v>
      </c>
      <c r="C1355" s="43"/>
      <c r="D1355" s="43"/>
      <c r="E1355" s="43"/>
      <c r="F1355" s="43"/>
      <c r="G1355" s="43"/>
      <c r="H1355" s="43"/>
      <c r="I1355" s="43"/>
      <c r="J1355" s="43"/>
      <c r="K1355" s="43"/>
      <c r="L1355" s="43"/>
      <c r="M1355" s="43"/>
      <c r="N1355" s="43"/>
      <c r="O1355" s="43"/>
      <c r="P1355" s="43"/>
      <c r="Q1355" s="43"/>
      <c r="R1355" s="43"/>
      <c r="S1355" s="43"/>
      <c r="T1355" s="43"/>
      <c r="U1355" s="43"/>
      <c r="V1355" s="43"/>
      <c r="W1355" s="43"/>
      <c r="X1355" s="43"/>
      <c r="Y1355" s="43"/>
    </row>
    <row r="1356" ht="13.2" spans="1:25">
      <c r="A1356" s="42">
        <v>1355</v>
      </c>
      <c r="B1356" s="43" t="s">
        <v>1687</v>
      </c>
      <c r="C1356" s="43"/>
      <c r="D1356" s="43"/>
      <c r="E1356" s="43"/>
      <c r="F1356" s="43"/>
      <c r="G1356" s="43"/>
      <c r="H1356" s="43"/>
      <c r="I1356" s="43"/>
      <c r="J1356" s="43"/>
      <c r="K1356" s="43"/>
      <c r="L1356" s="43"/>
      <c r="M1356" s="43"/>
      <c r="N1356" s="43"/>
      <c r="O1356" s="43"/>
      <c r="P1356" s="43"/>
      <c r="Q1356" s="43"/>
      <c r="R1356" s="43"/>
      <c r="S1356" s="43"/>
      <c r="T1356" s="43"/>
      <c r="U1356" s="43"/>
      <c r="V1356" s="43"/>
      <c r="W1356" s="43"/>
      <c r="X1356" s="43"/>
      <c r="Y1356" s="43"/>
    </row>
    <row r="1357" ht="13.2" spans="1:25">
      <c r="A1357" s="42">
        <v>1356</v>
      </c>
      <c r="B1357" s="43" t="s">
        <v>1688</v>
      </c>
      <c r="C1357" s="43"/>
      <c r="D1357" s="43"/>
      <c r="E1357" s="43"/>
      <c r="F1357" s="43"/>
      <c r="G1357" s="43"/>
      <c r="H1357" s="43"/>
      <c r="I1357" s="43"/>
      <c r="J1357" s="43"/>
      <c r="K1357" s="43"/>
      <c r="L1357" s="43"/>
      <c r="M1357" s="43"/>
      <c r="N1357" s="43"/>
      <c r="O1357" s="43"/>
      <c r="P1357" s="43"/>
      <c r="Q1357" s="43"/>
      <c r="R1357" s="43"/>
      <c r="S1357" s="43"/>
      <c r="T1357" s="43"/>
      <c r="U1357" s="43"/>
      <c r="V1357" s="43"/>
      <c r="W1357" s="43"/>
      <c r="X1357" s="43"/>
      <c r="Y1357" s="43"/>
    </row>
    <row r="1358" ht="13.2" spans="1:25">
      <c r="A1358" s="42">
        <v>1357</v>
      </c>
      <c r="B1358" s="43" t="s">
        <v>1689</v>
      </c>
      <c r="C1358" s="43"/>
      <c r="D1358" s="43"/>
      <c r="E1358" s="43"/>
      <c r="F1358" s="43"/>
      <c r="G1358" s="43"/>
      <c r="H1358" s="43"/>
      <c r="I1358" s="43"/>
      <c r="J1358" s="43"/>
      <c r="K1358" s="43"/>
      <c r="L1358" s="43"/>
      <c r="M1358" s="43"/>
      <c r="N1358" s="43"/>
      <c r="O1358" s="43"/>
      <c r="P1358" s="43"/>
      <c r="Q1358" s="43"/>
      <c r="R1358" s="43"/>
      <c r="S1358" s="43"/>
      <c r="T1358" s="43"/>
      <c r="U1358" s="43"/>
      <c r="V1358" s="43"/>
      <c r="W1358" s="43"/>
      <c r="X1358" s="43"/>
      <c r="Y1358" s="43"/>
    </row>
    <row r="1359" ht="13.2" spans="1:25">
      <c r="A1359" s="42">
        <v>1358</v>
      </c>
      <c r="B1359" s="43" t="s">
        <v>1690</v>
      </c>
      <c r="C1359" s="43"/>
      <c r="D1359" s="43"/>
      <c r="E1359" s="43"/>
      <c r="F1359" s="43"/>
      <c r="G1359" s="43"/>
      <c r="H1359" s="43"/>
      <c r="I1359" s="43"/>
      <c r="J1359" s="43"/>
      <c r="K1359" s="43"/>
      <c r="L1359" s="43"/>
      <c r="M1359" s="43"/>
      <c r="N1359" s="43"/>
      <c r="O1359" s="43"/>
      <c r="P1359" s="43"/>
      <c r="Q1359" s="43"/>
      <c r="R1359" s="43"/>
      <c r="S1359" s="43"/>
      <c r="T1359" s="43"/>
      <c r="U1359" s="43"/>
      <c r="V1359" s="43"/>
      <c r="W1359" s="43"/>
      <c r="X1359" s="43"/>
      <c r="Y1359" s="43"/>
    </row>
    <row r="1360" ht="13.2" spans="1:25">
      <c r="A1360" s="42">
        <v>1359</v>
      </c>
      <c r="B1360" s="43" t="s">
        <v>1691</v>
      </c>
      <c r="C1360" s="43"/>
      <c r="D1360" s="43"/>
      <c r="E1360" s="43"/>
      <c r="F1360" s="43"/>
      <c r="G1360" s="43"/>
      <c r="H1360" s="43"/>
      <c r="I1360" s="43"/>
      <c r="J1360" s="43"/>
      <c r="K1360" s="43"/>
      <c r="L1360" s="43"/>
      <c r="M1360" s="43"/>
      <c r="N1360" s="43"/>
      <c r="O1360" s="43"/>
      <c r="P1360" s="43"/>
      <c r="Q1360" s="43"/>
      <c r="R1360" s="43"/>
      <c r="S1360" s="43"/>
      <c r="T1360" s="43"/>
      <c r="U1360" s="43"/>
      <c r="V1360" s="43"/>
      <c r="W1360" s="43"/>
      <c r="X1360" s="43"/>
      <c r="Y1360" s="43"/>
    </row>
    <row r="1361" ht="13.2" spans="1:25">
      <c r="A1361" s="42">
        <v>1360</v>
      </c>
      <c r="B1361" s="43" t="s">
        <v>1692</v>
      </c>
      <c r="C1361" s="43"/>
      <c r="D1361" s="43"/>
      <c r="E1361" s="43"/>
      <c r="F1361" s="43"/>
      <c r="G1361" s="43"/>
      <c r="H1361" s="43"/>
      <c r="I1361" s="43"/>
      <c r="J1361" s="43"/>
      <c r="K1361" s="43"/>
      <c r="L1361" s="43"/>
      <c r="M1361" s="43"/>
      <c r="N1361" s="43"/>
      <c r="O1361" s="43"/>
      <c r="P1361" s="43"/>
      <c r="Q1361" s="43"/>
      <c r="R1361" s="43"/>
      <c r="S1361" s="43"/>
      <c r="T1361" s="43"/>
      <c r="U1361" s="43"/>
      <c r="V1361" s="43"/>
      <c r="W1361" s="43"/>
      <c r="X1361" s="43"/>
      <c r="Y1361" s="43"/>
    </row>
    <row r="1362" ht="13.2" spans="1:25">
      <c r="A1362" s="42">
        <v>1361</v>
      </c>
      <c r="B1362" s="43" t="s">
        <v>1693</v>
      </c>
      <c r="C1362" s="43"/>
      <c r="D1362" s="43"/>
      <c r="E1362" s="43"/>
      <c r="F1362" s="43"/>
      <c r="G1362" s="43"/>
      <c r="H1362" s="43"/>
      <c r="I1362" s="43"/>
      <c r="J1362" s="43"/>
      <c r="K1362" s="43"/>
      <c r="L1362" s="43"/>
      <c r="M1362" s="43"/>
      <c r="N1362" s="43"/>
      <c r="O1362" s="43"/>
      <c r="P1362" s="43"/>
      <c r="Q1362" s="43"/>
      <c r="R1362" s="43"/>
      <c r="S1362" s="43"/>
      <c r="T1362" s="43"/>
      <c r="U1362" s="43"/>
      <c r="V1362" s="43"/>
      <c r="W1362" s="43"/>
      <c r="X1362" s="43"/>
      <c r="Y1362" s="43"/>
    </row>
    <row r="1363" ht="13.2" spans="1:25">
      <c r="A1363" s="42">
        <v>1362</v>
      </c>
      <c r="B1363" s="43" t="s">
        <v>1694</v>
      </c>
      <c r="C1363" s="43"/>
      <c r="D1363" s="43"/>
      <c r="E1363" s="43"/>
      <c r="F1363" s="43"/>
      <c r="G1363" s="43"/>
      <c r="H1363" s="43"/>
      <c r="I1363" s="43"/>
      <c r="J1363" s="43"/>
      <c r="K1363" s="43"/>
      <c r="L1363" s="43"/>
      <c r="M1363" s="43"/>
      <c r="N1363" s="43"/>
      <c r="O1363" s="43"/>
      <c r="P1363" s="43"/>
      <c r="Q1363" s="43"/>
      <c r="R1363" s="43"/>
      <c r="S1363" s="43"/>
      <c r="T1363" s="43"/>
      <c r="U1363" s="43"/>
      <c r="V1363" s="43"/>
      <c r="W1363" s="43"/>
      <c r="X1363" s="43"/>
      <c r="Y1363" s="43"/>
    </row>
    <row r="1364" ht="13.2" spans="1:25">
      <c r="A1364" s="42">
        <v>1363</v>
      </c>
      <c r="B1364" s="43" t="s">
        <v>1695</v>
      </c>
      <c r="C1364" s="43"/>
      <c r="D1364" s="43"/>
      <c r="E1364" s="43"/>
      <c r="F1364" s="43"/>
      <c r="G1364" s="43"/>
      <c r="H1364" s="43"/>
      <c r="I1364" s="43"/>
      <c r="J1364" s="43"/>
      <c r="K1364" s="43"/>
      <c r="L1364" s="43"/>
      <c r="M1364" s="43"/>
      <c r="N1364" s="43"/>
      <c r="O1364" s="43"/>
      <c r="P1364" s="43"/>
      <c r="Q1364" s="43"/>
      <c r="R1364" s="43"/>
      <c r="S1364" s="43"/>
      <c r="T1364" s="43"/>
      <c r="U1364" s="43"/>
      <c r="V1364" s="43"/>
      <c r="W1364" s="43"/>
      <c r="X1364" s="43"/>
      <c r="Y1364" s="43"/>
    </row>
    <row r="1365" ht="13.2" spans="1:25">
      <c r="A1365" s="42">
        <v>1364</v>
      </c>
      <c r="B1365" s="43" t="s">
        <v>1696</v>
      </c>
      <c r="C1365" s="43"/>
      <c r="D1365" s="43"/>
      <c r="E1365" s="43"/>
      <c r="F1365" s="43"/>
      <c r="G1365" s="43"/>
      <c r="H1365" s="43"/>
      <c r="I1365" s="43"/>
      <c r="J1365" s="43"/>
      <c r="K1365" s="43"/>
      <c r="L1365" s="43"/>
      <c r="M1365" s="43"/>
      <c r="N1365" s="43"/>
      <c r="O1365" s="43"/>
      <c r="P1365" s="43"/>
      <c r="Q1365" s="43"/>
      <c r="R1365" s="43"/>
      <c r="S1365" s="43"/>
      <c r="T1365" s="43"/>
      <c r="U1365" s="43"/>
      <c r="V1365" s="43"/>
      <c r="W1365" s="43"/>
      <c r="X1365" s="43"/>
      <c r="Y1365" s="43"/>
    </row>
    <row r="1366" ht="13.2" spans="1:25">
      <c r="A1366" s="42">
        <v>1365</v>
      </c>
      <c r="B1366" s="43" t="s">
        <v>1697</v>
      </c>
      <c r="C1366" s="43"/>
      <c r="D1366" s="43"/>
      <c r="E1366" s="43"/>
      <c r="F1366" s="43"/>
      <c r="G1366" s="43"/>
      <c r="H1366" s="43"/>
      <c r="I1366" s="43"/>
      <c r="J1366" s="43"/>
      <c r="K1366" s="43"/>
      <c r="L1366" s="43"/>
      <c r="M1366" s="43"/>
      <c r="N1366" s="43"/>
      <c r="O1366" s="43"/>
      <c r="P1366" s="43"/>
      <c r="Q1366" s="43"/>
      <c r="R1366" s="43"/>
      <c r="S1366" s="43"/>
      <c r="T1366" s="43"/>
      <c r="U1366" s="43"/>
      <c r="V1366" s="43"/>
      <c r="W1366" s="43"/>
      <c r="X1366" s="43"/>
      <c r="Y1366" s="43"/>
    </row>
    <row r="1367" ht="13.2" spans="1:25">
      <c r="A1367" s="42">
        <v>1366</v>
      </c>
      <c r="B1367" s="43" t="s">
        <v>1698</v>
      </c>
      <c r="C1367" s="43"/>
      <c r="D1367" s="43"/>
      <c r="E1367" s="43"/>
      <c r="F1367" s="43"/>
      <c r="G1367" s="43"/>
      <c r="H1367" s="43"/>
      <c r="I1367" s="43"/>
      <c r="J1367" s="43"/>
      <c r="K1367" s="43"/>
      <c r="L1367" s="43"/>
      <c r="M1367" s="43"/>
      <c r="N1367" s="43"/>
      <c r="O1367" s="43"/>
      <c r="P1367" s="43"/>
      <c r="Q1367" s="43"/>
      <c r="R1367" s="43"/>
      <c r="S1367" s="43"/>
      <c r="T1367" s="43"/>
      <c r="U1367" s="43"/>
      <c r="V1367" s="43"/>
      <c r="W1367" s="43"/>
      <c r="X1367" s="43"/>
      <c r="Y1367" s="43"/>
    </row>
    <row r="1368" ht="13.2" spans="1:25">
      <c r="A1368" s="42">
        <v>1367</v>
      </c>
      <c r="B1368" s="43" t="s">
        <v>1699</v>
      </c>
      <c r="C1368" s="43"/>
      <c r="D1368" s="43"/>
      <c r="E1368" s="43"/>
      <c r="F1368" s="43"/>
      <c r="G1368" s="43"/>
      <c r="H1368" s="43"/>
      <c r="I1368" s="43"/>
      <c r="J1368" s="43"/>
      <c r="K1368" s="43"/>
      <c r="L1368" s="43"/>
      <c r="M1368" s="43"/>
      <c r="N1368" s="43"/>
      <c r="O1368" s="43"/>
      <c r="P1368" s="43"/>
      <c r="Q1368" s="43"/>
      <c r="R1368" s="43"/>
      <c r="S1368" s="43"/>
      <c r="T1368" s="43"/>
      <c r="U1368" s="43"/>
      <c r="V1368" s="43"/>
      <c r="W1368" s="43"/>
      <c r="X1368" s="43"/>
      <c r="Y1368" s="43"/>
    </row>
    <row r="1369" ht="13.2" spans="1:25">
      <c r="A1369" s="42">
        <v>1368</v>
      </c>
      <c r="B1369" s="43" t="s">
        <v>1700</v>
      </c>
      <c r="C1369" s="43"/>
      <c r="D1369" s="43"/>
      <c r="E1369" s="43"/>
      <c r="F1369" s="43"/>
      <c r="G1369" s="43"/>
      <c r="H1369" s="43"/>
      <c r="I1369" s="43"/>
      <c r="J1369" s="43"/>
      <c r="K1369" s="43"/>
      <c r="L1369" s="43"/>
      <c r="M1369" s="43"/>
      <c r="N1369" s="43"/>
      <c r="O1369" s="43"/>
      <c r="P1369" s="43"/>
      <c r="Q1369" s="43"/>
      <c r="R1369" s="43"/>
      <c r="S1369" s="43"/>
      <c r="T1369" s="43"/>
      <c r="U1369" s="43"/>
      <c r="V1369" s="43"/>
      <c r="W1369" s="43"/>
      <c r="X1369" s="43"/>
      <c r="Y1369" s="43"/>
    </row>
    <row r="1370" ht="13.2" spans="1:25">
      <c r="A1370" s="42">
        <v>1369</v>
      </c>
      <c r="B1370" s="43" t="s">
        <v>1701</v>
      </c>
      <c r="C1370" s="43"/>
      <c r="D1370" s="43"/>
      <c r="E1370" s="43"/>
      <c r="F1370" s="43"/>
      <c r="G1370" s="43"/>
      <c r="H1370" s="43"/>
      <c r="I1370" s="43"/>
      <c r="J1370" s="43"/>
      <c r="K1370" s="43"/>
      <c r="L1370" s="43"/>
      <c r="M1370" s="43"/>
      <c r="N1370" s="43"/>
      <c r="O1370" s="43"/>
      <c r="P1370" s="43"/>
      <c r="Q1370" s="43"/>
      <c r="R1370" s="43"/>
      <c r="S1370" s="43"/>
      <c r="T1370" s="43"/>
      <c r="U1370" s="43"/>
      <c r="V1370" s="43"/>
      <c r="W1370" s="43"/>
      <c r="X1370" s="43"/>
      <c r="Y1370" s="43"/>
    </row>
    <row r="1371" ht="13.2" spans="1:25">
      <c r="A1371" s="42">
        <v>1370</v>
      </c>
      <c r="B1371" s="43" t="s">
        <v>1702</v>
      </c>
      <c r="C1371" s="43"/>
      <c r="D1371" s="43"/>
      <c r="E1371" s="43"/>
      <c r="F1371" s="43"/>
      <c r="G1371" s="43"/>
      <c r="H1371" s="43"/>
      <c r="I1371" s="43"/>
      <c r="J1371" s="43"/>
      <c r="K1371" s="43"/>
      <c r="L1371" s="43"/>
      <c r="M1371" s="43"/>
      <c r="N1371" s="43"/>
      <c r="O1371" s="43"/>
      <c r="P1371" s="43"/>
      <c r="Q1371" s="43"/>
      <c r="R1371" s="43"/>
      <c r="S1371" s="43"/>
      <c r="T1371" s="43"/>
      <c r="U1371" s="43"/>
      <c r="V1371" s="43"/>
      <c r="W1371" s="43"/>
      <c r="X1371" s="43"/>
      <c r="Y1371" s="43"/>
    </row>
    <row r="1372" ht="13.2" spans="1:25">
      <c r="A1372" s="42">
        <v>1371</v>
      </c>
      <c r="B1372" s="43" t="s">
        <v>1703</v>
      </c>
      <c r="C1372" s="43"/>
      <c r="D1372" s="43"/>
      <c r="E1372" s="43"/>
      <c r="F1372" s="43"/>
      <c r="G1372" s="43"/>
      <c r="H1372" s="43"/>
      <c r="I1372" s="43"/>
      <c r="J1372" s="43"/>
      <c r="K1372" s="43"/>
      <c r="L1372" s="43"/>
      <c r="M1372" s="43"/>
      <c r="N1372" s="43"/>
      <c r="O1372" s="43"/>
      <c r="P1372" s="43"/>
      <c r="Q1372" s="43"/>
      <c r="R1372" s="43"/>
      <c r="S1372" s="43"/>
      <c r="T1372" s="43"/>
      <c r="U1372" s="43"/>
      <c r="V1372" s="43"/>
      <c r="W1372" s="43"/>
      <c r="X1372" s="43"/>
      <c r="Y1372" s="43"/>
    </row>
    <row r="1373" ht="13.2" spans="1:25">
      <c r="A1373" s="42">
        <v>1372</v>
      </c>
      <c r="B1373" s="43" t="s">
        <v>1704</v>
      </c>
      <c r="C1373" s="43"/>
      <c r="D1373" s="43"/>
      <c r="E1373" s="43"/>
      <c r="F1373" s="43"/>
      <c r="G1373" s="43"/>
      <c r="H1373" s="43"/>
      <c r="I1373" s="43"/>
      <c r="J1373" s="43"/>
      <c r="K1373" s="43"/>
      <c r="L1373" s="43"/>
      <c r="M1373" s="43"/>
      <c r="N1373" s="43"/>
      <c r="O1373" s="43"/>
      <c r="P1373" s="43"/>
      <c r="Q1373" s="43"/>
      <c r="R1373" s="43"/>
      <c r="S1373" s="43"/>
      <c r="T1373" s="43"/>
      <c r="U1373" s="43"/>
      <c r="V1373" s="43"/>
      <c r="W1373" s="43"/>
      <c r="X1373" s="43"/>
      <c r="Y1373" s="43"/>
    </row>
    <row r="1374" ht="13.2" spans="1:25">
      <c r="A1374" s="42">
        <v>1373</v>
      </c>
      <c r="B1374" s="43" t="s">
        <v>1705</v>
      </c>
      <c r="C1374" s="43"/>
      <c r="D1374" s="43"/>
      <c r="E1374" s="43"/>
      <c r="F1374" s="43"/>
      <c r="G1374" s="43"/>
      <c r="H1374" s="43"/>
      <c r="I1374" s="43"/>
      <c r="J1374" s="43"/>
      <c r="K1374" s="43"/>
      <c r="L1374" s="43"/>
      <c r="M1374" s="43"/>
      <c r="N1374" s="43"/>
      <c r="O1374" s="43"/>
      <c r="P1374" s="43"/>
      <c r="Q1374" s="43"/>
      <c r="R1374" s="43"/>
      <c r="S1374" s="43"/>
      <c r="T1374" s="43"/>
      <c r="U1374" s="43"/>
      <c r="V1374" s="43"/>
      <c r="W1374" s="43"/>
      <c r="X1374" s="43"/>
      <c r="Y1374" s="43"/>
    </row>
    <row r="1375" ht="13.2" spans="1:25">
      <c r="A1375" s="42">
        <v>1374</v>
      </c>
      <c r="B1375" s="43" t="s">
        <v>1706</v>
      </c>
      <c r="C1375" s="43"/>
      <c r="D1375" s="43"/>
      <c r="E1375" s="43"/>
      <c r="F1375" s="43"/>
      <c r="G1375" s="43"/>
      <c r="H1375" s="43"/>
      <c r="I1375" s="43"/>
      <c r="J1375" s="43"/>
      <c r="K1375" s="43"/>
      <c r="L1375" s="43"/>
      <c r="M1375" s="43"/>
      <c r="N1375" s="43"/>
      <c r="O1375" s="43"/>
      <c r="P1375" s="43"/>
      <c r="Q1375" s="43"/>
      <c r="R1375" s="43"/>
      <c r="S1375" s="43"/>
      <c r="T1375" s="43"/>
      <c r="U1375" s="43"/>
      <c r="V1375" s="43"/>
      <c r="W1375" s="43"/>
      <c r="X1375" s="43"/>
      <c r="Y1375" s="43"/>
    </row>
    <row r="1376" ht="13.2" spans="1:25">
      <c r="A1376" s="42">
        <v>1375</v>
      </c>
      <c r="B1376" s="43" t="s">
        <v>1707</v>
      </c>
      <c r="C1376" s="43"/>
      <c r="D1376" s="43"/>
      <c r="E1376" s="43"/>
      <c r="F1376" s="43"/>
      <c r="G1376" s="43"/>
      <c r="H1376" s="43"/>
      <c r="I1376" s="43"/>
      <c r="J1376" s="43"/>
      <c r="K1376" s="43"/>
      <c r="L1376" s="43"/>
      <c r="M1376" s="43"/>
      <c r="N1376" s="43"/>
      <c r="O1376" s="43"/>
      <c r="P1376" s="43"/>
      <c r="Q1376" s="43"/>
      <c r="R1376" s="43"/>
      <c r="S1376" s="43"/>
      <c r="T1376" s="43"/>
      <c r="U1376" s="43"/>
      <c r="V1376" s="43"/>
      <c r="W1376" s="43"/>
      <c r="X1376" s="43"/>
      <c r="Y1376" s="43"/>
    </row>
    <row r="1377" ht="13.2" spans="1:25">
      <c r="A1377" s="42">
        <v>1376</v>
      </c>
      <c r="B1377" s="43" t="s">
        <v>1708</v>
      </c>
      <c r="C1377" s="43"/>
      <c r="D1377" s="43"/>
      <c r="E1377" s="43"/>
      <c r="F1377" s="43"/>
      <c r="G1377" s="43"/>
      <c r="H1377" s="43"/>
      <c r="I1377" s="43"/>
      <c r="J1377" s="43"/>
      <c r="K1377" s="43"/>
      <c r="L1377" s="43"/>
      <c r="M1377" s="43"/>
      <c r="N1377" s="43"/>
      <c r="O1377" s="43"/>
      <c r="P1377" s="43"/>
      <c r="Q1377" s="43"/>
      <c r="R1377" s="43"/>
      <c r="S1377" s="43"/>
      <c r="T1377" s="43"/>
      <c r="U1377" s="43"/>
      <c r="V1377" s="43"/>
      <c r="W1377" s="43"/>
      <c r="X1377" s="43"/>
      <c r="Y1377" s="43"/>
    </row>
    <row r="1378" ht="13.2" spans="1:25">
      <c r="A1378" s="42">
        <v>1377</v>
      </c>
      <c r="B1378" s="43" t="s">
        <v>1709</v>
      </c>
      <c r="C1378" s="43"/>
      <c r="D1378" s="43"/>
      <c r="E1378" s="43"/>
      <c r="F1378" s="43"/>
      <c r="G1378" s="43"/>
      <c r="H1378" s="43"/>
      <c r="I1378" s="43"/>
      <c r="J1378" s="43"/>
      <c r="K1378" s="43"/>
      <c r="L1378" s="43"/>
      <c r="M1378" s="43"/>
      <c r="N1378" s="43"/>
      <c r="O1378" s="43"/>
      <c r="P1378" s="43"/>
      <c r="Q1378" s="43"/>
      <c r="R1378" s="43"/>
      <c r="S1378" s="43"/>
      <c r="T1378" s="43"/>
      <c r="U1378" s="43"/>
      <c r="V1378" s="43"/>
      <c r="W1378" s="43"/>
      <c r="X1378" s="43"/>
      <c r="Y1378" s="43"/>
    </row>
    <row r="1379" ht="13.2" spans="1:25">
      <c r="A1379" s="42">
        <v>1378</v>
      </c>
      <c r="B1379" s="43" t="s">
        <v>1710</v>
      </c>
      <c r="C1379" s="43"/>
      <c r="D1379" s="43"/>
      <c r="E1379" s="43"/>
      <c r="F1379" s="43"/>
      <c r="G1379" s="43"/>
      <c r="H1379" s="43"/>
      <c r="I1379" s="43"/>
      <c r="J1379" s="43"/>
      <c r="K1379" s="43"/>
      <c r="L1379" s="43"/>
      <c r="M1379" s="43"/>
      <c r="N1379" s="43"/>
      <c r="O1379" s="43"/>
      <c r="P1379" s="43"/>
      <c r="Q1379" s="43"/>
      <c r="R1379" s="43"/>
      <c r="S1379" s="43"/>
      <c r="T1379" s="43"/>
      <c r="U1379" s="43"/>
      <c r="V1379" s="43"/>
      <c r="W1379" s="43"/>
      <c r="X1379" s="43"/>
      <c r="Y1379" s="43"/>
    </row>
    <row r="1380" ht="13.2" spans="1:25">
      <c r="A1380" s="42">
        <v>1379</v>
      </c>
      <c r="B1380" s="43" t="s">
        <v>1711</v>
      </c>
      <c r="C1380" s="43"/>
      <c r="D1380" s="43"/>
      <c r="E1380" s="43"/>
      <c r="F1380" s="43"/>
      <c r="G1380" s="43"/>
      <c r="H1380" s="43"/>
      <c r="I1380" s="43"/>
      <c r="J1380" s="43"/>
      <c r="K1380" s="43"/>
      <c r="L1380" s="43"/>
      <c r="M1380" s="43"/>
      <c r="N1380" s="43"/>
      <c r="O1380" s="43"/>
      <c r="P1380" s="43"/>
      <c r="Q1380" s="43"/>
      <c r="R1380" s="43"/>
      <c r="S1380" s="43"/>
      <c r="T1380" s="43"/>
      <c r="U1380" s="43"/>
      <c r="V1380" s="43"/>
      <c r="W1380" s="43"/>
      <c r="X1380" s="43"/>
      <c r="Y1380" s="43"/>
    </row>
    <row r="1381" ht="13.2" spans="1:25">
      <c r="A1381" s="42">
        <v>1380</v>
      </c>
      <c r="B1381" s="43" t="s">
        <v>1712</v>
      </c>
      <c r="C1381" s="43"/>
      <c r="D1381" s="43"/>
      <c r="E1381" s="43"/>
      <c r="F1381" s="43"/>
      <c r="G1381" s="43"/>
      <c r="H1381" s="43"/>
      <c r="I1381" s="43"/>
      <c r="J1381" s="43"/>
      <c r="K1381" s="43"/>
      <c r="L1381" s="43"/>
      <c r="M1381" s="43"/>
      <c r="N1381" s="43"/>
      <c r="O1381" s="43"/>
      <c r="P1381" s="43"/>
      <c r="Q1381" s="43"/>
      <c r="R1381" s="43"/>
      <c r="S1381" s="43"/>
      <c r="T1381" s="43"/>
      <c r="U1381" s="43"/>
      <c r="V1381" s="43"/>
      <c r="W1381" s="43"/>
      <c r="X1381" s="43"/>
      <c r="Y1381" s="43"/>
    </row>
    <row r="1382" ht="13.2" spans="1:25">
      <c r="A1382" s="42">
        <v>1381</v>
      </c>
      <c r="B1382" s="43" t="s">
        <v>1713</v>
      </c>
      <c r="C1382" s="43"/>
      <c r="D1382" s="43"/>
      <c r="E1382" s="43"/>
      <c r="F1382" s="43"/>
      <c r="G1382" s="43"/>
      <c r="H1382" s="43"/>
      <c r="I1382" s="43"/>
      <c r="J1382" s="43"/>
      <c r="K1382" s="43"/>
      <c r="L1382" s="43"/>
      <c r="M1382" s="43"/>
      <c r="N1382" s="43"/>
      <c r="O1382" s="43"/>
      <c r="P1382" s="43"/>
      <c r="Q1382" s="43"/>
      <c r="R1382" s="43"/>
      <c r="S1382" s="43"/>
      <c r="T1382" s="43"/>
      <c r="U1382" s="43"/>
      <c r="V1382" s="43"/>
      <c r="W1382" s="43"/>
      <c r="X1382" s="43"/>
      <c r="Y1382" s="43"/>
    </row>
    <row r="1383" ht="13.2" spans="1:25">
      <c r="A1383" s="42">
        <v>1382</v>
      </c>
      <c r="B1383" s="43" t="s">
        <v>1714</v>
      </c>
      <c r="C1383" s="43"/>
      <c r="D1383" s="43"/>
      <c r="E1383" s="43"/>
      <c r="F1383" s="43"/>
      <c r="G1383" s="43"/>
      <c r="H1383" s="43"/>
      <c r="I1383" s="43"/>
      <c r="J1383" s="43"/>
      <c r="K1383" s="43"/>
      <c r="L1383" s="43"/>
      <c r="M1383" s="43"/>
      <c r="N1383" s="43"/>
      <c r="O1383" s="43"/>
      <c r="P1383" s="43"/>
      <c r="Q1383" s="43"/>
      <c r="R1383" s="43"/>
      <c r="S1383" s="43"/>
      <c r="T1383" s="43"/>
      <c r="U1383" s="43"/>
      <c r="V1383" s="43"/>
      <c r="W1383" s="43"/>
      <c r="X1383" s="43"/>
      <c r="Y1383" s="43"/>
    </row>
    <row r="1384" ht="13.2" spans="1:25">
      <c r="A1384" s="42">
        <v>1383</v>
      </c>
      <c r="B1384" s="43" t="s">
        <v>1715</v>
      </c>
      <c r="C1384" s="43"/>
      <c r="D1384" s="43"/>
      <c r="E1384" s="43"/>
      <c r="F1384" s="43"/>
      <c r="G1384" s="43"/>
      <c r="H1384" s="43"/>
      <c r="I1384" s="43"/>
      <c r="J1384" s="43"/>
      <c r="K1384" s="43"/>
      <c r="L1384" s="43"/>
      <c r="M1384" s="43"/>
      <c r="N1384" s="43"/>
      <c r="O1384" s="43"/>
      <c r="P1384" s="43"/>
      <c r="Q1384" s="43"/>
      <c r="R1384" s="43"/>
      <c r="S1384" s="43"/>
      <c r="T1384" s="43"/>
      <c r="U1384" s="43"/>
      <c r="V1384" s="43"/>
      <c r="W1384" s="43"/>
      <c r="X1384" s="43"/>
      <c r="Y1384" s="43"/>
    </row>
    <row r="1385" ht="13.2" spans="1:25">
      <c r="A1385" s="42">
        <v>1384</v>
      </c>
      <c r="B1385" s="43" t="s">
        <v>1716</v>
      </c>
      <c r="C1385" s="43"/>
      <c r="D1385" s="43"/>
      <c r="E1385" s="43"/>
      <c r="F1385" s="43"/>
      <c r="G1385" s="43"/>
      <c r="H1385" s="43"/>
      <c r="I1385" s="43"/>
      <c r="J1385" s="43"/>
      <c r="K1385" s="43"/>
      <c r="L1385" s="43"/>
      <c r="M1385" s="43"/>
      <c r="N1385" s="43"/>
      <c r="O1385" s="43"/>
      <c r="P1385" s="43"/>
      <c r="Q1385" s="43"/>
      <c r="R1385" s="43"/>
      <c r="S1385" s="43"/>
      <c r="T1385" s="43"/>
      <c r="U1385" s="43"/>
      <c r="V1385" s="43"/>
      <c r="W1385" s="43"/>
      <c r="X1385" s="43"/>
      <c r="Y1385" s="43"/>
    </row>
    <row r="1386" ht="13.2" spans="1:25">
      <c r="A1386" s="42">
        <v>1385</v>
      </c>
      <c r="B1386" s="43" t="s">
        <v>1717</v>
      </c>
      <c r="C1386" s="43"/>
      <c r="D1386" s="43"/>
      <c r="E1386" s="43"/>
      <c r="F1386" s="43"/>
      <c r="G1386" s="43"/>
      <c r="H1386" s="43"/>
      <c r="I1386" s="43"/>
      <c r="J1386" s="43"/>
      <c r="K1386" s="43"/>
      <c r="L1386" s="43"/>
      <c r="M1386" s="43"/>
      <c r="N1386" s="43"/>
      <c r="O1386" s="43"/>
      <c r="P1386" s="43"/>
      <c r="Q1386" s="43"/>
      <c r="R1386" s="43"/>
      <c r="S1386" s="43"/>
      <c r="T1386" s="43"/>
      <c r="U1386" s="43"/>
      <c r="V1386" s="43"/>
      <c r="W1386" s="43"/>
      <c r="X1386" s="43"/>
      <c r="Y1386" s="43"/>
    </row>
    <row r="1387" ht="13.2" spans="1:25">
      <c r="A1387" s="42">
        <v>1386</v>
      </c>
      <c r="B1387" s="43" t="s">
        <v>1718</v>
      </c>
      <c r="C1387" s="43"/>
      <c r="D1387" s="43"/>
      <c r="E1387" s="43"/>
      <c r="F1387" s="43"/>
      <c r="G1387" s="43"/>
      <c r="H1387" s="43"/>
      <c r="I1387" s="43"/>
      <c r="J1387" s="43"/>
      <c r="K1387" s="43"/>
      <c r="L1387" s="43"/>
      <c r="M1387" s="43"/>
      <c r="N1387" s="43"/>
      <c r="O1387" s="43"/>
      <c r="P1387" s="43"/>
      <c r="Q1387" s="43"/>
      <c r="R1387" s="43"/>
      <c r="S1387" s="43"/>
      <c r="T1387" s="43"/>
      <c r="U1387" s="43"/>
      <c r="V1387" s="43"/>
      <c r="W1387" s="43"/>
      <c r="X1387" s="43"/>
      <c r="Y1387" s="43"/>
    </row>
    <row r="1388" ht="13.2" spans="1:25">
      <c r="A1388" s="42">
        <v>1387</v>
      </c>
      <c r="B1388" s="43" t="s">
        <v>1719</v>
      </c>
      <c r="C1388" s="43"/>
      <c r="D1388" s="43"/>
      <c r="E1388" s="43"/>
      <c r="F1388" s="43"/>
      <c r="G1388" s="43"/>
      <c r="H1388" s="43"/>
      <c r="I1388" s="43"/>
      <c r="J1388" s="43"/>
      <c r="K1388" s="43"/>
      <c r="L1388" s="43"/>
      <c r="M1388" s="43"/>
      <c r="N1388" s="43"/>
      <c r="O1388" s="43"/>
      <c r="P1388" s="43"/>
      <c r="Q1388" s="43"/>
      <c r="R1388" s="43"/>
      <c r="S1388" s="43"/>
      <c r="T1388" s="43"/>
      <c r="U1388" s="43"/>
      <c r="V1388" s="43"/>
      <c r="W1388" s="43"/>
      <c r="X1388" s="43"/>
      <c r="Y1388" s="43"/>
    </row>
    <row r="1389" ht="13.2" spans="1:25">
      <c r="A1389" s="42">
        <v>1388</v>
      </c>
      <c r="B1389" s="43" t="s">
        <v>1720</v>
      </c>
      <c r="C1389" s="43"/>
      <c r="D1389" s="43"/>
      <c r="E1389" s="43"/>
      <c r="F1389" s="43"/>
      <c r="G1389" s="43"/>
      <c r="H1389" s="43"/>
      <c r="I1389" s="43"/>
      <c r="J1389" s="43"/>
      <c r="K1389" s="43"/>
      <c r="L1389" s="43"/>
      <c r="M1389" s="43"/>
      <c r="N1389" s="43"/>
      <c r="O1389" s="43"/>
      <c r="P1389" s="43"/>
      <c r="Q1389" s="43"/>
      <c r="R1389" s="43"/>
      <c r="S1389" s="43"/>
      <c r="T1389" s="43"/>
      <c r="U1389" s="43"/>
      <c r="V1389" s="43"/>
      <c r="W1389" s="43"/>
      <c r="X1389" s="43"/>
      <c r="Y1389" s="43"/>
    </row>
    <row r="1390" ht="13.2" spans="1:25">
      <c r="A1390" s="42">
        <v>1389</v>
      </c>
      <c r="B1390" s="43" t="s">
        <v>1721</v>
      </c>
      <c r="C1390" s="43"/>
      <c r="D1390" s="43"/>
      <c r="E1390" s="43"/>
      <c r="F1390" s="43"/>
      <c r="G1390" s="43"/>
      <c r="H1390" s="43"/>
      <c r="I1390" s="43"/>
      <c r="J1390" s="43"/>
      <c r="K1390" s="43"/>
      <c r="L1390" s="43"/>
      <c r="M1390" s="43"/>
      <c r="N1390" s="43"/>
      <c r="O1390" s="43"/>
      <c r="P1390" s="43"/>
      <c r="Q1390" s="43"/>
      <c r="R1390" s="43"/>
      <c r="S1390" s="43"/>
      <c r="T1390" s="43"/>
      <c r="U1390" s="43"/>
      <c r="V1390" s="43"/>
      <c r="W1390" s="43"/>
      <c r="X1390" s="43"/>
      <c r="Y1390" s="43"/>
    </row>
    <row r="1391" ht="13.2" spans="1:25">
      <c r="A1391" s="42">
        <v>1390</v>
      </c>
      <c r="B1391" s="43" t="s">
        <v>1722</v>
      </c>
      <c r="C1391" s="43"/>
      <c r="D1391" s="43"/>
      <c r="E1391" s="43"/>
      <c r="F1391" s="43"/>
      <c r="G1391" s="43"/>
      <c r="H1391" s="43"/>
      <c r="I1391" s="43"/>
      <c r="J1391" s="43"/>
      <c r="K1391" s="43"/>
      <c r="L1391" s="43"/>
      <c r="M1391" s="43"/>
      <c r="N1391" s="43"/>
      <c r="O1391" s="43"/>
      <c r="P1391" s="43"/>
      <c r="Q1391" s="43"/>
      <c r="R1391" s="43"/>
      <c r="S1391" s="43"/>
      <c r="T1391" s="43"/>
      <c r="U1391" s="43"/>
      <c r="V1391" s="43"/>
      <c r="W1391" s="43"/>
      <c r="X1391" s="43"/>
      <c r="Y1391" s="43"/>
    </row>
    <row r="1392" ht="13.2" spans="1:25">
      <c r="A1392" s="42">
        <v>1391</v>
      </c>
      <c r="B1392" s="43" t="s">
        <v>1723</v>
      </c>
      <c r="C1392" s="43"/>
      <c r="D1392" s="43"/>
      <c r="E1392" s="43"/>
      <c r="F1392" s="43"/>
      <c r="G1392" s="43"/>
      <c r="H1392" s="43"/>
      <c r="I1392" s="43"/>
      <c r="J1392" s="43"/>
      <c r="K1392" s="43"/>
      <c r="L1392" s="43"/>
      <c r="M1392" s="43"/>
      <c r="N1392" s="43"/>
      <c r="O1392" s="43"/>
      <c r="P1392" s="43"/>
      <c r="Q1392" s="43"/>
      <c r="R1392" s="43"/>
      <c r="S1392" s="43"/>
      <c r="T1392" s="43"/>
      <c r="U1392" s="43"/>
      <c r="V1392" s="43"/>
      <c r="W1392" s="43"/>
      <c r="X1392" s="43"/>
      <c r="Y1392" s="43"/>
    </row>
    <row r="1393" ht="13.2" spans="1:25">
      <c r="A1393" s="42">
        <v>1392</v>
      </c>
      <c r="B1393" s="43" t="s">
        <v>1724</v>
      </c>
      <c r="C1393" s="43"/>
      <c r="D1393" s="43"/>
      <c r="E1393" s="43"/>
      <c r="F1393" s="43"/>
      <c r="G1393" s="43"/>
      <c r="H1393" s="43"/>
      <c r="I1393" s="43"/>
      <c r="J1393" s="43"/>
      <c r="K1393" s="43"/>
      <c r="L1393" s="43"/>
      <c r="M1393" s="43"/>
      <c r="N1393" s="43"/>
      <c r="O1393" s="43"/>
      <c r="P1393" s="43"/>
      <c r="Q1393" s="43"/>
      <c r="R1393" s="43"/>
      <c r="S1393" s="43"/>
      <c r="T1393" s="43"/>
      <c r="U1393" s="43"/>
      <c r="V1393" s="43"/>
      <c r="W1393" s="43"/>
      <c r="X1393" s="43"/>
      <c r="Y1393" s="43"/>
    </row>
    <row r="1394" ht="13.2" spans="1:25">
      <c r="A1394" s="42">
        <v>1393</v>
      </c>
      <c r="B1394" s="43" t="s">
        <v>1725</v>
      </c>
      <c r="C1394" s="43"/>
      <c r="D1394" s="43"/>
      <c r="E1394" s="43"/>
      <c r="F1394" s="43"/>
      <c r="G1394" s="43"/>
      <c r="H1394" s="43"/>
      <c r="I1394" s="43"/>
      <c r="J1394" s="43"/>
      <c r="K1394" s="43"/>
      <c r="L1394" s="43"/>
      <c r="M1394" s="43"/>
      <c r="N1394" s="43"/>
      <c r="O1394" s="43"/>
      <c r="P1394" s="43"/>
      <c r="Q1394" s="43"/>
      <c r="R1394" s="43"/>
      <c r="S1394" s="43"/>
      <c r="T1394" s="43"/>
      <c r="U1394" s="43"/>
      <c r="V1394" s="43"/>
      <c r="W1394" s="43"/>
      <c r="X1394" s="43"/>
      <c r="Y1394" s="43"/>
    </row>
    <row r="1395" ht="13.2" spans="1:25">
      <c r="A1395" s="42">
        <v>1394</v>
      </c>
      <c r="B1395" s="43" t="s">
        <v>1726</v>
      </c>
      <c r="C1395" s="43"/>
      <c r="D1395" s="43"/>
      <c r="E1395" s="43"/>
      <c r="F1395" s="43"/>
      <c r="G1395" s="43"/>
      <c r="H1395" s="43"/>
      <c r="I1395" s="43"/>
      <c r="J1395" s="43"/>
      <c r="K1395" s="43"/>
      <c r="L1395" s="43"/>
      <c r="M1395" s="43"/>
      <c r="N1395" s="43"/>
      <c r="O1395" s="43"/>
      <c r="P1395" s="43"/>
      <c r="Q1395" s="43"/>
      <c r="R1395" s="43"/>
      <c r="S1395" s="43"/>
      <c r="T1395" s="43"/>
      <c r="U1395" s="43"/>
      <c r="V1395" s="43"/>
      <c r="W1395" s="43"/>
      <c r="X1395" s="43"/>
      <c r="Y1395" s="43"/>
    </row>
    <row r="1396" ht="13.2" spans="1:25">
      <c r="A1396" s="42">
        <v>1395</v>
      </c>
      <c r="B1396" s="43" t="s">
        <v>1727</v>
      </c>
      <c r="C1396" s="43"/>
      <c r="D1396" s="43"/>
      <c r="E1396" s="43"/>
      <c r="F1396" s="43"/>
      <c r="G1396" s="43"/>
      <c r="H1396" s="43"/>
      <c r="I1396" s="43"/>
      <c r="J1396" s="43"/>
      <c r="K1396" s="43"/>
      <c r="L1396" s="43"/>
      <c r="M1396" s="43"/>
      <c r="N1396" s="43"/>
      <c r="O1396" s="43"/>
      <c r="P1396" s="43"/>
      <c r="Q1396" s="43"/>
      <c r="R1396" s="43"/>
      <c r="S1396" s="43"/>
      <c r="T1396" s="43"/>
      <c r="U1396" s="43"/>
      <c r="V1396" s="43"/>
      <c r="W1396" s="43"/>
      <c r="X1396" s="43"/>
      <c r="Y1396" s="43"/>
    </row>
    <row r="1397" ht="13.2" spans="1:25">
      <c r="A1397" s="42">
        <v>1396</v>
      </c>
      <c r="B1397" s="43" t="s">
        <v>1728</v>
      </c>
      <c r="C1397" s="43"/>
      <c r="D1397" s="43"/>
      <c r="E1397" s="43"/>
      <c r="F1397" s="43"/>
      <c r="G1397" s="43"/>
      <c r="H1397" s="43"/>
      <c r="I1397" s="43"/>
      <c r="J1397" s="43"/>
      <c r="K1397" s="43"/>
      <c r="L1397" s="43"/>
      <c r="M1397" s="43"/>
      <c r="N1397" s="43"/>
      <c r="O1397" s="43"/>
      <c r="P1397" s="43"/>
      <c r="Q1397" s="43"/>
      <c r="R1397" s="43"/>
      <c r="S1397" s="43"/>
      <c r="T1397" s="43"/>
      <c r="U1397" s="43"/>
      <c r="V1397" s="43"/>
      <c r="W1397" s="43"/>
      <c r="X1397" s="43"/>
      <c r="Y1397" s="43"/>
    </row>
    <row r="1398" ht="13.2" spans="1:25">
      <c r="A1398" s="42">
        <v>1397</v>
      </c>
      <c r="B1398" s="43" t="s">
        <v>1729</v>
      </c>
      <c r="C1398" s="43"/>
      <c r="D1398" s="43"/>
      <c r="E1398" s="43"/>
      <c r="F1398" s="43"/>
      <c r="G1398" s="43"/>
      <c r="H1398" s="43"/>
      <c r="I1398" s="43"/>
      <c r="J1398" s="43"/>
      <c r="K1398" s="43"/>
      <c r="L1398" s="43"/>
      <c r="M1398" s="43"/>
      <c r="N1398" s="43"/>
      <c r="O1398" s="43"/>
      <c r="P1398" s="43"/>
      <c r="Q1398" s="43"/>
      <c r="R1398" s="43"/>
      <c r="S1398" s="43"/>
      <c r="T1398" s="43"/>
      <c r="U1398" s="43"/>
      <c r="V1398" s="43"/>
      <c r="W1398" s="43"/>
      <c r="X1398" s="43"/>
      <c r="Y1398" s="43"/>
    </row>
    <row r="1399" ht="13.2" spans="1:25">
      <c r="A1399" s="42">
        <v>1398</v>
      </c>
      <c r="B1399" s="43" t="s">
        <v>1730</v>
      </c>
      <c r="C1399" s="43"/>
      <c r="D1399" s="43"/>
      <c r="E1399" s="43"/>
      <c r="F1399" s="43"/>
      <c r="G1399" s="43"/>
      <c r="H1399" s="43"/>
      <c r="I1399" s="43"/>
      <c r="J1399" s="43"/>
      <c r="K1399" s="43"/>
      <c r="L1399" s="43"/>
      <c r="M1399" s="43"/>
      <c r="N1399" s="43"/>
      <c r="O1399" s="43"/>
      <c r="P1399" s="43"/>
      <c r="Q1399" s="43"/>
      <c r="R1399" s="43"/>
      <c r="S1399" s="43"/>
      <c r="T1399" s="43"/>
      <c r="U1399" s="43"/>
      <c r="V1399" s="43"/>
      <c r="W1399" s="43"/>
      <c r="X1399" s="43"/>
      <c r="Y1399" s="43"/>
    </row>
    <row r="1400" ht="13.2" spans="1:25">
      <c r="A1400" s="42">
        <v>1399</v>
      </c>
      <c r="B1400" s="43" t="s">
        <v>1731</v>
      </c>
      <c r="C1400" s="43"/>
      <c r="D1400" s="43"/>
      <c r="E1400" s="43"/>
      <c r="F1400" s="43"/>
      <c r="G1400" s="43"/>
      <c r="H1400" s="43"/>
      <c r="I1400" s="43"/>
      <c r="J1400" s="43"/>
      <c r="K1400" s="43"/>
      <c r="L1400" s="43"/>
      <c r="M1400" s="43"/>
      <c r="N1400" s="43"/>
      <c r="O1400" s="43"/>
      <c r="P1400" s="43"/>
      <c r="Q1400" s="43"/>
      <c r="R1400" s="43"/>
      <c r="S1400" s="43"/>
      <c r="T1400" s="43"/>
      <c r="U1400" s="43"/>
      <c r="V1400" s="43"/>
      <c r="W1400" s="43"/>
      <c r="X1400" s="43"/>
      <c r="Y1400" s="43"/>
    </row>
    <row r="1401" ht="13.2" spans="1:25">
      <c r="A1401" s="42">
        <v>1400</v>
      </c>
      <c r="B1401" s="43" t="s">
        <v>1732</v>
      </c>
      <c r="C1401" s="43"/>
      <c r="D1401" s="43"/>
      <c r="E1401" s="43"/>
      <c r="F1401" s="43"/>
      <c r="G1401" s="43"/>
      <c r="H1401" s="43"/>
      <c r="I1401" s="43"/>
      <c r="J1401" s="43"/>
      <c r="K1401" s="43"/>
      <c r="L1401" s="43"/>
      <c r="M1401" s="43"/>
      <c r="N1401" s="43"/>
      <c r="O1401" s="43"/>
      <c r="P1401" s="43"/>
      <c r="Q1401" s="43"/>
      <c r="R1401" s="43"/>
      <c r="S1401" s="43"/>
      <c r="T1401" s="43"/>
      <c r="U1401" s="43"/>
      <c r="V1401" s="43"/>
      <c r="W1401" s="43"/>
      <c r="X1401" s="43"/>
      <c r="Y1401" s="43"/>
    </row>
    <row r="1402" ht="13.2" spans="1:25">
      <c r="A1402" s="42">
        <v>1401</v>
      </c>
      <c r="B1402" s="42" t="s">
        <v>1733</v>
      </c>
      <c r="C1402" s="43"/>
      <c r="D1402" s="43"/>
      <c r="E1402" s="43"/>
      <c r="F1402" s="43"/>
      <c r="G1402" s="43"/>
      <c r="H1402" s="43"/>
      <c r="I1402" s="43"/>
      <c r="J1402" s="43"/>
      <c r="K1402" s="43"/>
      <c r="L1402" s="43"/>
      <c r="M1402" s="43"/>
      <c r="N1402" s="43"/>
      <c r="O1402" s="43"/>
      <c r="P1402" s="43"/>
      <c r="Q1402" s="43"/>
      <c r="R1402" s="43"/>
      <c r="S1402" s="43"/>
      <c r="T1402" s="43"/>
      <c r="U1402" s="43"/>
      <c r="V1402" s="43"/>
      <c r="W1402" s="43"/>
      <c r="X1402" s="43"/>
      <c r="Y1402" s="43"/>
    </row>
    <row r="1403" ht="13.2" spans="1:25">
      <c r="A1403" s="42">
        <v>1402</v>
      </c>
      <c r="B1403" s="43" t="s">
        <v>1734</v>
      </c>
      <c r="C1403" s="43"/>
      <c r="D1403" s="43"/>
      <c r="E1403" s="43"/>
      <c r="F1403" s="43"/>
      <c r="G1403" s="43"/>
      <c r="H1403" s="43"/>
      <c r="I1403" s="43"/>
      <c r="J1403" s="43"/>
      <c r="K1403" s="43"/>
      <c r="L1403" s="43"/>
      <c r="M1403" s="43"/>
      <c r="N1403" s="43"/>
      <c r="O1403" s="43"/>
      <c r="P1403" s="43"/>
      <c r="Q1403" s="43"/>
      <c r="R1403" s="43"/>
      <c r="S1403" s="43"/>
      <c r="T1403" s="43"/>
      <c r="U1403" s="43"/>
      <c r="V1403" s="43"/>
      <c r="W1403" s="43"/>
      <c r="X1403" s="43"/>
      <c r="Y1403" s="43"/>
    </row>
    <row r="1404" ht="13.2" spans="1:25">
      <c r="A1404" s="42">
        <v>1403</v>
      </c>
      <c r="B1404" s="43" t="s">
        <v>1735</v>
      </c>
      <c r="C1404" s="43"/>
      <c r="D1404" s="43"/>
      <c r="E1404" s="43"/>
      <c r="F1404" s="43"/>
      <c r="G1404" s="43"/>
      <c r="H1404" s="43"/>
      <c r="I1404" s="43"/>
      <c r="J1404" s="43"/>
      <c r="K1404" s="43"/>
      <c r="L1404" s="43"/>
      <c r="M1404" s="43"/>
      <c r="N1404" s="43"/>
      <c r="O1404" s="43"/>
      <c r="P1404" s="43"/>
      <c r="Q1404" s="43"/>
      <c r="R1404" s="43"/>
      <c r="S1404" s="43"/>
      <c r="T1404" s="43"/>
      <c r="U1404" s="43"/>
      <c r="V1404" s="43"/>
      <c r="W1404" s="43"/>
      <c r="X1404" s="43"/>
      <c r="Y1404" s="43"/>
    </row>
    <row r="1405" ht="13.2" spans="1:25">
      <c r="A1405" s="42">
        <v>1404</v>
      </c>
      <c r="B1405" s="43" t="s">
        <v>1736</v>
      </c>
      <c r="C1405" s="43"/>
      <c r="D1405" s="43"/>
      <c r="E1405" s="43"/>
      <c r="F1405" s="43"/>
      <c r="G1405" s="43"/>
      <c r="H1405" s="43"/>
      <c r="I1405" s="43"/>
      <c r="J1405" s="43"/>
      <c r="K1405" s="43"/>
      <c r="L1405" s="43"/>
      <c r="M1405" s="43"/>
      <c r="N1405" s="43"/>
      <c r="O1405" s="43"/>
      <c r="P1405" s="43"/>
      <c r="Q1405" s="43"/>
      <c r="R1405" s="43"/>
      <c r="S1405" s="43"/>
      <c r="T1405" s="43"/>
      <c r="U1405" s="43"/>
      <c r="V1405" s="43"/>
      <c r="W1405" s="43"/>
      <c r="X1405" s="43"/>
      <c r="Y1405" s="43"/>
    </row>
    <row r="1406" ht="13.2" spans="1:25">
      <c r="A1406" s="42">
        <v>1405</v>
      </c>
      <c r="B1406" s="43" t="s">
        <v>1737</v>
      </c>
      <c r="C1406" s="43"/>
      <c r="D1406" s="43"/>
      <c r="E1406" s="43"/>
      <c r="F1406" s="43"/>
      <c r="G1406" s="43"/>
      <c r="H1406" s="43"/>
      <c r="I1406" s="43"/>
      <c r="J1406" s="43"/>
      <c r="K1406" s="43"/>
      <c r="L1406" s="43"/>
      <c r="M1406" s="43"/>
      <c r="N1406" s="43"/>
      <c r="O1406" s="43"/>
      <c r="P1406" s="43"/>
      <c r="Q1406" s="43"/>
      <c r="R1406" s="43"/>
      <c r="S1406" s="43"/>
      <c r="T1406" s="43"/>
      <c r="U1406" s="43"/>
      <c r="V1406" s="43"/>
      <c r="W1406" s="43"/>
      <c r="X1406" s="43"/>
      <c r="Y1406" s="43"/>
    </row>
    <row r="1407" ht="13.2" spans="1:25">
      <c r="A1407" s="42">
        <v>1406</v>
      </c>
      <c r="B1407" s="43" t="s">
        <v>1738</v>
      </c>
      <c r="C1407" s="43"/>
      <c r="D1407" s="43"/>
      <c r="E1407" s="43"/>
      <c r="F1407" s="43"/>
      <c r="G1407" s="43"/>
      <c r="H1407" s="43"/>
      <c r="I1407" s="43"/>
      <c r="J1407" s="43"/>
      <c r="K1407" s="43"/>
      <c r="L1407" s="43"/>
      <c r="M1407" s="43"/>
      <c r="N1407" s="43"/>
      <c r="O1407" s="43"/>
      <c r="P1407" s="43"/>
      <c r="Q1407" s="43"/>
      <c r="R1407" s="43"/>
      <c r="S1407" s="43"/>
      <c r="T1407" s="43"/>
      <c r="U1407" s="43"/>
      <c r="V1407" s="43"/>
      <c r="W1407" s="43"/>
      <c r="X1407" s="43"/>
      <c r="Y1407" s="43"/>
    </row>
    <row r="1408" ht="13.2" spans="1:25">
      <c r="A1408" s="42">
        <v>1407</v>
      </c>
      <c r="B1408" s="43" t="s">
        <v>1739</v>
      </c>
      <c r="C1408" s="43"/>
      <c r="D1408" s="43"/>
      <c r="E1408" s="43"/>
      <c r="F1408" s="43"/>
      <c r="G1408" s="43"/>
      <c r="H1408" s="43"/>
      <c r="I1408" s="43"/>
      <c r="J1408" s="43"/>
      <c r="K1408" s="43"/>
      <c r="L1408" s="43"/>
      <c r="M1408" s="43"/>
      <c r="N1408" s="43"/>
      <c r="O1408" s="43"/>
      <c r="P1408" s="43"/>
      <c r="Q1408" s="43"/>
      <c r="R1408" s="43"/>
      <c r="S1408" s="43"/>
      <c r="T1408" s="43"/>
      <c r="U1408" s="43"/>
      <c r="V1408" s="43"/>
      <c r="W1408" s="43"/>
      <c r="X1408" s="43"/>
      <c r="Y1408" s="43"/>
    </row>
    <row r="1409" ht="13.2" spans="1:25">
      <c r="A1409" s="42">
        <v>1408</v>
      </c>
      <c r="B1409" s="43" t="s">
        <v>1740</v>
      </c>
      <c r="C1409" s="43"/>
      <c r="D1409" s="43"/>
      <c r="E1409" s="43"/>
      <c r="F1409" s="43"/>
      <c r="G1409" s="43"/>
      <c r="H1409" s="43"/>
      <c r="I1409" s="43"/>
      <c r="J1409" s="43"/>
      <c r="K1409" s="43"/>
      <c r="L1409" s="43"/>
      <c r="M1409" s="43"/>
      <c r="N1409" s="43"/>
      <c r="O1409" s="43"/>
      <c r="P1409" s="43"/>
      <c r="Q1409" s="43"/>
      <c r="R1409" s="43"/>
      <c r="S1409" s="43"/>
      <c r="T1409" s="43"/>
      <c r="U1409" s="43"/>
      <c r="V1409" s="43"/>
      <c r="W1409" s="43"/>
      <c r="X1409" s="43"/>
      <c r="Y1409" s="43"/>
    </row>
    <row r="1410" ht="13.2" spans="1:25">
      <c r="A1410" s="42">
        <v>1409</v>
      </c>
      <c r="B1410" s="43" t="s">
        <v>1741</v>
      </c>
      <c r="C1410" s="43"/>
      <c r="D1410" s="43"/>
      <c r="E1410" s="43"/>
      <c r="F1410" s="43"/>
      <c r="G1410" s="43"/>
      <c r="H1410" s="43"/>
      <c r="I1410" s="43"/>
      <c r="J1410" s="43"/>
      <c r="K1410" s="43"/>
      <c r="L1410" s="43"/>
      <c r="M1410" s="43"/>
      <c r="N1410" s="43"/>
      <c r="O1410" s="43"/>
      <c r="P1410" s="43"/>
      <c r="Q1410" s="43"/>
      <c r="R1410" s="43"/>
      <c r="S1410" s="43"/>
      <c r="T1410" s="43"/>
      <c r="U1410" s="43"/>
      <c r="V1410" s="43"/>
      <c r="W1410" s="43"/>
      <c r="X1410" s="43"/>
      <c r="Y1410" s="43"/>
    </row>
    <row r="1411" ht="13.2" spans="1:25">
      <c r="A1411" s="42">
        <v>1410</v>
      </c>
      <c r="B1411" s="43" t="s">
        <v>1742</v>
      </c>
      <c r="C1411" s="43"/>
      <c r="D1411" s="43"/>
      <c r="E1411" s="43"/>
      <c r="F1411" s="43"/>
      <c r="G1411" s="43"/>
      <c r="H1411" s="43"/>
      <c r="I1411" s="43"/>
      <c r="J1411" s="43"/>
      <c r="K1411" s="43"/>
      <c r="L1411" s="43"/>
      <c r="M1411" s="43"/>
      <c r="N1411" s="43"/>
      <c r="O1411" s="43"/>
      <c r="P1411" s="43"/>
      <c r="Q1411" s="43"/>
      <c r="R1411" s="43"/>
      <c r="S1411" s="43"/>
      <c r="T1411" s="43"/>
      <c r="U1411" s="43"/>
      <c r="V1411" s="43"/>
      <c r="W1411" s="43"/>
      <c r="X1411" s="43"/>
      <c r="Y1411" s="43"/>
    </row>
    <row r="1412" ht="13.2" spans="1:25">
      <c r="A1412" s="42">
        <v>1411</v>
      </c>
      <c r="B1412" s="43" t="s">
        <v>1743</v>
      </c>
      <c r="C1412" s="43"/>
      <c r="D1412" s="43"/>
      <c r="E1412" s="43"/>
      <c r="F1412" s="43"/>
      <c r="G1412" s="43"/>
      <c r="H1412" s="43"/>
      <c r="I1412" s="43"/>
      <c r="J1412" s="43"/>
      <c r="K1412" s="43"/>
      <c r="L1412" s="43"/>
      <c r="M1412" s="43"/>
      <c r="N1412" s="43"/>
      <c r="O1412" s="43"/>
      <c r="P1412" s="43"/>
      <c r="Q1412" s="43"/>
      <c r="R1412" s="43"/>
      <c r="S1412" s="43"/>
      <c r="T1412" s="43"/>
      <c r="U1412" s="43"/>
      <c r="V1412" s="43"/>
      <c r="W1412" s="43"/>
      <c r="X1412" s="43"/>
      <c r="Y1412" s="43"/>
    </row>
    <row r="1413" ht="13.2" spans="1:25">
      <c r="A1413" s="42">
        <v>1412</v>
      </c>
      <c r="B1413" s="43" t="s">
        <v>1744</v>
      </c>
      <c r="C1413" s="43"/>
      <c r="D1413" s="43"/>
      <c r="E1413" s="43"/>
      <c r="F1413" s="43"/>
      <c r="G1413" s="43"/>
      <c r="H1413" s="43"/>
      <c r="I1413" s="43"/>
      <c r="J1413" s="43"/>
      <c r="K1413" s="43"/>
      <c r="L1413" s="43"/>
      <c r="M1413" s="43"/>
      <c r="N1413" s="43"/>
      <c r="O1413" s="43"/>
      <c r="P1413" s="43"/>
      <c r="Q1413" s="43"/>
      <c r="R1413" s="43"/>
      <c r="S1413" s="43"/>
      <c r="T1413" s="43"/>
      <c r="U1413" s="43"/>
      <c r="V1413" s="43"/>
      <c r="W1413" s="43"/>
      <c r="X1413" s="43"/>
      <c r="Y1413" s="43"/>
    </row>
    <row r="1414" ht="13.2" spans="1:25">
      <c r="A1414" s="42">
        <v>1413</v>
      </c>
      <c r="B1414" s="43" t="s">
        <v>1745</v>
      </c>
      <c r="C1414" s="43"/>
      <c r="D1414" s="43"/>
      <c r="E1414" s="43"/>
      <c r="F1414" s="43"/>
      <c r="G1414" s="43"/>
      <c r="H1414" s="43"/>
      <c r="I1414" s="43"/>
      <c r="J1414" s="43"/>
      <c r="K1414" s="43"/>
      <c r="L1414" s="43"/>
      <c r="M1414" s="43"/>
      <c r="N1414" s="43"/>
      <c r="O1414" s="43"/>
      <c r="P1414" s="43"/>
      <c r="Q1414" s="43"/>
      <c r="R1414" s="43"/>
      <c r="S1414" s="43"/>
      <c r="T1414" s="43"/>
      <c r="U1414" s="43"/>
      <c r="V1414" s="43"/>
      <c r="W1414" s="43"/>
      <c r="X1414" s="43"/>
      <c r="Y1414" s="43"/>
    </row>
    <row r="1415" ht="13.2" spans="1:25">
      <c r="A1415" s="42">
        <v>1414</v>
      </c>
      <c r="B1415" s="43" t="s">
        <v>1746</v>
      </c>
      <c r="C1415" s="43"/>
      <c r="D1415" s="43"/>
      <c r="E1415" s="43"/>
      <c r="F1415" s="43"/>
      <c r="G1415" s="43"/>
      <c r="H1415" s="43"/>
      <c r="I1415" s="43"/>
      <c r="J1415" s="43"/>
      <c r="K1415" s="43"/>
      <c r="L1415" s="43"/>
      <c r="M1415" s="43"/>
      <c r="N1415" s="43"/>
      <c r="O1415" s="43"/>
      <c r="P1415" s="43"/>
      <c r="Q1415" s="43"/>
      <c r="R1415" s="43"/>
      <c r="S1415" s="43"/>
      <c r="T1415" s="43"/>
      <c r="U1415" s="43"/>
      <c r="V1415" s="43"/>
      <c r="W1415" s="43"/>
      <c r="X1415" s="43"/>
      <c r="Y1415" s="43"/>
    </row>
    <row r="1416" ht="13.2" spans="1:25">
      <c r="A1416" s="42">
        <v>1415</v>
      </c>
      <c r="B1416" s="43" t="s">
        <v>1747</v>
      </c>
      <c r="C1416" s="43"/>
      <c r="D1416" s="43"/>
      <c r="E1416" s="43"/>
      <c r="F1416" s="43"/>
      <c r="G1416" s="43"/>
      <c r="H1416" s="43"/>
      <c r="I1416" s="43"/>
      <c r="J1416" s="43"/>
      <c r="K1416" s="43"/>
      <c r="L1416" s="43"/>
      <c r="M1416" s="43"/>
      <c r="N1416" s="43"/>
      <c r="O1416" s="43"/>
      <c r="P1416" s="43"/>
      <c r="Q1416" s="43"/>
      <c r="R1416" s="43"/>
      <c r="S1416" s="43"/>
      <c r="T1416" s="43"/>
      <c r="U1416" s="43"/>
      <c r="V1416" s="43"/>
      <c r="W1416" s="43"/>
      <c r="X1416" s="43"/>
      <c r="Y1416" s="43"/>
    </row>
    <row r="1417" ht="13.2" spans="1:25">
      <c r="A1417" s="42">
        <v>1416</v>
      </c>
      <c r="B1417" s="43" t="s">
        <v>1748</v>
      </c>
      <c r="C1417" s="43"/>
      <c r="D1417" s="43"/>
      <c r="E1417" s="43"/>
      <c r="F1417" s="43"/>
      <c r="G1417" s="43"/>
      <c r="H1417" s="43"/>
      <c r="I1417" s="43"/>
      <c r="J1417" s="43"/>
      <c r="K1417" s="43"/>
      <c r="L1417" s="43"/>
      <c r="M1417" s="43"/>
      <c r="N1417" s="43"/>
      <c r="O1417" s="43"/>
      <c r="P1417" s="43"/>
      <c r="Q1417" s="43"/>
      <c r="R1417" s="43"/>
      <c r="S1417" s="43"/>
      <c r="T1417" s="43"/>
      <c r="U1417" s="43"/>
      <c r="V1417" s="43"/>
      <c r="W1417" s="43"/>
      <c r="X1417" s="43"/>
      <c r="Y1417" s="43"/>
    </row>
    <row r="1418" ht="13.2" spans="1:25">
      <c r="A1418" s="42">
        <v>1417</v>
      </c>
      <c r="B1418" s="43" t="s">
        <v>1749</v>
      </c>
      <c r="C1418" s="43"/>
      <c r="D1418" s="43"/>
      <c r="E1418" s="43"/>
      <c r="F1418" s="43"/>
      <c r="G1418" s="43"/>
      <c r="H1418" s="43"/>
      <c r="I1418" s="43"/>
      <c r="J1418" s="43"/>
      <c r="K1418" s="43"/>
      <c r="L1418" s="43"/>
      <c r="M1418" s="43"/>
      <c r="N1418" s="43"/>
      <c r="O1418" s="43"/>
      <c r="P1418" s="43"/>
      <c r="Q1418" s="43"/>
      <c r="R1418" s="43"/>
      <c r="S1418" s="43"/>
      <c r="T1418" s="43"/>
      <c r="U1418" s="43"/>
      <c r="V1418" s="43"/>
      <c r="W1418" s="43"/>
      <c r="X1418" s="43"/>
      <c r="Y1418" s="43"/>
    </row>
    <row r="1419" ht="13.2" spans="1:25">
      <c r="A1419" s="42">
        <v>1418</v>
      </c>
      <c r="B1419" s="43" t="s">
        <v>1750</v>
      </c>
      <c r="C1419" s="43"/>
      <c r="D1419" s="43"/>
      <c r="E1419" s="43"/>
      <c r="F1419" s="43"/>
      <c r="G1419" s="43"/>
      <c r="H1419" s="43"/>
      <c r="I1419" s="43"/>
      <c r="J1419" s="43"/>
      <c r="K1419" s="43"/>
      <c r="L1419" s="43"/>
      <c r="M1419" s="43"/>
      <c r="N1419" s="43"/>
      <c r="O1419" s="43"/>
      <c r="P1419" s="43"/>
      <c r="Q1419" s="43"/>
      <c r="R1419" s="43"/>
      <c r="S1419" s="43"/>
      <c r="T1419" s="43"/>
      <c r="U1419" s="43"/>
      <c r="V1419" s="43"/>
      <c r="W1419" s="43"/>
      <c r="X1419" s="43"/>
      <c r="Y1419" s="43"/>
    </row>
    <row r="1420" ht="13.2" spans="1:25">
      <c r="A1420" s="42">
        <v>1419</v>
      </c>
      <c r="B1420" s="43" t="s">
        <v>1751</v>
      </c>
      <c r="C1420" s="43"/>
      <c r="D1420" s="43"/>
      <c r="E1420" s="43"/>
      <c r="F1420" s="43"/>
      <c r="G1420" s="43"/>
      <c r="H1420" s="43"/>
      <c r="I1420" s="43"/>
      <c r="J1420" s="43"/>
      <c r="K1420" s="43"/>
      <c r="L1420" s="43"/>
      <c r="M1420" s="43"/>
      <c r="N1420" s="43"/>
      <c r="O1420" s="43"/>
      <c r="P1420" s="43"/>
      <c r="Q1420" s="43"/>
      <c r="R1420" s="43"/>
      <c r="S1420" s="43"/>
      <c r="T1420" s="43"/>
      <c r="U1420" s="43"/>
      <c r="V1420" s="43"/>
      <c r="W1420" s="43"/>
      <c r="X1420" s="43"/>
      <c r="Y1420" s="43"/>
    </row>
    <row r="1421" ht="13.2" spans="1:25">
      <c r="A1421" s="42">
        <v>1420</v>
      </c>
      <c r="B1421" s="43" t="s">
        <v>1752</v>
      </c>
      <c r="C1421" s="43"/>
      <c r="D1421" s="43"/>
      <c r="E1421" s="43"/>
      <c r="F1421" s="43"/>
      <c r="G1421" s="43"/>
      <c r="H1421" s="43"/>
      <c r="I1421" s="43"/>
      <c r="J1421" s="43"/>
      <c r="K1421" s="43"/>
      <c r="L1421" s="43"/>
      <c r="M1421" s="43"/>
      <c r="N1421" s="43"/>
      <c r="O1421" s="43"/>
      <c r="P1421" s="43"/>
      <c r="Q1421" s="43"/>
      <c r="R1421" s="43"/>
      <c r="S1421" s="43"/>
      <c r="T1421" s="43"/>
      <c r="U1421" s="43"/>
      <c r="V1421" s="43"/>
      <c r="W1421" s="43"/>
      <c r="X1421" s="43"/>
      <c r="Y1421" s="43"/>
    </row>
    <row r="1422" ht="13.2" spans="1:25">
      <c r="A1422" s="42">
        <v>1421</v>
      </c>
      <c r="B1422" s="43" t="s">
        <v>1753</v>
      </c>
      <c r="C1422" s="43"/>
      <c r="D1422" s="43"/>
      <c r="E1422" s="43"/>
      <c r="F1422" s="43"/>
      <c r="G1422" s="43"/>
      <c r="H1422" s="43"/>
      <c r="I1422" s="43"/>
      <c r="J1422" s="43"/>
      <c r="K1422" s="43"/>
      <c r="L1422" s="43"/>
      <c r="M1422" s="43"/>
      <c r="N1422" s="43"/>
      <c r="O1422" s="43"/>
      <c r="P1422" s="43"/>
      <c r="Q1422" s="43"/>
      <c r="R1422" s="43"/>
      <c r="S1422" s="43"/>
      <c r="T1422" s="43"/>
      <c r="U1422" s="43"/>
      <c r="V1422" s="43"/>
      <c r="W1422" s="43"/>
      <c r="X1422" s="43"/>
      <c r="Y1422" s="43"/>
    </row>
    <row r="1423" ht="13.2" spans="1:25">
      <c r="A1423" s="42">
        <v>1422</v>
      </c>
      <c r="B1423" s="43" t="s">
        <v>1754</v>
      </c>
      <c r="C1423" s="43"/>
      <c r="D1423" s="43"/>
      <c r="E1423" s="43"/>
      <c r="F1423" s="43"/>
      <c r="G1423" s="43"/>
      <c r="H1423" s="43"/>
      <c r="I1423" s="43"/>
      <c r="J1423" s="43"/>
      <c r="K1423" s="43"/>
      <c r="L1423" s="43"/>
      <c r="M1423" s="43"/>
      <c r="N1423" s="43"/>
      <c r="O1423" s="43"/>
      <c r="P1423" s="43"/>
      <c r="Q1423" s="43"/>
      <c r="R1423" s="43"/>
      <c r="S1423" s="43"/>
      <c r="T1423" s="43"/>
      <c r="U1423" s="43"/>
      <c r="V1423" s="43"/>
      <c r="W1423" s="43"/>
      <c r="X1423" s="43"/>
      <c r="Y1423" s="43"/>
    </row>
    <row r="1424" ht="13.2" spans="1:25">
      <c r="A1424" s="42">
        <v>1423</v>
      </c>
      <c r="B1424" s="43" t="s">
        <v>1755</v>
      </c>
      <c r="C1424" s="43"/>
      <c r="D1424" s="43"/>
      <c r="E1424" s="43"/>
      <c r="F1424" s="43"/>
      <c r="G1424" s="43"/>
      <c r="H1424" s="43"/>
      <c r="I1424" s="43"/>
      <c r="J1424" s="43"/>
      <c r="K1424" s="43"/>
      <c r="L1424" s="43"/>
      <c r="M1424" s="43"/>
      <c r="N1424" s="43"/>
      <c r="O1424" s="43"/>
      <c r="P1424" s="43"/>
      <c r="Q1424" s="43"/>
      <c r="R1424" s="43"/>
      <c r="S1424" s="43"/>
      <c r="T1424" s="43"/>
      <c r="U1424" s="43"/>
      <c r="V1424" s="43"/>
      <c r="W1424" s="43"/>
      <c r="X1424" s="43"/>
      <c r="Y1424" s="43"/>
    </row>
    <row r="1425" ht="13.2" spans="1:25">
      <c r="A1425" s="42">
        <v>1424</v>
      </c>
      <c r="B1425" s="43" t="s">
        <v>271</v>
      </c>
      <c r="C1425" s="43"/>
      <c r="D1425" s="43"/>
      <c r="E1425" s="43"/>
      <c r="F1425" s="43"/>
      <c r="G1425" s="43"/>
      <c r="H1425" s="43"/>
      <c r="I1425" s="43"/>
      <c r="J1425" s="43"/>
      <c r="K1425" s="43"/>
      <c r="L1425" s="43"/>
      <c r="M1425" s="43"/>
      <c r="N1425" s="43"/>
      <c r="O1425" s="43"/>
      <c r="P1425" s="43"/>
      <c r="Q1425" s="43"/>
      <c r="R1425" s="43"/>
      <c r="S1425" s="43"/>
      <c r="T1425" s="43"/>
      <c r="U1425" s="43"/>
      <c r="V1425" s="43"/>
      <c r="W1425" s="43"/>
      <c r="X1425" s="43"/>
      <c r="Y1425" s="43"/>
    </row>
    <row r="1426" ht="13.2" spans="1:25">
      <c r="A1426" s="42">
        <v>1425</v>
      </c>
      <c r="B1426" s="43" t="s">
        <v>1756</v>
      </c>
      <c r="C1426" s="43"/>
      <c r="D1426" s="43"/>
      <c r="E1426" s="43"/>
      <c r="F1426" s="43"/>
      <c r="G1426" s="43"/>
      <c r="H1426" s="43"/>
      <c r="I1426" s="43"/>
      <c r="J1426" s="43"/>
      <c r="K1426" s="43"/>
      <c r="L1426" s="43"/>
      <c r="M1426" s="43"/>
      <c r="N1426" s="43"/>
      <c r="O1426" s="43"/>
      <c r="P1426" s="43"/>
      <c r="Q1426" s="43"/>
      <c r="R1426" s="43"/>
      <c r="S1426" s="43"/>
      <c r="T1426" s="43"/>
      <c r="U1426" s="43"/>
      <c r="V1426" s="43"/>
      <c r="W1426" s="43"/>
      <c r="X1426" s="43"/>
      <c r="Y1426" s="43"/>
    </row>
    <row r="1427" ht="13.2" spans="1:25">
      <c r="A1427" s="42">
        <v>1426</v>
      </c>
      <c r="B1427" s="43" t="s">
        <v>277</v>
      </c>
      <c r="C1427" s="43"/>
      <c r="D1427" s="43"/>
      <c r="E1427" s="43"/>
      <c r="F1427" s="43"/>
      <c r="G1427" s="43"/>
      <c r="H1427" s="43"/>
      <c r="I1427" s="43"/>
      <c r="J1427" s="43"/>
      <c r="K1427" s="43"/>
      <c r="L1427" s="43"/>
      <c r="M1427" s="43"/>
      <c r="N1427" s="43"/>
      <c r="O1427" s="43"/>
      <c r="P1427" s="43"/>
      <c r="Q1427" s="43"/>
      <c r="R1427" s="43"/>
      <c r="S1427" s="43"/>
      <c r="T1427" s="43"/>
      <c r="U1427" s="43"/>
      <c r="V1427" s="43"/>
      <c r="W1427" s="43"/>
      <c r="X1427" s="43"/>
      <c r="Y1427" s="43"/>
    </row>
    <row r="1428" ht="13.2" spans="1:25">
      <c r="A1428" s="42">
        <v>1427</v>
      </c>
      <c r="B1428" s="43" t="s">
        <v>1757</v>
      </c>
      <c r="C1428" s="43"/>
      <c r="D1428" s="43"/>
      <c r="E1428" s="43"/>
      <c r="F1428" s="43"/>
      <c r="G1428" s="43"/>
      <c r="H1428" s="43"/>
      <c r="I1428" s="43"/>
      <c r="J1428" s="43"/>
      <c r="K1428" s="43"/>
      <c r="L1428" s="43"/>
      <c r="M1428" s="43"/>
      <c r="N1428" s="43"/>
      <c r="O1428" s="43"/>
      <c r="P1428" s="43"/>
      <c r="Q1428" s="43"/>
      <c r="R1428" s="43"/>
      <c r="S1428" s="43"/>
      <c r="T1428" s="43"/>
      <c r="U1428" s="43"/>
      <c r="V1428" s="43"/>
      <c r="W1428" s="43"/>
      <c r="X1428" s="43"/>
      <c r="Y1428" s="43"/>
    </row>
    <row r="1429" ht="13.2" spans="1:25">
      <c r="A1429" s="42">
        <v>1428</v>
      </c>
      <c r="B1429" s="43" t="s">
        <v>1758</v>
      </c>
      <c r="C1429" s="43"/>
      <c r="D1429" s="43"/>
      <c r="E1429" s="43"/>
      <c r="F1429" s="43"/>
      <c r="G1429" s="43"/>
      <c r="H1429" s="43"/>
      <c r="I1429" s="43"/>
      <c r="J1429" s="43"/>
      <c r="K1429" s="43"/>
      <c r="L1429" s="43"/>
      <c r="M1429" s="43"/>
      <c r="N1429" s="43"/>
      <c r="O1429" s="43"/>
      <c r="P1429" s="43"/>
      <c r="Q1429" s="43"/>
      <c r="R1429" s="43"/>
      <c r="S1429" s="43"/>
      <c r="T1429" s="43"/>
      <c r="U1429" s="43"/>
      <c r="V1429" s="43"/>
      <c r="W1429" s="43"/>
      <c r="X1429" s="43"/>
      <c r="Y1429" s="43"/>
    </row>
    <row r="1430" ht="13.2" spans="1:25">
      <c r="A1430" s="42">
        <v>1429</v>
      </c>
      <c r="B1430" s="43" t="s">
        <v>1759</v>
      </c>
      <c r="C1430" s="43"/>
      <c r="D1430" s="43"/>
      <c r="E1430" s="43"/>
      <c r="F1430" s="43"/>
      <c r="G1430" s="43"/>
      <c r="H1430" s="43"/>
      <c r="I1430" s="43"/>
      <c r="J1430" s="43"/>
      <c r="K1430" s="43"/>
      <c r="L1430" s="43"/>
      <c r="M1430" s="43"/>
      <c r="N1430" s="43"/>
      <c r="O1430" s="43"/>
      <c r="P1430" s="43"/>
      <c r="Q1430" s="43"/>
      <c r="R1430" s="43"/>
      <c r="S1430" s="43"/>
      <c r="T1430" s="43"/>
      <c r="U1430" s="43"/>
      <c r="V1430" s="43"/>
      <c r="W1430" s="43"/>
      <c r="X1430" s="43"/>
      <c r="Y1430" s="43"/>
    </row>
    <row r="1431" ht="13.2" spans="1:25">
      <c r="A1431" s="42">
        <v>1430</v>
      </c>
      <c r="B1431" s="43" t="s">
        <v>1760</v>
      </c>
      <c r="C1431" s="43"/>
      <c r="D1431" s="43"/>
      <c r="E1431" s="43"/>
      <c r="F1431" s="43"/>
      <c r="G1431" s="43"/>
      <c r="H1431" s="43"/>
      <c r="I1431" s="43"/>
      <c r="J1431" s="43"/>
      <c r="K1431" s="43"/>
      <c r="L1431" s="43"/>
      <c r="M1431" s="43"/>
      <c r="N1431" s="43"/>
      <c r="O1431" s="43"/>
      <c r="P1431" s="43"/>
      <c r="Q1431" s="43"/>
      <c r="R1431" s="43"/>
      <c r="S1431" s="43"/>
      <c r="T1431" s="43"/>
      <c r="U1431" s="43"/>
      <c r="V1431" s="43"/>
      <c r="W1431" s="43"/>
      <c r="X1431" s="43"/>
      <c r="Y1431" s="43"/>
    </row>
    <row r="1432" ht="13.2" spans="1:25">
      <c r="A1432" s="42">
        <v>1431</v>
      </c>
      <c r="B1432" s="43" t="s">
        <v>1761</v>
      </c>
      <c r="C1432" s="43"/>
      <c r="D1432" s="43"/>
      <c r="E1432" s="43"/>
      <c r="F1432" s="43"/>
      <c r="G1432" s="43"/>
      <c r="H1432" s="43"/>
      <c r="I1432" s="43"/>
      <c r="J1432" s="43"/>
      <c r="K1432" s="43"/>
      <c r="L1432" s="43"/>
      <c r="M1432" s="43"/>
      <c r="N1432" s="43"/>
      <c r="O1432" s="43"/>
      <c r="P1432" s="43"/>
      <c r="Q1432" s="43"/>
      <c r="R1432" s="43"/>
      <c r="S1432" s="43"/>
      <c r="T1432" s="43"/>
      <c r="U1432" s="43"/>
      <c r="V1432" s="43"/>
      <c r="W1432" s="43"/>
      <c r="X1432" s="43"/>
      <c r="Y1432" s="43"/>
    </row>
    <row r="1433" ht="13.2" spans="1:25">
      <c r="A1433" s="42">
        <v>1432</v>
      </c>
      <c r="B1433" s="43" t="s">
        <v>1762</v>
      </c>
      <c r="C1433" s="43"/>
      <c r="D1433" s="43"/>
      <c r="E1433" s="43"/>
      <c r="F1433" s="43"/>
      <c r="G1433" s="43"/>
      <c r="H1433" s="43"/>
      <c r="I1433" s="43"/>
      <c r="J1433" s="43"/>
      <c r="K1433" s="43"/>
      <c r="L1433" s="43"/>
      <c r="M1433" s="43"/>
      <c r="N1433" s="43"/>
      <c r="O1433" s="43"/>
      <c r="P1433" s="43"/>
      <c r="Q1433" s="43"/>
      <c r="R1433" s="43"/>
      <c r="S1433" s="43"/>
      <c r="T1433" s="43"/>
      <c r="U1433" s="43"/>
      <c r="V1433" s="43"/>
      <c r="W1433" s="43"/>
      <c r="X1433" s="43"/>
      <c r="Y1433" s="43"/>
    </row>
    <row r="1434" ht="13.2" spans="1:25">
      <c r="A1434" s="42">
        <v>1433</v>
      </c>
      <c r="B1434" s="43" t="s">
        <v>284</v>
      </c>
      <c r="C1434" s="43"/>
      <c r="D1434" s="43"/>
      <c r="E1434" s="43"/>
      <c r="F1434" s="43"/>
      <c r="G1434" s="43"/>
      <c r="H1434" s="43"/>
      <c r="I1434" s="43"/>
      <c r="J1434" s="43"/>
      <c r="K1434" s="43"/>
      <c r="L1434" s="43"/>
      <c r="M1434" s="43"/>
      <c r="N1434" s="43"/>
      <c r="O1434" s="43"/>
      <c r="P1434" s="43"/>
      <c r="Q1434" s="43"/>
      <c r="R1434" s="43"/>
      <c r="S1434" s="43"/>
      <c r="T1434" s="43"/>
      <c r="U1434" s="43"/>
      <c r="V1434" s="43"/>
      <c r="W1434" s="43"/>
      <c r="X1434" s="43"/>
      <c r="Y1434" s="43"/>
    </row>
    <row r="1435" ht="13.2" spans="1:25">
      <c r="A1435" s="42">
        <v>1434</v>
      </c>
      <c r="B1435" s="43" t="s">
        <v>1763</v>
      </c>
      <c r="C1435" s="43"/>
      <c r="D1435" s="43"/>
      <c r="E1435" s="43"/>
      <c r="F1435" s="43"/>
      <c r="G1435" s="43"/>
      <c r="H1435" s="43"/>
      <c r="I1435" s="43"/>
      <c r="J1435" s="43"/>
      <c r="K1435" s="43"/>
      <c r="L1435" s="43"/>
      <c r="M1435" s="43"/>
      <c r="N1435" s="43"/>
      <c r="O1435" s="43"/>
      <c r="P1435" s="43"/>
      <c r="Q1435" s="43"/>
      <c r="R1435" s="43"/>
      <c r="S1435" s="43"/>
      <c r="T1435" s="43"/>
      <c r="U1435" s="43"/>
      <c r="V1435" s="43"/>
      <c r="W1435" s="43"/>
      <c r="X1435" s="43"/>
      <c r="Y1435" s="43"/>
    </row>
    <row r="1436" ht="13.2" spans="1:25">
      <c r="A1436" s="42">
        <v>1435</v>
      </c>
      <c r="B1436" s="43" t="s">
        <v>1764</v>
      </c>
      <c r="C1436" s="43"/>
      <c r="D1436" s="43"/>
      <c r="E1436" s="43"/>
      <c r="F1436" s="43"/>
      <c r="G1436" s="43"/>
      <c r="H1436" s="43"/>
      <c r="I1436" s="43"/>
      <c r="J1436" s="43"/>
      <c r="K1436" s="43"/>
      <c r="L1436" s="43"/>
      <c r="M1436" s="43"/>
      <c r="N1436" s="43"/>
      <c r="O1436" s="43"/>
      <c r="P1436" s="43"/>
      <c r="Q1436" s="43"/>
      <c r="R1436" s="43"/>
      <c r="S1436" s="43"/>
      <c r="T1436" s="43"/>
      <c r="U1436" s="43"/>
      <c r="V1436" s="43"/>
      <c r="W1436" s="43"/>
      <c r="X1436" s="43"/>
      <c r="Y1436" s="43"/>
    </row>
    <row r="1437" ht="13.2" spans="1:25">
      <c r="A1437" s="42">
        <v>1436</v>
      </c>
      <c r="B1437" s="43" t="s">
        <v>1765</v>
      </c>
      <c r="C1437" s="43"/>
      <c r="D1437" s="43"/>
      <c r="E1437" s="43"/>
      <c r="F1437" s="43"/>
      <c r="G1437" s="43"/>
      <c r="H1437" s="43"/>
      <c r="I1437" s="43"/>
      <c r="J1437" s="43"/>
      <c r="K1437" s="43"/>
      <c r="L1437" s="43"/>
      <c r="M1437" s="43"/>
      <c r="N1437" s="43"/>
      <c r="O1437" s="43"/>
      <c r="P1437" s="43"/>
      <c r="Q1437" s="43"/>
      <c r="R1437" s="43"/>
      <c r="S1437" s="43"/>
      <c r="T1437" s="43"/>
      <c r="U1437" s="43"/>
      <c r="V1437" s="43"/>
      <c r="W1437" s="43"/>
      <c r="X1437" s="43"/>
      <c r="Y1437" s="43"/>
    </row>
    <row r="1438" ht="13.2" spans="1:25">
      <c r="A1438" s="42">
        <v>1437</v>
      </c>
      <c r="B1438" s="43" t="s">
        <v>1766</v>
      </c>
      <c r="C1438" s="43"/>
      <c r="D1438" s="43"/>
      <c r="E1438" s="43"/>
      <c r="F1438" s="43"/>
      <c r="G1438" s="43"/>
      <c r="H1438" s="43"/>
      <c r="I1438" s="43"/>
      <c r="J1438" s="43"/>
      <c r="K1438" s="43"/>
      <c r="L1438" s="43"/>
      <c r="M1438" s="43"/>
      <c r="N1438" s="43"/>
      <c r="O1438" s="43"/>
      <c r="P1438" s="43"/>
      <c r="Q1438" s="43"/>
      <c r="R1438" s="43"/>
      <c r="S1438" s="43"/>
      <c r="T1438" s="43"/>
      <c r="U1438" s="43"/>
      <c r="V1438" s="43"/>
      <c r="W1438" s="43"/>
      <c r="X1438" s="43"/>
      <c r="Y1438" s="43"/>
    </row>
    <row r="1439" ht="13.2" spans="1:25">
      <c r="A1439" s="42">
        <v>1438</v>
      </c>
      <c r="B1439" s="43" t="s">
        <v>1767</v>
      </c>
      <c r="C1439" s="43"/>
      <c r="D1439" s="43"/>
      <c r="E1439" s="43"/>
      <c r="F1439" s="43"/>
      <c r="G1439" s="43"/>
      <c r="H1439" s="43"/>
      <c r="I1439" s="43"/>
      <c r="J1439" s="43"/>
      <c r="K1439" s="43"/>
      <c r="L1439" s="43"/>
      <c r="M1439" s="43"/>
      <c r="N1439" s="43"/>
      <c r="O1439" s="43"/>
      <c r="P1439" s="43"/>
      <c r="Q1439" s="43"/>
      <c r="R1439" s="43"/>
      <c r="S1439" s="43"/>
      <c r="T1439" s="43"/>
      <c r="U1439" s="43"/>
      <c r="V1439" s="43"/>
      <c r="W1439" s="43"/>
      <c r="X1439" s="43"/>
      <c r="Y1439" s="43"/>
    </row>
    <row r="1440" ht="13.2" spans="1:25">
      <c r="A1440" s="42">
        <v>1439</v>
      </c>
      <c r="B1440" s="43" t="s">
        <v>1768</v>
      </c>
      <c r="C1440" s="43"/>
      <c r="D1440" s="43"/>
      <c r="E1440" s="43"/>
      <c r="F1440" s="43"/>
      <c r="G1440" s="43"/>
      <c r="H1440" s="43"/>
      <c r="I1440" s="43"/>
      <c r="J1440" s="43"/>
      <c r="K1440" s="43"/>
      <c r="L1440" s="43"/>
      <c r="M1440" s="43"/>
      <c r="N1440" s="43"/>
      <c r="O1440" s="43"/>
      <c r="P1440" s="43"/>
      <c r="Q1440" s="43"/>
      <c r="R1440" s="43"/>
      <c r="S1440" s="43"/>
      <c r="T1440" s="43"/>
      <c r="U1440" s="43"/>
      <c r="V1440" s="43"/>
      <c r="W1440" s="43"/>
      <c r="X1440" s="43"/>
      <c r="Y1440" s="43"/>
    </row>
    <row r="1441" ht="13.2" spans="1:25">
      <c r="A1441" s="42">
        <v>1440</v>
      </c>
      <c r="B1441" s="42" t="s">
        <v>1769</v>
      </c>
      <c r="C1441" s="43"/>
      <c r="D1441" s="43"/>
      <c r="E1441" s="43"/>
      <c r="F1441" s="43"/>
      <c r="G1441" s="43"/>
      <c r="H1441" s="43"/>
      <c r="I1441" s="43"/>
      <c r="J1441" s="43"/>
      <c r="K1441" s="43"/>
      <c r="L1441" s="43"/>
      <c r="M1441" s="43"/>
      <c r="N1441" s="43"/>
      <c r="O1441" s="43"/>
      <c r="P1441" s="43"/>
      <c r="Q1441" s="43"/>
      <c r="R1441" s="43"/>
      <c r="S1441" s="43"/>
      <c r="T1441" s="43"/>
      <c r="U1441" s="43"/>
      <c r="V1441" s="43"/>
      <c r="W1441" s="43"/>
      <c r="X1441" s="43"/>
      <c r="Y1441" s="43"/>
    </row>
    <row r="1442" ht="13.2" spans="1:25">
      <c r="A1442" s="42">
        <v>1441</v>
      </c>
      <c r="B1442" s="43" t="s">
        <v>1770</v>
      </c>
      <c r="C1442" s="43"/>
      <c r="D1442" s="43"/>
      <c r="E1442" s="43"/>
      <c r="F1442" s="43"/>
      <c r="G1442" s="43"/>
      <c r="H1442" s="43"/>
      <c r="I1442" s="43"/>
      <c r="J1442" s="43"/>
      <c r="K1442" s="43"/>
      <c r="L1442" s="43"/>
      <c r="M1442" s="43"/>
      <c r="N1442" s="43"/>
      <c r="O1442" s="43"/>
      <c r="P1442" s="43"/>
      <c r="Q1442" s="43"/>
      <c r="R1442" s="43"/>
      <c r="S1442" s="43"/>
      <c r="T1442" s="43"/>
      <c r="U1442" s="43"/>
      <c r="V1442" s="43"/>
      <c r="W1442" s="43"/>
      <c r="X1442" s="43"/>
      <c r="Y1442" s="43"/>
    </row>
    <row r="1443" ht="13.2" spans="1:25">
      <c r="A1443" s="42">
        <v>1442</v>
      </c>
      <c r="B1443" s="42" t="s">
        <v>1771</v>
      </c>
      <c r="C1443" s="43"/>
      <c r="D1443" s="43"/>
      <c r="E1443" s="43"/>
      <c r="F1443" s="43"/>
      <c r="G1443" s="43"/>
      <c r="H1443" s="43"/>
      <c r="I1443" s="43"/>
      <c r="J1443" s="43"/>
      <c r="K1443" s="43"/>
      <c r="L1443" s="43"/>
      <c r="M1443" s="43"/>
      <c r="N1443" s="43"/>
      <c r="O1443" s="43"/>
      <c r="P1443" s="43"/>
      <c r="Q1443" s="43"/>
      <c r="R1443" s="43"/>
      <c r="S1443" s="43"/>
      <c r="T1443" s="43"/>
      <c r="U1443" s="43"/>
      <c r="V1443" s="43"/>
      <c r="W1443" s="43"/>
      <c r="X1443" s="43"/>
      <c r="Y1443" s="43"/>
    </row>
    <row r="1444" ht="13.2" spans="1:25">
      <c r="A1444" s="42">
        <v>1443</v>
      </c>
      <c r="B1444" s="42" t="s">
        <v>1772</v>
      </c>
      <c r="C1444" s="43"/>
      <c r="D1444" s="43"/>
      <c r="E1444" s="43"/>
      <c r="F1444" s="43"/>
      <c r="G1444" s="43"/>
      <c r="H1444" s="43"/>
      <c r="I1444" s="43"/>
      <c r="J1444" s="43"/>
      <c r="K1444" s="43"/>
      <c r="L1444" s="43"/>
      <c r="M1444" s="43"/>
      <c r="N1444" s="43"/>
      <c r="O1444" s="43"/>
      <c r="P1444" s="43"/>
      <c r="Q1444" s="43"/>
      <c r="R1444" s="43"/>
      <c r="S1444" s="43"/>
      <c r="T1444" s="43"/>
      <c r="U1444" s="43"/>
      <c r="V1444" s="43"/>
      <c r="W1444" s="43"/>
      <c r="X1444" s="43"/>
      <c r="Y1444" s="43"/>
    </row>
    <row r="1445" ht="13.2" spans="1:25">
      <c r="A1445" s="42">
        <v>1444</v>
      </c>
      <c r="B1445" s="43" t="s">
        <v>1773</v>
      </c>
      <c r="C1445" s="43"/>
      <c r="D1445" s="43"/>
      <c r="E1445" s="43"/>
      <c r="F1445" s="43"/>
      <c r="G1445" s="43"/>
      <c r="H1445" s="43"/>
      <c r="I1445" s="43"/>
      <c r="J1445" s="43"/>
      <c r="K1445" s="43"/>
      <c r="L1445" s="43"/>
      <c r="M1445" s="43"/>
      <c r="N1445" s="43"/>
      <c r="O1445" s="43"/>
      <c r="P1445" s="43"/>
      <c r="Q1445" s="43"/>
      <c r="R1445" s="43"/>
      <c r="S1445" s="43"/>
      <c r="T1445" s="43"/>
      <c r="U1445" s="43"/>
      <c r="V1445" s="43"/>
      <c r="W1445" s="43"/>
      <c r="X1445" s="43"/>
      <c r="Y1445" s="43"/>
    </row>
    <row r="1446" ht="13.2" spans="1:25">
      <c r="A1446" s="42">
        <v>1445</v>
      </c>
      <c r="B1446" s="43" t="s">
        <v>1774</v>
      </c>
      <c r="C1446" s="43"/>
      <c r="D1446" s="43"/>
      <c r="E1446" s="43"/>
      <c r="F1446" s="43"/>
      <c r="G1446" s="43"/>
      <c r="H1446" s="43"/>
      <c r="I1446" s="43"/>
      <c r="J1446" s="43"/>
      <c r="K1446" s="43"/>
      <c r="L1446" s="43"/>
      <c r="M1446" s="43"/>
      <c r="N1446" s="43"/>
      <c r="O1446" s="43"/>
      <c r="P1446" s="43"/>
      <c r="Q1446" s="43"/>
      <c r="R1446" s="43"/>
      <c r="S1446" s="43"/>
      <c r="T1446" s="43"/>
      <c r="U1446" s="43"/>
      <c r="V1446" s="43"/>
      <c r="W1446" s="43"/>
      <c r="X1446" s="43"/>
      <c r="Y1446" s="43"/>
    </row>
    <row r="1447" ht="13.2" spans="1:25">
      <c r="A1447" s="42">
        <v>1446</v>
      </c>
      <c r="B1447" s="42" t="s">
        <v>1775</v>
      </c>
      <c r="C1447" s="43"/>
      <c r="D1447" s="43"/>
      <c r="E1447" s="43"/>
      <c r="F1447" s="43"/>
      <c r="G1447" s="43"/>
      <c r="H1447" s="43"/>
      <c r="I1447" s="43"/>
      <c r="J1447" s="43"/>
      <c r="K1447" s="43"/>
      <c r="L1447" s="43"/>
      <c r="M1447" s="43"/>
      <c r="N1447" s="43"/>
      <c r="O1447" s="43"/>
      <c r="P1447" s="43"/>
      <c r="Q1447" s="43"/>
      <c r="R1447" s="43"/>
      <c r="S1447" s="43"/>
      <c r="T1447" s="43"/>
      <c r="U1447" s="43"/>
      <c r="V1447" s="43"/>
      <c r="W1447" s="43"/>
      <c r="X1447" s="43"/>
      <c r="Y1447" s="43"/>
    </row>
    <row r="1448" ht="13.2" spans="1:25">
      <c r="A1448" s="42">
        <v>1447</v>
      </c>
      <c r="B1448" s="43" t="s">
        <v>1776</v>
      </c>
      <c r="C1448" s="43"/>
      <c r="D1448" s="43"/>
      <c r="E1448" s="43"/>
      <c r="F1448" s="43"/>
      <c r="G1448" s="43"/>
      <c r="H1448" s="43"/>
      <c r="I1448" s="43"/>
      <c r="J1448" s="43"/>
      <c r="K1448" s="43"/>
      <c r="L1448" s="43"/>
      <c r="M1448" s="43"/>
      <c r="N1448" s="43"/>
      <c r="O1448" s="43"/>
      <c r="P1448" s="43"/>
      <c r="Q1448" s="43"/>
      <c r="R1448" s="43"/>
      <c r="S1448" s="43"/>
      <c r="T1448" s="43"/>
      <c r="U1448" s="43"/>
      <c r="V1448" s="43"/>
      <c r="W1448" s="43"/>
      <c r="X1448" s="43"/>
      <c r="Y1448" s="43"/>
    </row>
    <row r="1449" ht="13.2" spans="1:25">
      <c r="A1449" s="42">
        <v>1448</v>
      </c>
      <c r="B1449" s="43" t="s">
        <v>1777</v>
      </c>
      <c r="C1449" s="43"/>
      <c r="D1449" s="43"/>
      <c r="E1449" s="43"/>
      <c r="F1449" s="43"/>
      <c r="G1449" s="43"/>
      <c r="H1449" s="43"/>
      <c r="I1449" s="43"/>
      <c r="J1449" s="43"/>
      <c r="K1449" s="43"/>
      <c r="L1449" s="43"/>
      <c r="M1449" s="43"/>
      <c r="N1449" s="43"/>
      <c r="O1449" s="43"/>
      <c r="P1449" s="43"/>
      <c r="Q1449" s="43"/>
      <c r="R1449" s="43"/>
      <c r="S1449" s="43"/>
      <c r="T1449" s="43"/>
      <c r="U1449" s="43"/>
      <c r="V1449" s="43"/>
      <c r="W1449" s="43"/>
      <c r="X1449" s="43"/>
      <c r="Y1449" s="43"/>
    </row>
    <row r="1450" ht="13.2" spans="1:25">
      <c r="A1450" s="42">
        <v>1449</v>
      </c>
      <c r="B1450" s="43" t="s">
        <v>1778</v>
      </c>
      <c r="C1450" s="43"/>
      <c r="D1450" s="43"/>
      <c r="E1450" s="43"/>
      <c r="F1450" s="43"/>
      <c r="G1450" s="43"/>
      <c r="H1450" s="43"/>
      <c r="I1450" s="43"/>
      <c r="J1450" s="43"/>
      <c r="K1450" s="43"/>
      <c r="L1450" s="43"/>
      <c r="M1450" s="43"/>
      <c r="N1450" s="43"/>
      <c r="O1450" s="43"/>
      <c r="P1450" s="43"/>
      <c r="Q1450" s="43"/>
      <c r="R1450" s="43"/>
      <c r="S1450" s="43"/>
      <c r="T1450" s="43"/>
      <c r="U1450" s="43"/>
      <c r="V1450" s="43"/>
      <c r="W1450" s="43"/>
      <c r="X1450" s="43"/>
      <c r="Y1450" s="43"/>
    </row>
    <row r="1451" ht="13.2" spans="1:25">
      <c r="A1451" s="42">
        <v>1450</v>
      </c>
      <c r="B1451" s="43" t="s">
        <v>1779</v>
      </c>
      <c r="C1451" s="43"/>
      <c r="D1451" s="43"/>
      <c r="E1451" s="43"/>
      <c r="F1451" s="43"/>
      <c r="G1451" s="43"/>
      <c r="H1451" s="43"/>
      <c r="I1451" s="43"/>
      <c r="J1451" s="43"/>
      <c r="K1451" s="43"/>
      <c r="L1451" s="43"/>
      <c r="M1451" s="43"/>
      <c r="N1451" s="43"/>
      <c r="O1451" s="43"/>
      <c r="P1451" s="43"/>
      <c r="Q1451" s="43"/>
      <c r="R1451" s="43"/>
      <c r="S1451" s="43"/>
      <c r="T1451" s="43"/>
      <c r="U1451" s="43"/>
      <c r="V1451" s="43"/>
      <c r="W1451" s="43"/>
      <c r="X1451" s="43"/>
      <c r="Y1451" s="43"/>
    </row>
    <row r="1452" ht="13.2" spans="1:25">
      <c r="A1452" s="42">
        <v>1451</v>
      </c>
      <c r="B1452" s="43" t="s">
        <v>1780</v>
      </c>
      <c r="C1452" s="43"/>
      <c r="D1452" s="43"/>
      <c r="E1452" s="43"/>
      <c r="F1452" s="43"/>
      <c r="G1452" s="43"/>
      <c r="H1452" s="43"/>
      <c r="I1452" s="43"/>
      <c r="J1452" s="43"/>
      <c r="K1452" s="43"/>
      <c r="L1452" s="43"/>
      <c r="M1452" s="43"/>
      <c r="N1452" s="43"/>
      <c r="O1452" s="43"/>
      <c r="P1452" s="43"/>
      <c r="Q1452" s="43"/>
      <c r="R1452" s="43"/>
      <c r="S1452" s="43"/>
      <c r="T1452" s="43"/>
      <c r="U1452" s="43"/>
      <c r="V1452" s="43"/>
      <c r="W1452" s="43"/>
      <c r="X1452" s="43"/>
      <c r="Y1452" s="43"/>
    </row>
    <row r="1453" ht="13.2" spans="1:25">
      <c r="A1453" s="42">
        <v>1452</v>
      </c>
      <c r="B1453" s="43" t="s">
        <v>1781</v>
      </c>
      <c r="C1453" s="43"/>
      <c r="D1453" s="43"/>
      <c r="E1453" s="43"/>
      <c r="F1453" s="43"/>
      <c r="G1453" s="43"/>
      <c r="H1453" s="43"/>
      <c r="I1453" s="43"/>
      <c r="J1453" s="43"/>
      <c r="K1453" s="43"/>
      <c r="L1453" s="43"/>
      <c r="M1453" s="43"/>
      <c r="N1453" s="43"/>
      <c r="O1453" s="43"/>
      <c r="P1453" s="43"/>
      <c r="Q1453" s="43"/>
      <c r="R1453" s="43"/>
      <c r="S1453" s="43"/>
      <c r="T1453" s="43"/>
      <c r="U1453" s="43"/>
      <c r="V1453" s="43"/>
      <c r="W1453" s="43"/>
      <c r="X1453" s="43"/>
      <c r="Y1453" s="43"/>
    </row>
    <row r="1454" ht="13.2" spans="1:25">
      <c r="A1454" s="42">
        <v>1453</v>
      </c>
      <c r="B1454" s="43" t="s">
        <v>1782</v>
      </c>
      <c r="C1454" s="43"/>
      <c r="D1454" s="43"/>
      <c r="E1454" s="43"/>
      <c r="F1454" s="43"/>
      <c r="G1454" s="43"/>
      <c r="H1454" s="43"/>
      <c r="I1454" s="43"/>
      <c r="J1454" s="43"/>
      <c r="K1454" s="43"/>
      <c r="L1454" s="43"/>
      <c r="M1454" s="43"/>
      <c r="N1454" s="43"/>
      <c r="O1454" s="43"/>
      <c r="P1454" s="43"/>
      <c r="Q1454" s="43"/>
      <c r="R1454" s="43"/>
      <c r="S1454" s="43"/>
      <c r="T1454" s="43"/>
      <c r="U1454" s="43"/>
      <c r="V1454" s="43"/>
      <c r="W1454" s="43"/>
      <c r="X1454" s="43"/>
      <c r="Y1454" s="43"/>
    </row>
    <row r="1455" ht="13.2" spans="1:25">
      <c r="A1455" s="42">
        <v>1454</v>
      </c>
      <c r="B1455" s="43" t="s">
        <v>1783</v>
      </c>
      <c r="C1455" s="43"/>
      <c r="D1455" s="43"/>
      <c r="E1455" s="43"/>
      <c r="F1455" s="43"/>
      <c r="G1455" s="43"/>
      <c r="H1455" s="43"/>
      <c r="I1455" s="43"/>
      <c r="J1455" s="43"/>
      <c r="K1455" s="43"/>
      <c r="L1455" s="43"/>
      <c r="M1455" s="43"/>
      <c r="N1455" s="43"/>
      <c r="O1455" s="43"/>
      <c r="P1455" s="43"/>
      <c r="Q1455" s="43"/>
      <c r="R1455" s="43"/>
      <c r="S1455" s="43"/>
      <c r="T1455" s="43"/>
      <c r="U1455" s="43"/>
      <c r="V1455" s="43"/>
      <c r="W1455" s="43"/>
      <c r="X1455" s="43"/>
      <c r="Y1455" s="43"/>
    </row>
    <row r="1456" ht="13.2" spans="1:25">
      <c r="A1456" s="42">
        <v>1455</v>
      </c>
      <c r="B1456" s="43" t="s">
        <v>1784</v>
      </c>
      <c r="C1456" s="43"/>
      <c r="D1456" s="43"/>
      <c r="E1456" s="43"/>
      <c r="F1456" s="43"/>
      <c r="G1456" s="43"/>
      <c r="H1456" s="43"/>
      <c r="I1456" s="43"/>
      <c r="J1456" s="43"/>
      <c r="K1456" s="43"/>
      <c r="L1456" s="43"/>
      <c r="M1456" s="43"/>
      <c r="N1456" s="43"/>
      <c r="O1456" s="43"/>
      <c r="P1456" s="43"/>
      <c r="Q1456" s="43"/>
      <c r="R1456" s="43"/>
      <c r="S1456" s="43"/>
      <c r="T1456" s="43"/>
      <c r="U1456" s="43"/>
      <c r="V1456" s="43"/>
      <c r="W1456" s="43"/>
      <c r="X1456" s="43"/>
      <c r="Y1456" s="43"/>
    </row>
    <row r="1457" ht="13.2" spans="1:25">
      <c r="A1457" s="42">
        <v>1456</v>
      </c>
      <c r="B1457" s="43" t="s">
        <v>1785</v>
      </c>
      <c r="C1457" s="43"/>
      <c r="D1457" s="43"/>
      <c r="E1457" s="43"/>
      <c r="F1457" s="43"/>
      <c r="G1457" s="43"/>
      <c r="H1457" s="43"/>
      <c r="I1457" s="43"/>
      <c r="J1457" s="43"/>
      <c r="K1457" s="43"/>
      <c r="L1457" s="43"/>
      <c r="M1457" s="43"/>
      <c r="N1457" s="43"/>
      <c r="O1457" s="43"/>
      <c r="P1457" s="43"/>
      <c r="Q1457" s="43"/>
      <c r="R1457" s="43"/>
      <c r="S1457" s="43"/>
      <c r="T1457" s="43"/>
      <c r="U1457" s="43"/>
      <c r="V1457" s="43"/>
      <c r="W1457" s="43"/>
      <c r="X1457" s="43"/>
      <c r="Y1457" s="43"/>
    </row>
    <row r="1458" ht="13.2" spans="1:25">
      <c r="A1458" s="42">
        <v>1457</v>
      </c>
      <c r="B1458" s="43" t="s">
        <v>1786</v>
      </c>
      <c r="C1458" s="43"/>
      <c r="D1458" s="43"/>
      <c r="E1458" s="43"/>
      <c r="F1458" s="43"/>
      <c r="G1458" s="43"/>
      <c r="H1458" s="43"/>
      <c r="I1458" s="43"/>
      <c r="J1458" s="43"/>
      <c r="K1458" s="43"/>
      <c r="L1458" s="43"/>
      <c r="M1458" s="43"/>
      <c r="N1458" s="43"/>
      <c r="O1458" s="43"/>
      <c r="P1458" s="43"/>
      <c r="Q1458" s="43"/>
      <c r="R1458" s="43"/>
      <c r="S1458" s="43"/>
      <c r="T1458" s="43"/>
      <c r="U1458" s="43"/>
      <c r="V1458" s="43"/>
      <c r="W1458" s="43"/>
      <c r="X1458" s="43"/>
      <c r="Y1458" s="43"/>
    </row>
    <row r="1459" ht="13.2" spans="1:25">
      <c r="A1459" s="42">
        <v>1458</v>
      </c>
      <c r="B1459" s="43" t="s">
        <v>1787</v>
      </c>
      <c r="C1459" s="43"/>
      <c r="D1459" s="43"/>
      <c r="E1459" s="43"/>
      <c r="F1459" s="43"/>
      <c r="G1459" s="43"/>
      <c r="H1459" s="43"/>
      <c r="I1459" s="43"/>
      <c r="J1459" s="43"/>
      <c r="K1459" s="43"/>
      <c r="L1459" s="43"/>
      <c r="M1459" s="43"/>
      <c r="N1459" s="43"/>
      <c r="O1459" s="43"/>
      <c r="P1459" s="43"/>
      <c r="Q1459" s="43"/>
      <c r="R1459" s="43"/>
      <c r="S1459" s="43"/>
      <c r="T1459" s="43"/>
      <c r="U1459" s="43"/>
      <c r="V1459" s="43"/>
      <c r="W1459" s="43"/>
      <c r="X1459" s="43"/>
      <c r="Y1459" s="43"/>
    </row>
    <row r="1460" ht="13.2" spans="1:25">
      <c r="A1460" s="42">
        <v>1459</v>
      </c>
      <c r="B1460" s="42" t="s">
        <v>1788</v>
      </c>
      <c r="C1460" s="43"/>
      <c r="D1460" s="43"/>
      <c r="E1460" s="43"/>
      <c r="F1460" s="43"/>
      <c r="G1460" s="43"/>
      <c r="H1460" s="43"/>
      <c r="I1460" s="43"/>
      <c r="J1460" s="43"/>
      <c r="K1460" s="43"/>
      <c r="L1460" s="43"/>
      <c r="M1460" s="43"/>
      <c r="N1460" s="43"/>
      <c r="O1460" s="43"/>
      <c r="P1460" s="43"/>
      <c r="Q1460" s="43"/>
      <c r="R1460" s="43"/>
      <c r="S1460" s="43"/>
      <c r="T1460" s="43"/>
      <c r="U1460" s="43"/>
      <c r="V1460" s="43"/>
      <c r="W1460" s="43"/>
      <c r="X1460" s="43"/>
      <c r="Y1460" s="43"/>
    </row>
    <row r="1461" ht="13.2" spans="1:25">
      <c r="A1461" s="42">
        <v>1460</v>
      </c>
      <c r="B1461" s="42" t="s">
        <v>1789</v>
      </c>
      <c r="C1461" s="43"/>
      <c r="D1461" s="43"/>
      <c r="E1461" s="43"/>
      <c r="F1461" s="43"/>
      <c r="G1461" s="43"/>
      <c r="H1461" s="43"/>
      <c r="I1461" s="43"/>
      <c r="J1461" s="43"/>
      <c r="K1461" s="43"/>
      <c r="L1461" s="43"/>
      <c r="M1461" s="43"/>
      <c r="N1461" s="43"/>
      <c r="O1461" s="43"/>
      <c r="P1461" s="43"/>
      <c r="Q1461" s="43"/>
      <c r="R1461" s="43"/>
      <c r="S1461" s="43"/>
      <c r="T1461" s="43"/>
      <c r="U1461" s="43"/>
      <c r="V1461" s="43"/>
      <c r="W1461" s="43"/>
      <c r="X1461" s="43"/>
      <c r="Y1461" s="43"/>
    </row>
    <row r="1462" ht="13.2" spans="1:25">
      <c r="A1462" s="42">
        <v>1461</v>
      </c>
      <c r="B1462" s="42" t="s">
        <v>1790</v>
      </c>
      <c r="C1462" s="43"/>
      <c r="D1462" s="43"/>
      <c r="E1462" s="43"/>
      <c r="F1462" s="43"/>
      <c r="G1462" s="43"/>
      <c r="H1462" s="43"/>
      <c r="I1462" s="43"/>
      <c r="J1462" s="43"/>
      <c r="K1462" s="43"/>
      <c r="L1462" s="43"/>
      <c r="M1462" s="43"/>
      <c r="N1462" s="43"/>
      <c r="O1462" s="43"/>
      <c r="P1462" s="43"/>
      <c r="Q1462" s="43"/>
      <c r="R1462" s="43"/>
      <c r="S1462" s="43"/>
      <c r="T1462" s="43"/>
      <c r="U1462" s="43"/>
      <c r="V1462" s="43"/>
      <c r="W1462" s="43"/>
      <c r="X1462" s="43"/>
      <c r="Y1462" s="43"/>
    </row>
    <row r="1463" ht="13.2" spans="1:25">
      <c r="A1463" s="42">
        <v>1462</v>
      </c>
      <c r="B1463" s="43" t="s">
        <v>1791</v>
      </c>
      <c r="C1463" s="43"/>
      <c r="D1463" s="43"/>
      <c r="E1463" s="43"/>
      <c r="F1463" s="43"/>
      <c r="G1463" s="43"/>
      <c r="H1463" s="43"/>
      <c r="I1463" s="43"/>
      <c r="J1463" s="43"/>
      <c r="K1463" s="43"/>
      <c r="L1463" s="43"/>
      <c r="M1463" s="43"/>
      <c r="N1463" s="43"/>
      <c r="O1463" s="43"/>
      <c r="P1463" s="43"/>
      <c r="Q1463" s="43"/>
      <c r="R1463" s="43"/>
      <c r="S1463" s="43"/>
      <c r="T1463" s="43"/>
      <c r="U1463" s="43"/>
      <c r="V1463" s="43"/>
      <c r="W1463" s="43"/>
      <c r="X1463" s="43"/>
      <c r="Y1463" s="43"/>
    </row>
    <row r="1464" ht="13.2" spans="1:25">
      <c r="A1464" s="42">
        <v>1463</v>
      </c>
      <c r="B1464" s="43" t="s">
        <v>1792</v>
      </c>
      <c r="C1464" s="43"/>
      <c r="D1464" s="43"/>
      <c r="E1464" s="43"/>
      <c r="F1464" s="43"/>
      <c r="G1464" s="43"/>
      <c r="H1464" s="43"/>
      <c r="I1464" s="43"/>
      <c r="J1464" s="43"/>
      <c r="K1464" s="43"/>
      <c r="L1464" s="43"/>
      <c r="M1464" s="43"/>
      <c r="N1464" s="43"/>
      <c r="O1464" s="43"/>
      <c r="P1464" s="43"/>
      <c r="Q1464" s="43"/>
      <c r="R1464" s="43"/>
      <c r="S1464" s="43"/>
      <c r="T1464" s="43"/>
      <c r="U1464" s="43"/>
      <c r="V1464" s="43"/>
      <c r="W1464" s="43"/>
      <c r="X1464" s="43"/>
      <c r="Y1464" s="43"/>
    </row>
    <row r="1465" ht="13.2" spans="1:25">
      <c r="A1465" s="42">
        <v>1464</v>
      </c>
      <c r="B1465" s="43" t="s">
        <v>1793</v>
      </c>
      <c r="C1465" s="43"/>
      <c r="D1465" s="43"/>
      <c r="E1465" s="43"/>
      <c r="F1465" s="43"/>
      <c r="G1465" s="43"/>
      <c r="H1465" s="43"/>
      <c r="I1465" s="43"/>
      <c r="J1465" s="43"/>
      <c r="K1465" s="43"/>
      <c r="L1465" s="43"/>
      <c r="M1465" s="43"/>
      <c r="N1465" s="43"/>
      <c r="O1465" s="43"/>
      <c r="P1465" s="43"/>
      <c r="Q1465" s="43"/>
      <c r="R1465" s="43"/>
      <c r="S1465" s="43"/>
      <c r="T1465" s="43"/>
      <c r="U1465" s="43"/>
      <c r="V1465" s="43"/>
      <c r="W1465" s="43"/>
      <c r="X1465" s="43"/>
      <c r="Y1465" s="43"/>
    </row>
    <row r="1466" ht="13.2" spans="1:25">
      <c r="A1466" s="42">
        <v>1465</v>
      </c>
      <c r="B1466" s="43" t="s">
        <v>1794</v>
      </c>
      <c r="C1466" s="43"/>
      <c r="D1466" s="43"/>
      <c r="E1466" s="43"/>
      <c r="F1466" s="43"/>
      <c r="G1466" s="43"/>
      <c r="H1466" s="43"/>
      <c r="I1466" s="43"/>
      <c r="J1466" s="43"/>
      <c r="K1466" s="43"/>
      <c r="L1466" s="43"/>
      <c r="M1466" s="43"/>
      <c r="N1466" s="43"/>
      <c r="O1466" s="43"/>
      <c r="P1466" s="43"/>
      <c r="Q1466" s="43"/>
      <c r="R1466" s="43"/>
      <c r="S1466" s="43"/>
      <c r="T1466" s="43"/>
      <c r="U1466" s="43"/>
      <c r="V1466" s="43"/>
      <c r="W1466" s="43"/>
      <c r="X1466" s="43"/>
      <c r="Y1466" s="43"/>
    </row>
    <row r="1467" ht="13.2" spans="1:25">
      <c r="A1467" s="42">
        <v>1466</v>
      </c>
      <c r="B1467" s="43" t="s">
        <v>1795</v>
      </c>
      <c r="C1467" s="43"/>
      <c r="D1467" s="43"/>
      <c r="E1467" s="43"/>
      <c r="F1467" s="43"/>
      <c r="G1467" s="43"/>
      <c r="H1467" s="43"/>
      <c r="I1467" s="43"/>
      <c r="J1467" s="43"/>
      <c r="K1467" s="43"/>
      <c r="L1467" s="43"/>
      <c r="M1467" s="43"/>
      <c r="N1467" s="43"/>
      <c r="O1467" s="43"/>
      <c r="P1467" s="43"/>
      <c r="Q1467" s="43"/>
      <c r="R1467" s="43"/>
      <c r="S1467" s="43"/>
      <c r="T1467" s="43"/>
      <c r="U1467" s="43"/>
      <c r="V1467" s="43"/>
      <c r="W1467" s="43"/>
      <c r="X1467" s="43"/>
      <c r="Y1467" s="43"/>
    </row>
    <row r="1468" ht="13.2" spans="1:25">
      <c r="A1468" s="42">
        <v>1467</v>
      </c>
      <c r="B1468" s="43" t="s">
        <v>1796</v>
      </c>
      <c r="C1468" s="43"/>
      <c r="D1468" s="43"/>
      <c r="E1468" s="43"/>
      <c r="F1468" s="43"/>
      <c r="G1468" s="43"/>
      <c r="H1468" s="43"/>
      <c r="I1468" s="43"/>
      <c r="J1468" s="43"/>
      <c r="K1468" s="43"/>
      <c r="L1468" s="43"/>
      <c r="M1468" s="43"/>
      <c r="N1468" s="43"/>
      <c r="O1468" s="43"/>
      <c r="P1468" s="43"/>
      <c r="Q1468" s="43"/>
      <c r="R1468" s="43"/>
      <c r="S1468" s="43"/>
      <c r="T1468" s="43"/>
      <c r="U1468" s="43"/>
      <c r="V1468" s="43"/>
      <c r="W1468" s="43"/>
      <c r="X1468" s="43"/>
      <c r="Y1468" s="43"/>
    </row>
    <row r="1469" ht="13.2" spans="1:25">
      <c r="A1469" s="42">
        <v>1468</v>
      </c>
      <c r="B1469" s="42" t="s">
        <v>1797</v>
      </c>
      <c r="C1469" s="43"/>
      <c r="D1469" s="43"/>
      <c r="E1469" s="43"/>
      <c r="F1469" s="43"/>
      <c r="G1469" s="43"/>
      <c r="H1469" s="43"/>
      <c r="I1469" s="43"/>
      <c r="J1469" s="43"/>
      <c r="K1469" s="43"/>
      <c r="L1469" s="43"/>
      <c r="M1469" s="43"/>
      <c r="N1469" s="43"/>
      <c r="O1469" s="43"/>
      <c r="P1469" s="43"/>
      <c r="Q1469" s="43"/>
      <c r="R1469" s="43"/>
      <c r="S1469" s="43"/>
      <c r="T1469" s="43"/>
      <c r="U1469" s="43"/>
      <c r="V1469" s="43"/>
      <c r="W1469" s="43"/>
      <c r="X1469" s="43"/>
      <c r="Y1469" s="43"/>
    </row>
    <row r="1470" ht="13.2" spans="1:25">
      <c r="A1470" s="42">
        <v>1469</v>
      </c>
      <c r="B1470" s="43" t="s">
        <v>1798</v>
      </c>
      <c r="C1470" s="43"/>
      <c r="D1470" s="43"/>
      <c r="E1470" s="43"/>
      <c r="F1470" s="43"/>
      <c r="G1470" s="43"/>
      <c r="H1470" s="43"/>
      <c r="I1470" s="43"/>
      <c r="J1470" s="43"/>
      <c r="K1470" s="43"/>
      <c r="L1470" s="43"/>
      <c r="M1470" s="43"/>
      <c r="N1470" s="43"/>
      <c r="O1470" s="43"/>
      <c r="P1470" s="43"/>
      <c r="Q1470" s="43"/>
      <c r="R1470" s="43"/>
      <c r="S1470" s="43"/>
      <c r="T1470" s="43"/>
      <c r="U1470" s="43"/>
      <c r="V1470" s="43"/>
      <c r="W1470" s="43"/>
      <c r="X1470" s="43"/>
      <c r="Y1470" s="43"/>
    </row>
    <row r="1471" ht="13.2" spans="1:25">
      <c r="A1471" s="42">
        <v>1470</v>
      </c>
      <c r="B1471" s="42" t="s">
        <v>1799</v>
      </c>
      <c r="C1471" s="43"/>
      <c r="D1471" s="43"/>
      <c r="E1471" s="43"/>
      <c r="F1471" s="43"/>
      <c r="G1471" s="43"/>
      <c r="H1471" s="43"/>
      <c r="I1471" s="43"/>
      <c r="J1471" s="43"/>
      <c r="K1471" s="43"/>
      <c r="L1471" s="43"/>
      <c r="M1471" s="43"/>
      <c r="N1471" s="43"/>
      <c r="O1471" s="43"/>
      <c r="P1471" s="43"/>
      <c r="Q1471" s="43"/>
      <c r="R1471" s="43"/>
      <c r="S1471" s="43"/>
      <c r="T1471" s="43"/>
      <c r="U1471" s="43"/>
      <c r="V1471" s="43"/>
      <c r="W1471" s="43"/>
      <c r="X1471" s="43"/>
      <c r="Y1471" s="43"/>
    </row>
    <row r="1472" ht="13.2" spans="1:25">
      <c r="A1472" s="42">
        <v>1471</v>
      </c>
      <c r="B1472" s="42" t="s">
        <v>1800</v>
      </c>
      <c r="C1472" s="43"/>
      <c r="D1472" s="43"/>
      <c r="E1472" s="43"/>
      <c r="F1472" s="43"/>
      <c r="G1472" s="43"/>
      <c r="H1472" s="43"/>
      <c r="I1472" s="43"/>
      <c r="J1472" s="43"/>
      <c r="K1472" s="43"/>
      <c r="L1472" s="43"/>
      <c r="M1472" s="43"/>
      <c r="N1472" s="43"/>
      <c r="O1472" s="43"/>
      <c r="P1472" s="43"/>
      <c r="Q1472" s="43"/>
      <c r="R1472" s="43"/>
      <c r="S1472" s="43"/>
      <c r="T1472" s="43"/>
      <c r="U1472" s="43"/>
      <c r="V1472" s="43"/>
      <c r="W1472" s="43"/>
      <c r="X1472" s="43"/>
      <c r="Y1472" s="43"/>
    </row>
    <row r="1473" ht="13.2" spans="1:25">
      <c r="A1473" s="42">
        <v>1472</v>
      </c>
      <c r="B1473" s="42" t="s">
        <v>1801</v>
      </c>
      <c r="C1473" s="43"/>
      <c r="D1473" s="43"/>
      <c r="E1473" s="43"/>
      <c r="F1473" s="43"/>
      <c r="G1473" s="43"/>
      <c r="H1473" s="43"/>
      <c r="I1473" s="43"/>
      <c r="J1473" s="43"/>
      <c r="K1473" s="43"/>
      <c r="L1473" s="43"/>
      <c r="M1473" s="43"/>
      <c r="N1473" s="43"/>
      <c r="O1473" s="43"/>
      <c r="P1473" s="43"/>
      <c r="Q1473" s="43"/>
      <c r="R1473" s="43"/>
      <c r="S1473" s="43"/>
      <c r="T1473" s="43"/>
      <c r="U1473" s="43"/>
      <c r="V1473" s="43"/>
      <c r="W1473" s="43"/>
      <c r="X1473" s="43"/>
      <c r="Y1473" s="43"/>
    </row>
    <row r="1474" ht="13.2" spans="1:25">
      <c r="A1474" s="42">
        <v>1473</v>
      </c>
      <c r="B1474" s="43" t="s">
        <v>1802</v>
      </c>
      <c r="C1474" s="43"/>
      <c r="D1474" s="43"/>
      <c r="E1474" s="43"/>
      <c r="F1474" s="43"/>
      <c r="G1474" s="43"/>
      <c r="H1474" s="43"/>
      <c r="I1474" s="43"/>
      <c r="J1474" s="43"/>
      <c r="K1474" s="43"/>
      <c r="L1474" s="43"/>
      <c r="M1474" s="43"/>
      <c r="N1474" s="43"/>
      <c r="O1474" s="43"/>
      <c r="P1474" s="43"/>
      <c r="Q1474" s="43"/>
      <c r="R1474" s="43"/>
      <c r="S1474" s="43"/>
      <c r="T1474" s="43"/>
      <c r="U1474" s="43"/>
      <c r="V1474" s="43"/>
      <c r="W1474" s="43"/>
      <c r="X1474" s="43"/>
      <c r="Y1474" s="43"/>
    </row>
    <row r="1475" ht="13.2" spans="1:25">
      <c r="A1475" s="42">
        <v>1474</v>
      </c>
      <c r="B1475" s="43" t="s">
        <v>1803</v>
      </c>
      <c r="C1475" s="43"/>
      <c r="D1475" s="43"/>
      <c r="E1475" s="43"/>
      <c r="F1475" s="43"/>
      <c r="G1475" s="43"/>
      <c r="H1475" s="43"/>
      <c r="I1475" s="43"/>
      <c r="J1475" s="43"/>
      <c r="K1475" s="43"/>
      <c r="L1475" s="43"/>
      <c r="M1475" s="43"/>
      <c r="N1475" s="43"/>
      <c r="O1475" s="43"/>
      <c r="P1475" s="43"/>
      <c r="Q1475" s="43"/>
      <c r="R1475" s="43"/>
      <c r="S1475" s="43"/>
      <c r="T1475" s="43"/>
      <c r="U1475" s="43"/>
      <c r="V1475" s="43"/>
      <c r="W1475" s="43"/>
      <c r="X1475" s="43"/>
      <c r="Y1475" s="43"/>
    </row>
    <row r="1476" ht="13.2" spans="1:25">
      <c r="A1476" s="42">
        <v>1475</v>
      </c>
      <c r="B1476" s="42" t="s">
        <v>1804</v>
      </c>
      <c r="C1476" s="43"/>
      <c r="D1476" s="43"/>
      <c r="E1476" s="43"/>
      <c r="F1476" s="43"/>
      <c r="G1476" s="43"/>
      <c r="H1476" s="43"/>
      <c r="I1476" s="43"/>
      <c r="J1476" s="43"/>
      <c r="K1476" s="43"/>
      <c r="L1476" s="43"/>
      <c r="M1476" s="43"/>
      <c r="N1476" s="43"/>
      <c r="O1476" s="43"/>
      <c r="P1476" s="43"/>
      <c r="Q1476" s="43"/>
      <c r="R1476" s="43"/>
      <c r="S1476" s="43"/>
      <c r="T1476" s="43"/>
      <c r="U1476" s="43"/>
      <c r="V1476" s="43"/>
      <c r="W1476" s="43"/>
      <c r="X1476" s="43"/>
      <c r="Y1476" s="43"/>
    </row>
    <row r="1477" ht="13.2" spans="1:25">
      <c r="A1477" s="42">
        <v>1476</v>
      </c>
      <c r="B1477" s="43" t="s">
        <v>1805</v>
      </c>
      <c r="C1477" s="43"/>
      <c r="D1477" s="43"/>
      <c r="E1477" s="43"/>
      <c r="F1477" s="43"/>
      <c r="G1477" s="43"/>
      <c r="H1477" s="43"/>
      <c r="I1477" s="43"/>
      <c r="J1477" s="43"/>
      <c r="K1477" s="43"/>
      <c r="L1477" s="43"/>
      <c r="M1477" s="43"/>
      <c r="N1477" s="43"/>
      <c r="O1477" s="43"/>
      <c r="P1477" s="43"/>
      <c r="Q1477" s="43"/>
      <c r="R1477" s="43"/>
      <c r="S1477" s="43"/>
      <c r="T1477" s="43"/>
      <c r="U1477" s="43"/>
      <c r="V1477" s="43"/>
      <c r="W1477" s="43"/>
      <c r="X1477" s="43"/>
      <c r="Y1477" s="43"/>
    </row>
    <row r="1478" ht="13.2" spans="1:25">
      <c r="A1478" s="42">
        <v>1477</v>
      </c>
      <c r="B1478" s="43" t="s">
        <v>1806</v>
      </c>
      <c r="C1478" s="43"/>
      <c r="D1478" s="43"/>
      <c r="E1478" s="43"/>
      <c r="F1478" s="43"/>
      <c r="G1478" s="43"/>
      <c r="H1478" s="43"/>
      <c r="I1478" s="43"/>
      <c r="J1478" s="43"/>
      <c r="K1478" s="43"/>
      <c r="L1478" s="43"/>
      <c r="M1478" s="43"/>
      <c r="N1478" s="43"/>
      <c r="O1478" s="43"/>
      <c r="P1478" s="43"/>
      <c r="Q1478" s="43"/>
      <c r="R1478" s="43"/>
      <c r="S1478" s="43"/>
      <c r="T1478" s="43"/>
      <c r="U1478" s="43"/>
      <c r="V1478" s="43"/>
      <c r="W1478" s="43"/>
      <c r="X1478" s="43"/>
      <c r="Y1478" s="43"/>
    </row>
    <row r="1479" ht="13.2" spans="1:25">
      <c r="A1479" s="42">
        <v>1478</v>
      </c>
      <c r="B1479" s="43" t="s">
        <v>1807</v>
      </c>
      <c r="C1479" s="43"/>
      <c r="D1479" s="43"/>
      <c r="E1479" s="43"/>
      <c r="F1479" s="43"/>
      <c r="G1479" s="43"/>
      <c r="H1479" s="43"/>
      <c r="I1479" s="43"/>
      <c r="J1479" s="43"/>
      <c r="K1479" s="43"/>
      <c r="L1479" s="43"/>
      <c r="M1479" s="43"/>
      <c r="N1479" s="43"/>
      <c r="O1479" s="43"/>
      <c r="P1479" s="43"/>
      <c r="Q1479" s="43"/>
      <c r="R1479" s="43"/>
      <c r="S1479" s="43"/>
      <c r="T1479" s="43"/>
      <c r="U1479" s="43"/>
      <c r="V1479" s="43"/>
      <c r="W1479" s="43"/>
      <c r="X1479" s="43"/>
      <c r="Y1479" s="43"/>
    </row>
    <row r="1480" ht="13.2" spans="1:25">
      <c r="A1480" s="42">
        <v>1479</v>
      </c>
      <c r="B1480" s="43" t="s">
        <v>1808</v>
      </c>
      <c r="C1480" s="43"/>
      <c r="D1480" s="43"/>
      <c r="E1480" s="43"/>
      <c r="F1480" s="43"/>
      <c r="G1480" s="43"/>
      <c r="H1480" s="43"/>
      <c r="I1480" s="43"/>
      <c r="J1480" s="43"/>
      <c r="K1480" s="43"/>
      <c r="L1480" s="43"/>
      <c r="M1480" s="43"/>
      <c r="N1480" s="43"/>
      <c r="O1480" s="43"/>
      <c r="P1480" s="43"/>
      <c r="Q1480" s="43"/>
      <c r="R1480" s="43"/>
      <c r="S1480" s="43"/>
      <c r="T1480" s="43"/>
      <c r="U1480" s="43"/>
      <c r="V1480" s="43"/>
      <c r="W1480" s="43"/>
      <c r="X1480" s="43"/>
      <c r="Y1480" s="43"/>
    </row>
    <row r="1481" ht="13.2" spans="1:25">
      <c r="A1481" s="42">
        <v>1480</v>
      </c>
      <c r="B1481" s="43" t="s">
        <v>1809</v>
      </c>
      <c r="C1481" s="43"/>
      <c r="D1481" s="43"/>
      <c r="E1481" s="43"/>
      <c r="F1481" s="43"/>
      <c r="G1481" s="43"/>
      <c r="H1481" s="43"/>
      <c r="I1481" s="43"/>
      <c r="J1481" s="43"/>
      <c r="K1481" s="43"/>
      <c r="L1481" s="43"/>
      <c r="M1481" s="43"/>
      <c r="N1481" s="43"/>
      <c r="O1481" s="43"/>
      <c r="P1481" s="43"/>
      <c r="Q1481" s="43"/>
      <c r="R1481" s="43"/>
      <c r="S1481" s="43"/>
      <c r="T1481" s="43"/>
      <c r="U1481" s="43"/>
      <c r="V1481" s="43"/>
      <c r="W1481" s="43"/>
      <c r="X1481" s="43"/>
      <c r="Y1481" s="43"/>
    </row>
    <row r="1482" ht="13.2" spans="1:25">
      <c r="A1482" s="42">
        <v>1481</v>
      </c>
      <c r="B1482" s="43" t="s">
        <v>1810</v>
      </c>
      <c r="C1482" s="43"/>
      <c r="D1482" s="43"/>
      <c r="E1482" s="43"/>
      <c r="F1482" s="43"/>
      <c r="G1482" s="43"/>
      <c r="H1482" s="43"/>
      <c r="I1482" s="43"/>
      <c r="J1482" s="43"/>
      <c r="K1482" s="43"/>
      <c r="L1482" s="43"/>
      <c r="M1482" s="43"/>
      <c r="N1482" s="43"/>
      <c r="O1482" s="43"/>
      <c r="P1482" s="43"/>
      <c r="Q1482" s="43"/>
      <c r="R1482" s="43"/>
      <c r="S1482" s="43"/>
      <c r="T1482" s="43"/>
      <c r="U1482" s="43"/>
      <c r="V1482" s="43"/>
      <c r="W1482" s="43"/>
      <c r="X1482" s="43"/>
      <c r="Y1482" s="43"/>
    </row>
    <row r="1483" ht="13.2" spans="1:25">
      <c r="A1483" s="42">
        <v>1482</v>
      </c>
      <c r="B1483" s="43" t="s">
        <v>1811</v>
      </c>
      <c r="C1483" s="43"/>
      <c r="D1483" s="43"/>
      <c r="E1483" s="43"/>
      <c r="F1483" s="43"/>
      <c r="G1483" s="43"/>
      <c r="H1483" s="43"/>
      <c r="I1483" s="43"/>
      <c r="J1483" s="43"/>
      <c r="K1483" s="43"/>
      <c r="L1483" s="43"/>
      <c r="M1483" s="43"/>
      <c r="N1483" s="43"/>
      <c r="O1483" s="43"/>
      <c r="P1483" s="43"/>
      <c r="Q1483" s="43"/>
      <c r="R1483" s="43"/>
      <c r="S1483" s="43"/>
      <c r="T1483" s="43"/>
      <c r="U1483" s="43"/>
      <c r="V1483" s="43"/>
      <c r="W1483" s="43"/>
      <c r="X1483" s="43"/>
      <c r="Y1483" s="43"/>
    </row>
    <row r="1484" ht="13.2" spans="1:25">
      <c r="A1484" s="42">
        <v>1483</v>
      </c>
      <c r="B1484" s="43" t="s">
        <v>1812</v>
      </c>
      <c r="C1484" s="43"/>
      <c r="D1484" s="43"/>
      <c r="E1484" s="43"/>
      <c r="F1484" s="43"/>
      <c r="G1484" s="43"/>
      <c r="H1484" s="43"/>
      <c r="I1484" s="43"/>
      <c r="J1484" s="43"/>
      <c r="K1484" s="43"/>
      <c r="L1484" s="43"/>
      <c r="M1484" s="43"/>
      <c r="N1484" s="43"/>
      <c r="O1484" s="43"/>
      <c r="P1484" s="43"/>
      <c r="Q1484" s="43"/>
      <c r="R1484" s="43"/>
      <c r="S1484" s="43"/>
      <c r="T1484" s="43"/>
      <c r="U1484" s="43"/>
      <c r="V1484" s="43"/>
      <c r="W1484" s="43"/>
      <c r="X1484" s="43"/>
      <c r="Y1484" s="43"/>
    </row>
    <row r="1485" ht="13.2" spans="1:25">
      <c r="A1485" s="42">
        <v>1484</v>
      </c>
      <c r="B1485" s="43" t="s">
        <v>1813</v>
      </c>
      <c r="C1485" s="43"/>
      <c r="D1485" s="43"/>
      <c r="E1485" s="43"/>
      <c r="F1485" s="43"/>
      <c r="G1485" s="43"/>
      <c r="H1485" s="43"/>
      <c r="I1485" s="43"/>
      <c r="J1485" s="43"/>
      <c r="K1485" s="43"/>
      <c r="L1485" s="43"/>
      <c r="M1485" s="43"/>
      <c r="N1485" s="43"/>
      <c r="O1485" s="43"/>
      <c r="P1485" s="43"/>
      <c r="Q1485" s="43"/>
      <c r="R1485" s="43"/>
      <c r="S1485" s="43"/>
      <c r="T1485" s="43"/>
      <c r="U1485" s="43"/>
      <c r="V1485" s="43"/>
      <c r="W1485" s="43"/>
      <c r="X1485" s="43"/>
      <c r="Y1485" s="43"/>
    </row>
    <row r="1486" ht="13.2" spans="1:25">
      <c r="A1486" s="42">
        <v>1485</v>
      </c>
      <c r="B1486" s="43" t="s">
        <v>1814</v>
      </c>
      <c r="C1486" s="43"/>
      <c r="D1486" s="43"/>
      <c r="E1486" s="43"/>
      <c r="F1486" s="43"/>
      <c r="G1486" s="43"/>
      <c r="H1486" s="43"/>
      <c r="I1486" s="43"/>
      <c r="J1486" s="43"/>
      <c r="K1486" s="43"/>
      <c r="L1486" s="43"/>
      <c r="M1486" s="43"/>
      <c r="N1486" s="43"/>
      <c r="O1486" s="43"/>
      <c r="P1486" s="43"/>
      <c r="Q1486" s="43"/>
      <c r="R1486" s="43"/>
      <c r="S1486" s="43"/>
      <c r="T1486" s="43"/>
      <c r="U1486" s="43"/>
      <c r="V1486" s="43"/>
      <c r="W1486" s="43"/>
      <c r="X1486" s="43"/>
      <c r="Y1486" s="43"/>
    </row>
    <row r="1487" ht="13.2" spans="1:25">
      <c r="A1487" s="42">
        <v>1486</v>
      </c>
      <c r="B1487" s="43" t="s">
        <v>1815</v>
      </c>
      <c r="C1487" s="43"/>
      <c r="D1487" s="43"/>
      <c r="E1487" s="43"/>
      <c r="F1487" s="43"/>
      <c r="G1487" s="43"/>
      <c r="H1487" s="43"/>
      <c r="I1487" s="43"/>
      <c r="J1487" s="43"/>
      <c r="K1487" s="43"/>
      <c r="L1487" s="43"/>
      <c r="M1487" s="43"/>
      <c r="N1487" s="43"/>
      <c r="O1487" s="43"/>
      <c r="P1487" s="43"/>
      <c r="Q1487" s="43"/>
      <c r="R1487" s="43"/>
      <c r="S1487" s="43"/>
      <c r="T1487" s="43"/>
      <c r="U1487" s="43"/>
      <c r="V1487" s="43"/>
      <c r="W1487" s="43"/>
      <c r="X1487" s="43"/>
      <c r="Y1487" s="43"/>
    </row>
    <row r="1488" ht="13.2" spans="1:25">
      <c r="A1488" s="42">
        <v>1487</v>
      </c>
      <c r="B1488" s="43" t="s">
        <v>1816</v>
      </c>
      <c r="C1488" s="43"/>
      <c r="D1488" s="43"/>
      <c r="E1488" s="43"/>
      <c r="F1488" s="43"/>
      <c r="G1488" s="43"/>
      <c r="H1488" s="43"/>
      <c r="I1488" s="43"/>
      <c r="J1488" s="43"/>
      <c r="K1488" s="43"/>
      <c r="L1488" s="43"/>
      <c r="M1488" s="43"/>
      <c r="N1488" s="43"/>
      <c r="O1488" s="43"/>
      <c r="P1488" s="43"/>
      <c r="Q1488" s="43"/>
      <c r="R1488" s="43"/>
      <c r="S1488" s="43"/>
      <c r="T1488" s="43"/>
      <c r="U1488" s="43"/>
      <c r="V1488" s="43"/>
      <c r="W1488" s="43"/>
      <c r="X1488" s="43"/>
      <c r="Y1488" s="43"/>
    </row>
    <row r="1489" ht="13.2" spans="1:25">
      <c r="A1489" s="42">
        <v>1488</v>
      </c>
      <c r="B1489" s="43" t="s">
        <v>1817</v>
      </c>
      <c r="C1489" s="43"/>
      <c r="D1489" s="43"/>
      <c r="E1489" s="43"/>
      <c r="F1489" s="43"/>
      <c r="G1489" s="43"/>
      <c r="H1489" s="43"/>
      <c r="I1489" s="43"/>
      <c r="J1489" s="43"/>
      <c r="K1489" s="43"/>
      <c r="L1489" s="43"/>
      <c r="M1489" s="43"/>
      <c r="N1489" s="43"/>
      <c r="O1489" s="43"/>
      <c r="P1489" s="43"/>
      <c r="Q1489" s="43"/>
      <c r="R1489" s="43"/>
      <c r="S1489" s="43"/>
      <c r="T1489" s="43"/>
      <c r="U1489" s="43"/>
      <c r="V1489" s="43"/>
      <c r="W1489" s="43"/>
      <c r="X1489" s="43"/>
      <c r="Y1489" s="43"/>
    </row>
    <row r="1490" ht="13.2" spans="1:25">
      <c r="A1490" s="42">
        <v>1489</v>
      </c>
      <c r="B1490" s="43" t="s">
        <v>1818</v>
      </c>
      <c r="C1490" s="43"/>
      <c r="D1490" s="43"/>
      <c r="E1490" s="43"/>
      <c r="F1490" s="43"/>
      <c r="G1490" s="43"/>
      <c r="H1490" s="43"/>
      <c r="I1490" s="43"/>
      <c r="J1490" s="43"/>
      <c r="K1490" s="43"/>
      <c r="L1490" s="43"/>
      <c r="M1490" s="43"/>
      <c r="N1490" s="43"/>
      <c r="O1490" s="43"/>
      <c r="P1490" s="43"/>
      <c r="Q1490" s="43"/>
      <c r="R1490" s="43"/>
      <c r="S1490" s="43"/>
      <c r="T1490" s="43"/>
      <c r="U1490" s="43"/>
      <c r="V1490" s="43"/>
      <c r="W1490" s="43"/>
      <c r="X1490" s="43"/>
      <c r="Y1490" s="43"/>
    </row>
    <row r="1491" ht="13.2" spans="1:25">
      <c r="A1491" s="42">
        <v>1490</v>
      </c>
      <c r="B1491" s="43" t="s">
        <v>1819</v>
      </c>
      <c r="C1491" s="43"/>
      <c r="D1491" s="43"/>
      <c r="E1491" s="43"/>
      <c r="F1491" s="43"/>
      <c r="G1491" s="43"/>
      <c r="H1491" s="43"/>
      <c r="I1491" s="43"/>
      <c r="J1491" s="43"/>
      <c r="K1491" s="43"/>
      <c r="L1491" s="43"/>
      <c r="M1491" s="43"/>
      <c r="N1491" s="43"/>
      <c r="O1491" s="43"/>
      <c r="P1491" s="43"/>
      <c r="Q1491" s="43"/>
      <c r="R1491" s="43"/>
      <c r="S1491" s="43"/>
      <c r="T1491" s="43"/>
      <c r="U1491" s="43"/>
      <c r="V1491" s="43"/>
      <c r="W1491" s="43"/>
      <c r="X1491" s="43"/>
      <c r="Y1491" s="43"/>
    </row>
    <row r="1492" ht="13.2" spans="1:25">
      <c r="A1492" s="42">
        <v>1491</v>
      </c>
      <c r="B1492" s="43" t="s">
        <v>1820</v>
      </c>
      <c r="C1492" s="43"/>
      <c r="D1492" s="43"/>
      <c r="E1492" s="43"/>
      <c r="F1492" s="43"/>
      <c r="G1492" s="43"/>
      <c r="H1492" s="43"/>
      <c r="I1492" s="43"/>
      <c r="J1492" s="43"/>
      <c r="K1492" s="43"/>
      <c r="L1492" s="43"/>
      <c r="M1492" s="43"/>
      <c r="N1492" s="43"/>
      <c r="O1492" s="43"/>
      <c r="P1492" s="43"/>
      <c r="Q1492" s="43"/>
      <c r="R1492" s="43"/>
      <c r="S1492" s="43"/>
      <c r="T1492" s="43"/>
      <c r="U1492" s="43"/>
      <c r="V1492" s="43"/>
      <c r="W1492" s="43"/>
      <c r="X1492" s="43"/>
      <c r="Y1492" s="43"/>
    </row>
    <row r="1493" ht="13.2" spans="1:25">
      <c r="A1493" s="42">
        <v>1492</v>
      </c>
      <c r="B1493" s="43" t="s">
        <v>1821</v>
      </c>
      <c r="C1493" s="43"/>
      <c r="D1493" s="43"/>
      <c r="E1493" s="43"/>
      <c r="F1493" s="43"/>
      <c r="G1493" s="43"/>
      <c r="H1493" s="43"/>
      <c r="I1493" s="43"/>
      <c r="J1493" s="43"/>
      <c r="K1493" s="43"/>
      <c r="L1493" s="43"/>
      <c r="M1493" s="43"/>
      <c r="N1493" s="43"/>
      <c r="O1493" s="43"/>
      <c r="P1493" s="43"/>
      <c r="Q1493" s="43"/>
      <c r="R1493" s="43"/>
      <c r="S1493" s="43"/>
      <c r="T1493" s="43"/>
      <c r="U1493" s="43"/>
      <c r="V1493" s="43"/>
      <c r="W1493" s="43"/>
      <c r="X1493" s="43"/>
      <c r="Y1493" s="43"/>
    </row>
    <row r="1494" ht="13.2" spans="1:25">
      <c r="A1494" s="42">
        <v>1493</v>
      </c>
      <c r="B1494" s="43" t="s">
        <v>1822</v>
      </c>
      <c r="C1494" s="43"/>
      <c r="D1494" s="43"/>
      <c r="E1494" s="43"/>
      <c r="F1494" s="43"/>
      <c r="G1494" s="43"/>
      <c r="H1494" s="43"/>
      <c r="I1494" s="43"/>
      <c r="J1494" s="43"/>
      <c r="K1494" s="43"/>
      <c r="L1494" s="43"/>
      <c r="M1494" s="43"/>
      <c r="N1494" s="43"/>
      <c r="O1494" s="43"/>
      <c r="P1494" s="43"/>
      <c r="Q1494" s="43"/>
      <c r="R1494" s="43"/>
      <c r="S1494" s="43"/>
      <c r="T1494" s="43"/>
      <c r="U1494" s="43"/>
      <c r="V1494" s="43"/>
      <c r="W1494" s="43"/>
      <c r="X1494" s="43"/>
      <c r="Y1494" s="43"/>
    </row>
    <row r="1495" ht="13.2" spans="1:25">
      <c r="A1495" s="42">
        <v>1494</v>
      </c>
      <c r="B1495" s="43" t="s">
        <v>1823</v>
      </c>
      <c r="C1495" s="43"/>
      <c r="D1495" s="43"/>
      <c r="E1495" s="43"/>
      <c r="F1495" s="43"/>
      <c r="G1495" s="43"/>
      <c r="H1495" s="43"/>
      <c r="I1495" s="43"/>
      <c r="J1495" s="43"/>
      <c r="K1495" s="43"/>
      <c r="L1495" s="43"/>
      <c r="M1495" s="43"/>
      <c r="N1495" s="43"/>
      <c r="O1495" s="43"/>
      <c r="P1495" s="43"/>
      <c r="Q1495" s="43"/>
      <c r="R1495" s="43"/>
      <c r="S1495" s="43"/>
      <c r="T1495" s="43"/>
      <c r="U1495" s="43"/>
      <c r="V1495" s="43"/>
      <c r="W1495" s="43"/>
      <c r="X1495" s="43"/>
      <c r="Y1495" s="43"/>
    </row>
    <row r="1496" ht="13.2" spans="1:25">
      <c r="A1496" s="42">
        <v>1495</v>
      </c>
      <c r="B1496" s="43" t="s">
        <v>1824</v>
      </c>
      <c r="C1496" s="43"/>
      <c r="D1496" s="43"/>
      <c r="E1496" s="43"/>
      <c r="F1496" s="43"/>
      <c r="G1496" s="43"/>
      <c r="H1496" s="43"/>
      <c r="I1496" s="43"/>
      <c r="J1496" s="43"/>
      <c r="K1496" s="43"/>
      <c r="L1496" s="43"/>
      <c r="M1496" s="43"/>
      <c r="N1496" s="43"/>
      <c r="O1496" s="43"/>
      <c r="P1496" s="43"/>
      <c r="Q1496" s="43"/>
      <c r="R1496" s="43"/>
      <c r="S1496" s="43"/>
      <c r="T1496" s="43"/>
      <c r="U1496" s="43"/>
      <c r="V1496" s="43"/>
      <c r="W1496" s="43"/>
      <c r="X1496" s="43"/>
      <c r="Y1496" s="43"/>
    </row>
    <row r="1497" ht="13.2" spans="1:25">
      <c r="A1497" s="42">
        <v>1496</v>
      </c>
      <c r="B1497" s="43" t="s">
        <v>1825</v>
      </c>
      <c r="C1497" s="43"/>
      <c r="D1497" s="43"/>
      <c r="E1497" s="43"/>
      <c r="F1497" s="43"/>
      <c r="G1497" s="43"/>
      <c r="H1497" s="43"/>
      <c r="I1497" s="43"/>
      <c r="J1497" s="43"/>
      <c r="K1497" s="43"/>
      <c r="L1497" s="43"/>
      <c r="M1497" s="43"/>
      <c r="N1497" s="43"/>
      <c r="O1497" s="43"/>
      <c r="P1497" s="43"/>
      <c r="Q1497" s="43"/>
      <c r="R1497" s="43"/>
      <c r="S1497" s="43"/>
      <c r="T1497" s="43"/>
      <c r="U1497" s="43"/>
      <c r="V1497" s="43"/>
      <c r="W1497" s="43"/>
      <c r="X1497" s="43"/>
      <c r="Y1497" s="43"/>
    </row>
    <row r="1498" ht="13.2" spans="1:25">
      <c r="A1498" s="42">
        <v>1497</v>
      </c>
      <c r="B1498" s="43" t="s">
        <v>1826</v>
      </c>
      <c r="C1498" s="43"/>
      <c r="D1498" s="43"/>
      <c r="E1498" s="43"/>
      <c r="F1498" s="43"/>
      <c r="G1498" s="43"/>
      <c r="H1498" s="43"/>
      <c r="I1498" s="43"/>
      <c r="J1498" s="43"/>
      <c r="K1498" s="43"/>
      <c r="L1498" s="43"/>
      <c r="M1498" s="43"/>
      <c r="N1498" s="43"/>
      <c r="O1498" s="43"/>
      <c r="P1498" s="43"/>
      <c r="Q1498" s="43"/>
      <c r="R1498" s="43"/>
      <c r="S1498" s="43"/>
      <c r="T1498" s="43"/>
      <c r="U1498" s="43"/>
      <c r="V1498" s="43"/>
      <c r="W1498" s="43"/>
      <c r="X1498" s="43"/>
      <c r="Y1498" s="43"/>
    </row>
    <row r="1499" ht="13.2" spans="1:25">
      <c r="A1499" s="42">
        <v>1498</v>
      </c>
      <c r="B1499" s="43" t="s">
        <v>1827</v>
      </c>
      <c r="C1499" s="43"/>
      <c r="D1499" s="43"/>
      <c r="E1499" s="43"/>
      <c r="F1499" s="43"/>
      <c r="G1499" s="43"/>
      <c r="H1499" s="43"/>
      <c r="I1499" s="43"/>
      <c r="J1499" s="43"/>
      <c r="K1499" s="43"/>
      <c r="L1499" s="43"/>
      <c r="M1499" s="43"/>
      <c r="N1499" s="43"/>
      <c r="O1499" s="43"/>
      <c r="P1499" s="43"/>
      <c r="Q1499" s="43"/>
      <c r="R1499" s="43"/>
      <c r="S1499" s="43"/>
      <c r="T1499" s="43"/>
      <c r="U1499" s="43"/>
      <c r="V1499" s="43"/>
      <c r="W1499" s="43"/>
      <c r="X1499" s="43"/>
      <c r="Y1499" s="43"/>
    </row>
    <row r="1500" ht="13.2" spans="1:25">
      <c r="A1500" s="42">
        <v>1499</v>
      </c>
      <c r="B1500" s="43" t="s">
        <v>1828</v>
      </c>
      <c r="C1500" s="43"/>
      <c r="D1500" s="43"/>
      <c r="E1500" s="43"/>
      <c r="F1500" s="43"/>
      <c r="G1500" s="43"/>
      <c r="H1500" s="43"/>
      <c r="I1500" s="43"/>
      <c r="J1500" s="43"/>
      <c r="K1500" s="43"/>
      <c r="L1500" s="43"/>
      <c r="M1500" s="43"/>
      <c r="N1500" s="43"/>
      <c r="O1500" s="43"/>
      <c r="P1500" s="43"/>
      <c r="Q1500" s="43"/>
      <c r="R1500" s="43"/>
      <c r="S1500" s="43"/>
      <c r="T1500" s="43"/>
      <c r="U1500" s="43"/>
      <c r="V1500" s="43"/>
      <c r="W1500" s="43"/>
      <c r="X1500" s="43"/>
      <c r="Y1500" s="43"/>
    </row>
    <row r="1501" ht="13.2" spans="1:25">
      <c r="A1501" s="42">
        <v>1500</v>
      </c>
      <c r="B1501" s="43" t="s">
        <v>1829</v>
      </c>
      <c r="C1501" s="43"/>
      <c r="D1501" s="43"/>
      <c r="E1501" s="43"/>
      <c r="F1501" s="43"/>
      <c r="G1501" s="43"/>
      <c r="H1501" s="43"/>
      <c r="I1501" s="43"/>
      <c r="J1501" s="43"/>
      <c r="K1501" s="43"/>
      <c r="L1501" s="43"/>
      <c r="M1501" s="43"/>
      <c r="N1501" s="43"/>
      <c r="O1501" s="43"/>
      <c r="P1501" s="43"/>
      <c r="Q1501" s="43"/>
      <c r="R1501" s="43"/>
      <c r="S1501" s="43"/>
      <c r="T1501" s="43"/>
      <c r="U1501" s="43"/>
      <c r="V1501" s="43"/>
      <c r="W1501" s="43"/>
      <c r="X1501" s="43"/>
      <c r="Y1501" s="43"/>
    </row>
    <row r="1502" ht="13.2" spans="1:25">
      <c r="A1502" s="42">
        <v>1501</v>
      </c>
      <c r="B1502" s="43" t="s">
        <v>1830</v>
      </c>
      <c r="C1502" s="43"/>
      <c r="D1502" s="43"/>
      <c r="E1502" s="43"/>
      <c r="F1502" s="43"/>
      <c r="G1502" s="43"/>
      <c r="H1502" s="43"/>
      <c r="I1502" s="43"/>
      <c r="J1502" s="43"/>
      <c r="K1502" s="43"/>
      <c r="L1502" s="43"/>
      <c r="M1502" s="43"/>
      <c r="N1502" s="43"/>
      <c r="O1502" s="43"/>
      <c r="P1502" s="43"/>
      <c r="Q1502" s="43"/>
      <c r="R1502" s="43"/>
      <c r="S1502" s="43"/>
      <c r="T1502" s="43"/>
      <c r="U1502" s="43"/>
      <c r="V1502" s="43"/>
      <c r="W1502" s="43"/>
      <c r="X1502" s="43"/>
      <c r="Y1502" s="43"/>
    </row>
    <row r="1503" ht="13.2" spans="1:25">
      <c r="A1503" s="42">
        <v>1502</v>
      </c>
      <c r="B1503" s="43" t="s">
        <v>1831</v>
      </c>
      <c r="C1503" s="43"/>
      <c r="D1503" s="43"/>
      <c r="E1503" s="43"/>
      <c r="F1503" s="43"/>
      <c r="G1503" s="43"/>
      <c r="H1503" s="43"/>
      <c r="I1503" s="43"/>
      <c r="J1503" s="43"/>
      <c r="K1503" s="43"/>
      <c r="L1503" s="43"/>
      <c r="M1503" s="43"/>
      <c r="N1503" s="43"/>
      <c r="O1503" s="43"/>
      <c r="P1503" s="43"/>
      <c r="Q1503" s="43"/>
      <c r="R1503" s="43"/>
      <c r="S1503" s="43"/>
      <c r="T1503" s="43"/>
      <c r="U1503" s="43"/>
      <c r="V1503" s="43"/>
      <c r="W1503" s="43"/>
      <c r="X1503" s="43"/>
      <c r="Y1503" s="43"/>
    </row>
    <row r="1504" ht="13.2" spans="1:25">
      <c r="A1504" s="42">
        <v>1503</v>
      </c>
      <c r="B1504" s="43" t="s">
        <v>1832</v>
      </c>
      <c r="C1504" s="43"/>
      <c r="D1504" s="43"/>
      <c r="E1504" s="43"/>
      <c r="F1504" s="43"/>
      <c r="G1504" s="43"/>
      <c r="H1504" s="43"/>
      <c r="I1504" s="43"/>
      <c r="J1504" s="43"/>
      <c r="K1504" s="43"/>
      <c r="L1504" s="43"/>
      <c r="M1504" s="43"/>
      <c r="N1504" s="43"/>
      <c r="O1504" s="43"/>
      <c r="P1504" s="43"/>
      <c r="Q1504" s="43"/>
      <c r="R1504" s="43"/>
      <c r="S1504" s="43"/>
      <c r="T1504" s="43"/>
      <c r="U1504" s="43"/>
      <c r="V1504" s="43"/>
      <c r="W1504" s="43"/>
      <c r="X1504" s="43"/>
      <c r="Y1504" s="43"/>
    </row>
    <row r="1505" ht="13.2" spans="1:25">
      <c r="A1505" s="42">
        <v>1504</v>
      </c>
      <c r="B1505" s="43" t="s">
        <v>1833</v>
      </c>
      <c r="C1505" s="43"/>
      <c r="D1505" s="43"/>
      <c r="E1505" s="43"/>
      <c r="F1505" s="43"/>
      <c r="G1505" s="43"/>
      <c r="H1505" s="43"/>
      <c r="I1505" s="43"/>
      <c r="J1505" s="43"/>
      <c r="K1505" s="43"/>
      <c r="L1505" s="43"/>
      <c r="M1505" s="43"/>
      <c r="N1505" s="43"/>
      <c r="O1505" s="43"/>
      <c r="P1505" s="43"/>
      <c r="Q1505" s="43"/>
      <c r="R1505" s="43"/>
      <c r="S1505" s="43"/>
      <c r="T1505" s="43"/>
      <c r="U1505" s="43"/>
      <c r="V1505" s="43"/>
      <c r="W1505" s="43"/>
      <c r="X1505" s="43"/>
      <c r="Y1505" s="43"/>
    </row>
    <row r="1506" ht="13.2" spans="1:25">
      <c r="A1506" s="42">
        <v>1505</v>
      </c>
      <c r="B1506" s="43" t="s">
        <v>1834</v>
      </c>
      <c r="C1506" s="43"/>
      <c r="D1506" s="43"/>
      <c r="E1506" s="43"/>
      <c r="F1506" s="43"/>
      <c r="G1506" s="43"/>
      <c r="H1506" s="43"/>
      <c r="I1506" s="43"/>
      <c r="J1506" s="43"/>
      <c r="K1506" s="43"/>
      <c r="L1506" s="43"/>
      <c r="M1506" s="43"/>
      <c r="N1506" s="43"/>
      <c r="O1506" s="43"/>
      <c r="P1506" s="43"/>
      <c r="Q1506" s="43"/>
      <c r="R1506" s="43"/>
      <c r="S1506" s="43"/>
      <c r="T1506" s="43"/>
      <c r="U1506" s="43"/>
      <c r="V1506" s="43"/>
      <c r="W1506" s="43"/>
      <c r="X1506" s="43"/>
      <c r="Y1506" s="43"/>
    </row>
    <row r="1507" ht="13.2" spans="1:25">
      <c r="A1507" s="42">
        <v>1506</v>
      </c>
      <c r="B1507" s="43" t="s">
        <v>1835</v>
      </c>
      <c r="C1507" s="43"/>
      <c r="D1507" s="43"/>
      <c r="E1507" s="43"/>
      <c r="F1507" s="43"/>
      <c r="G1507" s="43"/>
      <c r="H1507" s="43"/>
      <c r="I1507" s="43"/>
      <c r="J1507" s="43"/>
      <c r="K1507" s="43"/>
      <c r="L1507" s="43"/>
      <c r="M1507" s="43"/>
      <c r="N1507" s="43"/>
      <c r="O1507" s="43"/>
      <c r="P1507" s="43"/>
      <c r="Q1507" s="43"/>
      <c r="R1507" s="43"/>
      <c r="S1507" s="43"/>
      <c r="T1507" s="43"/>
      <c r="U1507" s="43"/>
      <c r="V1507" s="43"/>
      <c r="W1507" s="43"/>
      <c r="X1507" s="43"/>
      <c r="Y1507" s="43"/>
    </row>
    <row r="1508" ht="13.2" spans="1:25">
      <c r="A1508" s="42">
        <v>1507</v>
      </c>
      <c r="B1508" s="43" t="s">
        <v>1836</v>
      </c>
      <c r="C1508" s="43"/>
      <c r="D1508" s="43"/>
      <c r="E1508" s="43"/>
      <c r="F1508" s="43"/>
      <c r="G1508" s="43"/>
      <c r="H1508" s="43"/>
      <c r="I1508" s="43"/>
      <c r="J1508" s="43"/>
      <c r="K1508" s="43"/>
      <c r="L1508" s="43"/>
      <c r="M1508" s="43"/>
      <c r="N1508" s="43"/>
      <c r="O1508" s="43"/>
      <c r="P1508" s="43"/>
      <c r="Q1508" s="43"/>
      <c r="R1508" s="43"/>
      <c r="S1508" s="43"/>
      <c r="T1508" s="43"/>
      <c r="U1508" s="43"/>
      <c r="V1508" s="43"/>
      <c r="W1508" s="43"/>
      <c r="X1508" s="43"/>
      <c r="Y1508" s="43"/>
    </row>
    <row r="1509" ht="13.2" spans="1:25">
      <c r="A1509" s="42">
        <v>1508</v>
      </c>
      <c r="B1509" s="43" t="s">
        <v>1837</v>
      </c>
      <c r="C1509" s="43"/>
      <c r="D1509" s="43"/>
      <c r="E1509" s="43"/>
      <c r="F1509" s="43"/>
      <c r="G1509" s="43"/>
      <c r="H1509" s="43"/>
      <c r="I1509" s="43"/>
      <c r="J1509" s="43"/>
      <c r="K1509" s="43"/>
      <c r="L1509" s="43"/>
      <c r="M1509" s="43"/>
      <c r="N1509" s="43"/>
      <c r="O1509" s="43"/>
      <c r="P1509" s="43"/>
      <c r="Q1509" s="43"/>
      <c r="R1509" s="43"/>
      <c r="S1509" s="43"/>
      <c r="T1509" s="43"/>
      <c r="U1509" s="43"/>
      <c r="V1509" s="43"/>
      <c r="W1509" s="43"/>
      <c r="X1509" s="43"/>
      <c r="Y1509" s="43"/>
    </row>
    <row r="1510" ht="13.2" spans="1:25">
      <c r="A1510" s="42">
        <v>1509</v>
      </c>
      <c r="B1510" s="43" t="s">
        <v>1838</v>
      </c>
      <c r="C1510" s="43"/>
      <c r="D1510" s="43"/>
      <c r="E1510" s="43"/>
      <c r="F1510" s="43"/>
      <c r="G1510" s="43"/>
      <c r="H1510" s="43"/>
      <c r="I1510" s="43"/>
      <c r="J1510" s="43"/>
      <c r="K1510" s="43"/>
      <c r="L1510" s="43"/>
      <c r="M1510" s="43"/>
      <c r="N1510" s="43"/>
      <c r="O1510" s="43"/>
      <c r="P1510" s="43"/>
      <c r="Q1510" s="43"/>
      <c r="R1510" s="43"/>
      <c r="S1510" s="43"/>
      <c r="T1510" s="43"/>
      <c r="U1510" s="43"/>
      <c r="V1510" s="43"/>
      <c r="W1510" s="43"/>
      <c r="X1510" s="43"/>
      <c r="Y1510" s="43"/>
    </row>
    <row r="1511" ht="13.2" spans="1:25">
      <c r="A1511" s="42">
        <v>1510</v>
      </c>
      <c r="B1511" s="43" t="s">
        <v>1839</v>
      </c>
      <c r="C1511" s="43"/>
      <c r="D1511" s="43"/>
      <c r="E1511" s="43"/>
      <c r="F1511" s="43"/>
      <c r="G1511" s="43"/>
      <c r="H1511" s="43"/>
      <c r="I1511" s="43"/>
      <c r="J1511" s="43"/>
      <c r="K1511" s="43"/>
      <c r="L1511" s="43"/>
      <c r="M1511" s="43"/>
      <c r="N1511" s="43"/>
      <c r="O1511" s="43"/>
      <c r="P1511" s="43"/>
      <c r="Q1511" s="43"/>
      <c r="R1511" s="43"/>
      <c r="S1511" s="43"/>
      <c r="T1511" s="43"/>
      <c r="U1511" s="43"/>
      <c r="V1511" s="43"/>
      <c r="W1511" s="43"/>
      <c r="X1511" s="43"/>
      <c r="Y1511" s="43"/>
    </row>
    <row r="1512" ht="13.2" spans="1:25">
      <c r="A1512" s="42">
        <v>1511</v>
      </c>
      <c r="B1512" s="43" t="s">
        <v>1840</v>
      </c>
      <c r="C1512" s="43"/>
      <c r="D1512" s="43"/>
      <c r="E1512" s="43"/>
      <c r="F1512" s="43"/>
      <c r="G1512" s="43"/>
      <c r="H1512" s="43"/>
      <c r="I1512" s="43"/>
      <c r="J1512" s="43"/>
      <c r="K1512" s="43"/>
      <c r="L1512" s="43"/>
      <c r="M1512" s="43"/>
      <c r="N1512" s="43"/>
      <c r="O1512" s="43"/>
      <c r="P1512" s="43"/>
      <c r="Q1512" s="43"/>
      <c r="R1512" s="43"/>
      <c r="S1512" s="43"/>
      <c r="T1512" s="43"/>
      <c r="U1512" s="43"/>
      <c r="V1512" s="43"/>
      <c r="W1512" s="43"/>
      <c r="X1512" s="43"/>
      <c r="Y1512" s="43"/>
    </row>
    <row r="1513" ht="13.2" spans="1:25">
      <c r="A1513" s="42">
        <v>1512</v>
      </c>
      <c r="B1513" s="43" t="s">
        <v>1841</v>
      </c>
      <c r="C1513" s="43"/>
      <c r="D1513" s="43"/>
      <c r="E1513" s="43"/>
      <c r="F1513" s="43"/>
      <c r="G1513" s="43"/>
      <c r="H1513" s="43"/>
      <c r="I1513" s="43"/>
      <c r="J1513" s="43"/>
      <c r="K1513" s="43"/>
      <c r="L1513" s="43"/>
      <c r="M1513" s="43"/>
      <c r="N1513" s="43"/>
      <c r="O1513" s="43"/>
      <c r="P1513" s="43"/>
      <c r="Q1513" s="43"/>
      <c r="R1513" s="43"/>
      <c r="S1513" s="43"/>
      <c r="T1513" s="43"/>
      <c r="U1513" s="43"/>
      <c r="V1513" s="43"/>
      <c r="W1513" s="43"/>
      <c r="X1513" s="43"/>
      <c r="Y1513" s="43"/>
    </row>
    <row r="1514" ht="13.2" spans="1:25">
      <c r="A1514" s="42">
        <v>1513</v>
      </c>
      <c r="B1514" s="43" t="s">
        <v>1842</v>
      </c>
      <c r="C1514" s="43"/>
      <c r="D1514" s="43"/>
      <c r="E1514" s="43"/>
      <c r="F1514" s="43"/>
      <c r="G1514" s="43"/>
      <c r="H1514" s="43"/>
      <c r="I1514" s="43"/>
      <c r="J1514" s="43"/>
      <c r="K1514" s="43"/>
      <c r="L1514" s="43"/>
      <c r="M1514" s="43"/>
      <c r="N1514" s="43"/>
      <c r="O1514" s="43"/>
      <c r="P1514" s="43"/>
      <c r="Q1514" s="43"/>
      <c r="R1514" s="43"/>
      <c r="S1514" s="43"/>
      <c r="T1514" s="43"/>
      <c r="U1514" s="43"/>
      <c r="V1514" s="43"/>
      <c r="W1514" s="43"/>
      <c r="X1514" s="43"/>
      <c r="Y1514" s="43"/>
    </row>
    <row r="1515" ht="13.2" spans="1:25">
      <c r="A1515" s="42">
        <v>1514</v>
      </c>
      <c r="B1515" s="43" t="s">
        <v>1843</v>
      </c>
      <c r="C1515" s="43"/>
      <c r="D1515" s="43"/>
      <c r="E1515" s="43"/>
      <c r="F1515" s="43"/>
      <c r="G1515" s="43"/>
      <c r="H1515" s="43"/>
      <c r="I1515" s="43"/>
      <c r="J1515" s="43"/>
      <c r="K1515" s="43"/>
      <c r="L1515" s="43"/>
      <c r="M1515" s="43"/>
      <c r="N1515" s="43"/>
      <c r="O1515" s="43"/>
      <c r="P1515" s="43"/>
      <c r="Q1515" s="43"/>
      <c r="R1515" s="43"/>
      <c r="S1515" s="43"/>
      <c r="T1515" s="43"/>
      <c r="U1515" s="43"/>
      <c r="V1515" s="43"/>
      <c r="W1515" s="43"/>
      <c r="X1515" s="43"/>
      <c r="Y1515" s="43"/>
    </row>
    <row r="1516" ht="13.2" spans="1:25">
      <c r="A1516" s="42">
        <v>1515</v>
      </c>
      <c r="B1516" s="43" t="s">
        <v>1844</v>
      </c>
      <c r="C1516" s="43"/>
      <c r="D1516" s="43"/>
      <c r="E1516" s="43"/>
      <c r="F1516" s="43"/>
      <c r="G1516" s="43"/>
      <c r="H1516" s="43"/>
      <c r="I1516" s="43"/>
      <c r="J1516" s="43"/>
      <c r="K1516" s="43"/>
      <c r="L1516" s="43"/>
      <c r="M1516" s="43"/>
      <c r="N1516" s="43"/>
      <c r="O1516" s="43"/>
      <c r="P1516" s="43"/>
      <c r="Q1516" s="43"/>
      <c r="R1516" s="43"/>
      <c r="S1516" s="43"/>
      <c r="T1516" s="43"/>
      <c r="U1516" s="43"/>
      <c r="V1516" s="43"/>
      <c r="W1516" s="43"/>
      <c r="X1516" s="43"/>
      <c r="Y1516" s="43"/>
    </row>
    <row r="1517" ht="13.2" spans="1:25">
      <c r="A1517" s="42">
        <v>1516</v>
      </c>
      <c r="B1517" s="43" t="s">
        <v>1845</v>
      </c>
      <c r="C1517" s="43"/>
      <c r="D1517" s="43"/>
      <c r="E1517" s="43"/>
      <c r="F1517" s="43"/>
      <c r="G1517" s="43"/>
      <c r="H1517" s="43"/>
      <c r="I1517" s="43"/>
      <c r="J1517" s="43"/>
      <c r="K1517" s="43"/>
      <c r="L1517" s="43"/>
      <c r="M1517" s="43"/>
      <c r="N1517" s="43"/>
      <c r="O1517" s="43"/>
      <c r="P1517" s="43"/>
      <c r="Q1517" s="43"/>
      <c r="R1517" s="43"/>
      <c r="S1517" s="43"/>
      <c r="T1517" s="43"/>
      <c r="U1517" s="43"/>
      <c r="V1517" s="43"/>
      <c r="W1517" s="43"/>
      <c r="X1517" s="43"/>
      <c r="Y1517" s="43"/>
    </row>
    <row r="1518" ht="13.2" spans="1:25">
      <c r="A1518" s="42">
        <v>1517</v>
      </c>
      <c r="B1518" s="43" t="s">
        <v>1846</v>
      </c>
      <c r="C1518" s="43"/>
      <c r="D1518" s="43"/>
      <c r="E1518" s="43"/>
      <c r="F1518" s="43"/>
      <c r="G1518" s="43"/>
      <c r="H1518" s="43"/>
      <c r="I1518" s="43"/>
      <c r="J1518" s="43"/>
      <c r="K1518" s="43"/>
      <c r="L1518" s="43"/>
      <c r="M1518" s="43"/>
      <c r="N1518" s="43"/>
      <c r="O1518" s="43"/>
      <c r="P1518" s="43"/>
      <c r="Q1518" s="43"/>
      <c r="R1518" s="43"/>
      <c r="S1518" s="43"/>
      <c r="T1518" s="43"/>
      <c r="U1518" s="43"/>
      <c r="V1518" s="43"/>
      <c r="W1518" s="43"/>
      <c r="X1518" s="43"/>
      <c r="Y1518" s="43"/>
    </row>
    <row r="1519" ht="13.2" spans="1:25">
      <c r="A1519" s="42">
        <v>1518</v>
      </c>
      <c r="B1519" s="43" t="s">
        <v>1847</v>
      </c>
      <c r="C1519" s="43"/>
      <c r="D1519" s="43"/>
      <c r="E1519" s="43"/>
      <c r="F1519" s="43"/>
      <c r="G1519" s="43"/>
      <c r="H1519" s="43"/>
      <c r="I1519" s="43"/>
      <c r="J1519" s="43"/>
      <c r="K1519" s="43"/>
      <c r="L1519" s="43"/>
      <c r="M1519" s="43"/>
      <c r="N1519" s="43"/>
      <c r="O1519" s="43"/>
      <c r="P1519" s="43"/>
      <c r="Q1519" s="43"/>
      <c r="R1519" s="43"/>
      <c r="S1519" s="43"/>
      <c r="T1519" s="43"/>
      <c r="U1519" s="43"/>
      <c r="V1519" s="43"/>
      <c r="W1519" s="43"/>
      <c r="X1519" s="43"/>
      <c r="Y1519" s="43"/>
    </row>
    <row r="1520" ht="13.2" spans="1:25">
      <c r="A1520" s="42">
        <v>1519</v>
      </c>
      <c r="B1520" s="43" t="s">
        <v>1848</v>
      </c>
      <c r="C1520" s="43"/>
      <c r="D1520" s="43"/>
      <c r="E1520" s="43"/>
      <c r="F1520" s="43"/>
      <c r="G1520" s="43"/>
      <c r="H1520" s="43"/>
      <c r="I1520" s="43"/>
      <c r="J1520" s="43"/>
      <c r="K1520" s="43"/>
      <c r="L1520" s="43"/>
      <c r="M1520" s="43"/>
      <c r="N1520" s="43"/>
      <c r="O1520" s="43"/>
      <c r="P1520" s="43"/>
      <c r="Q1520" s="43"/>
      <c r="R1520" s="43"/>
      <c r="S1520" s="43"/>
      <c r="T1520" s="43"/>
      <c r="U1520" s="43"/>
      <c r="V1520" s="43"/>
      <c r="W1520" s="43"/>
      <c r="X1520" s="43"/>
      <c r="Y1520" s="43"/>
    </row>
    <row r="1521" ht="13.2" spans="1:25">
      <c r="A1521" s="42">
        <v>1520</v>
      </c>
      <c r="B1521" s="43" t="s">
        <v>1849</v>
      </c>
      <c r="C1521" s="43"/>
      <c r="D1521" s="43"/>
      <c r="E1521" s="43"/>
      <c r="F1521" s="43"/>
      <c r="G1521" s="43"/>
      <c r="H1521" s="43"/>
      <c r="I1521" s="43"/>
      <c r="J1521" s="43"/>
      <c r="K1521" s="43"/>
      <c r="L1521" s="43"/>
      <c r="M1521" s="43"/>
      <c r="N1521" s="43"/>
      <c r="O1521" s="43"/>
      <c r="P1521" s="43"/>
      <c r="Q1521" s="43"/>
      <c r="R1521" s="43"/>
      <c r="S1521" s="43"/>
      <c r="T1521" s="43"/>
      <c r="U1521" s="43"/>
      <c r="V1521" s="43"/>
      <c r="W1521" s="43"/>
      <c r="X1521" s="43"/>
      <c r="Y1521" s="43"/>
    </row>
    <row r="1522" ht="13.2" spans="1:25">
      <c r="A1522" s="42">
        <v>1521</v>
      </c>
      <c r="B1522" s="43" t="s">
        <v>1850</v>
      </c>
      <c r="C1522" s="43"/>
      <c r="D1522" s="43"/>
      <c r="E1522" s="43"/>
      <c r="F1522" s="43"/>
      <c r="G1522" s="43"/>
      <c r="H1522" s="43"/>
      <c r="I1522" s="43"/>
      <c r="J1522" s="43"/>
      <c r="K1522" s="43"/>
      <c r="L1522" s="43"/>
      <c r="M1522" s="43"/>
      <c r="N1522" s="43"/>
      <c r="O1522" s="43"/>
      <c r="P1522" s="43"/>
      <c r="Q1522" s="43"/>
      <c r="R1522" s="43"/>
      <c r="S1522" s="43"/>
      <c r="T1522" s="43"/>
      <c r="U1522" s="43"/>
      <c r="V1522" s="43"/>
      <c r="W1522" s="43"/>
      <c r="X1522" s="43"/>
      <c r="Y1522" s="43"/>
    </row>
    <row r="1523" ht="13.2" spans="1:25">
      <c r="A1523" s="42">
        <v>1522</v>
      </c>
      <c r="B1523" s="43" t="s">
        <v>1851</v>
      </c>
      <c r="C1523" s="43"/>
      <c r="D1523" s="43"/>
      <c r="E1523" s="43"/>
      <c r="F1523" s="43"/>
      <c r="G1523" s="43"/>
      <c r="H1523" s="43"/>
      <c r="I1523" s="43"/>
      <c r="J1523" s="43"/>
      <c r="K1523" s="43"/>
      <c r="L1523" s="43"/>
      <c r="M1523" s="43"/>
      <c r="N1523" s="43"/>
      <c r="O1523" s="43"/>
      <c r="P1523" s="43"/>
      <c r="Q1523" s="43"/>
      <c r="R1523" s="43"/>
      <c r="S1523" s="43"/>
      <c r="T1523" s="43"/>
      <c r="U1523" s="43"/>
      <c r="V1523" s="43"/>
      <c r="W1523" s="43"/>
      <c r="X1523" s="43"/>
      <c r="Y1523" s="43"/>
    </row>
    <row r="1524" ht="13.2" spans="1:25">
      <c r="A1524" s="42">
        <v>1523</v>
      </c>
      <c r="B1524" s="43" t="s">
        <v>1852</v>
      </c>
      <c r="C1524" s="43"/>
      <c r="D1524" s="43"/>
      <c r="E1524" s="43"/>
      <c r="F1524" s="43"/>
      <c r="G1524" s="43"/>
      <c r="H1524" s="43"/>
      <c r="I1524" s="43"/>
      <c r="J1524" s="43"/>
      <c r="K1524" s="43"/>
      <c r="L1524" s="43"/>
      <c r="M1524" s="43"/>
      <c r="N1524" s="43"/>
      <c r="O1524" s="43"/>
      <c r="P1524" s="43"/>
      <c r="Q1524" s="43"/>
      <c r="R1524" s="43"/>
      <c r="S1524" s="43"/>
      <c r="T1524" s="43"/>
      <c r="U1524" s="43"/>
      <c r="V1524" s="43"/>
      <c r="W1524" s="43"/>
      <c r="X1524" s="43"/>
      <c r="Y1524" s="43"/>
    </row>
    <row r="1525" ht="13.2" spans="1:25">
      <c r="A1525" s="42">
        <v>1524</v>
      </c>
      <c r="B1525" s="43" t="s">
        <v>1853</v>
      </c>
      <c r="C1525" s="43"/>
      <c r="D1525" s="43"/>
      <c r="E1525" s="43"/>
      <c r="F1525" s="43"/>
      <c r="G1525" s="43"/>
      <c r="H1525" s="43"/>
      <c r="I1525" s="43"/>
      <c r="J1525" s="43"/>
      <c r="K1525" s="43"/>
      <c r="L1525" s="43"/>
      <c r="M1525" s="43"/>
      <c r="N1525" s="43"/>
      <c r="O1525" s="43"/>
      <c r="P1525" s="43"/>
      <c r="Q1525" s="43"/>
      <c r="R1525" s="43"/>
      <c r="S1525" s="43"/>
      <c r="T1525" s="43"/>
      <c r="U1525" s="43"/>
      <c r="V1525" s="43"/>
      <c r="W1525" s="43"/>
      <c r="X1525" s="43"/>
      <c r="Y1525" s="43"/>
    </row>
    <row r="1526" ht="13.2" spans="1:25">
      <c r="A1526" s="42">
        <v>1525</v>
      </c>
      <c r="B1526" s="43" t="s">
        <v>1854</v>
      </c>
      <c r="C1526" s="43"/>
      <c r="D1526" s="43"/>
      <c r="E1526" s="43"/>
      <c r="F1526" s="43"/>
      <c r="G1526" s="43"/>
      <c r="H1526" s="43"/>
      <c r="I1526" s="43"/>
      <c r="J1526" s="43"/>
      <c r="K1526" s="43"/>
      <c r="L1526" s="43"/>
      <c r="M1526" s="43"/>
      <c r="N1526" s="43"/>
      <c r="O1526" s="43"/>
      <c r="P1526" s="43"/>
      <c r="Q1526" s="43"/>
      <c r="R1526" s="43"/>
      <c r="S1526" s="43"/>
      <c r="T1526" s="43"/>
      <c r="U1526" s="43"/>
      <c r="V1526" s="43"/>
      <c r="W1526" s="43"/>
      <c r="X1526" s="43"/>
      <c r="Y1526" s="43"/>
    </row>
    <row r="1527" ht="13.2" spans="1:25">
      <c r="A1527" s="42">
        <v>1526</v>
      </c>
      <c r="B1527" s="43" t="s">
        <v>1855</v>
      </c>
      <c r="C1527" s="43"/>
      <c r="D1527" s="43"/>
      <c r="E1527" s="43"/>
      <c r="F1527" s="43"/>
      <c r="G1527" s="43"/>
      <c r="H1527" s="43"/>
      <c r="I1527" s="43"/>
      <c r="J1527" s="43"/>
      <c r="K1527" s="43"/>
      <c r="L1527" s="43"/>
      <c r="M1527" s="43"/>
      <c r="N1527" s="43"/>
      <c r="O1527" s="43"/>
      <c r="P1527" s="43"/>
      <c r="Q1527" s="43"/>
      <c r="R1527" s="43"/>
      <c r="S1527" s="43"/>
      <c r="T1527" s="43"/>
      <c r="U1527" s="43"/>
      <c r="V1527" s="43"/>
      <c r="W1527" s="43"/>
      <c r="X1527" s="43"/>
      <c r="Y1527" s="43"/>
    </row>
    <row r="1528" ht="13.2" spans="1:25">
      <c r="A1528" s="42">
        <v>1527</v>
      </c>
      <c r="B1528" s="43" t="s">
        <v>1856</v>
      </c>
      <c r="C1528" s="43"/>
      <c r="D1528" s="43"/>
      <c r="E1528" s="43"/>
      <c r="F1528" s="43"/>
      <c r="G1528" s="43"/>
      <c r="H1528" s="43"/>
      <c r="I1528" s="43"/>
      <c r="J1528" s="43"/>
      <c r="K1528" s="43"/>
      <c r="L1528" s="43"/>
      <c r="M1528" s="43"/>
      <c r="N1528" s="43"/>
      <c r="O1528" s="43"/>
      <c r="P1528" s="43"/>
      <c r="Q1528" s="43"/>
      <c r="R1528" s="43"/>
      <c r="S1528" s="43"/>
      <c r="T1528" s="43"/>
      <c r="U1528" s="43"/>
      <c r="V1528" s="43"/>
      <c r="W1528" s="43"/>
      <c r="X1528" s="43"/>
      <c r="Y1528" s="43"/>
    </row>
    <row r="1529" ht="13.2" spans="1:25">
      <c r="A1529" s="42">
        <v>1528</v>
      </c>
      <c r="B1529" s="43" t="s">
        <v>1857</v>
      </c>
      <c r="C1529" s="43"/>
      <c r="D1529" s="43"/>
      <c r="E1529" s="43"/>
      <c r="F1529" s="43"/>
      <c r="G1529" s="43"/>
      <c r="H1529" s="43"/>
      <c r="I1529" s="43"/>
      <c r="J1529" s="43"/>
      <c r="K1529" s="43"/>
      <c r="L1529" s="43"/>
      <c r="M1529" s="43"/>
      <c r="N1529" s="43"/>
      <c r="O1529" s="43"/>
      <c r="P1529" s="43"/>
      <c r="Q1529" s="43"/>
      <c r="R1529" s="43"/>
      <c r="S1529" s="43"/>
      <c r="T1529" s="43"/>
      <c r="U1529" s="43"/>
      <c r="V1529" s="43"/>
      <c r="W1529" s="43"/>
      <c r="X1529" s="43"/>
      <c r="Y1529" s="43"/>
    </row>
    <row r="1530" ht="13.2" spans="1:25">
      <c r="A1530" s="42">
        <v>1529</v>
      </c>
      <c r="B1530" s="43" t="s">
        <v>1858</v>
      </c>
      <c r="C1530" s="43"/>
      <c r="D1530" s="43"/>
      <c r="E1530" s="43"/>
      <c r="F1530" s="43"/>
      <c r="G1530" s="43"/>
      <c r="H1530" s="43"/>
      <c r="I1530" s="43"/>
      <c r="J1530" s="43"/>
      <c r="K1530" s="43"/>
      <c r="L1530" s="43"/>
      <c r="M1530" s="43"/>
      <c r="N1530" s="43"/>
      <c r="O1530" s="43"/>
      <c r="P1530" s="43"/>
      <c r="Q1530" s="43"/>
      <c r="R1530" s="43"/>
      <c r="S1530" s="43"/>
      <c r="T1530" s="43"/>
      <c r="U1530" s="43"/>
      <c r="V1530" s="43"/>
      <c r="W1530" s="43"/>
      <c r="X1530" s="43"/>
      <c r="Y1530" s="43"/>
    </row>
    <row r="1531" ht="13.2" spans="1:25">
      <c r="A1531" s="42">
        <v>1530</v>
      </c>
      <c r="B1531" s="43" t="s">
        <v>1859</v>
      </c>
      <c r="C1531" s="43"/>
      <c r="D1531" s="43"/>
      <c r="E1531" s="43"/>
      <c r="F1531" s="43"/>
      <c r="G1531" s="43"/>
      <c r="H1531" s="43"/>
      <c r="I1531" s="43"/>
      <c r="J1531" s="43"/>
      <c r="K1531" s="43"/>
      <c r="L1531" s="43"/>
      <c r="M1531" s="43"/>
      <c r="N1531" s="43"/>
      <c r="O1531" s="43"/>
      <c r="P1531" s="43"/>
      <c r="Q1531" s="43"/>
      <c r="R1531" s="43"/>
      <c r="S1531" s="43"/>
      <c r="T1531" s="43"/>
      <c r="U1531" s="43"/>
      <c r="V1531" s="43"/>
      <c r="W1531" s="43"/>
      <c r="X1531" s="43"/>
      <c r="Y1531" s="43"/>
    </row>
    <row r="1532" ht="13.2" spans="1:25">
      <c r="A1532" s="42">
        <v>1531</v>
      </c>
      <c r="B1532" s="43" t="s">
        <v>1860</v>
      </c>
      <c r="C1532" s="43"/>
      <c r="D1532" s="43"/>
      <c r="E1532" s="43"/>
      <c r="F1532" s="43"/>
      <c r="G1532" s="43"/>
      <c r="H1532" s="43"/>
      <c r="I1532" s="43"/>
      <c r="J1532" s="43"/>
      <c r="K1532" s="43"/>
      <c r="L1532" s="43"/>
      <c r="M1532" s="43"/>
      <c r="N1532" s="43"/>
      <c r="O1532" s="43"/>
      <c r="P1532" s="43"/>
      <c r="Q1532" s="43"/>
      <c r="R1532" s="43"/>
      <c r="S1532" s="43"/>
      <c r="T1532" s="43"/>
      <c r="U1532" s="43"/>
      <c r="V1532" s="43"/>
      <c r="W1532" s="43"/>
      <c r="X1532" s="43"/>
      <c r="Y1532" s="43"/>
    </row>
    <row r="1533" ht="13.2" spans="1:25">
      <c r="A1533" s="42">
        <v>1532</v>
      </c>
      <c r="B1533" s="43" t="s">
        <v>1861</v>
      </c>
      <c r="C1533" s="43"/>
      <c r="D1533" s="43"/>
      <c r="E1533" s="43"/>
      <c r="F1533" s="43"/>
      <c r="G1533" s="43"/>
      <c r="H1533" s="43"/>
      <c r="I1533" s="43"/>
      <c r="J1533" s="43"/>
      <c r="K1533" s="43"/>
      <c r="L1533" s="43"/>
      <c r="M1533" s="43"/>
      <c r="N1533" s="43"/>
      <c r="O1533" s="43"/>
      <c r="P1533" s="43"/>
      <c r="Q1533" s="43"/>
      <c r="R1533" s="43"/>
      <c r="S1533" s="43"/>
      <c r="T1533" s="43"/>
      <c r="U1533" s="43"/>
      <c r="V1533" s="43"/>
      <c r="W1533" s="43"/>
      <c r="X1533" s="43"/>
      <c r="Y1533" s="43"/>
    </row>
    <row r="1534" ht="13.2" spans="1:25">
      <c r="A1534" s="42">
        <v>1533</v>
      </c>
      <c r="B1534" s="43" t="s">
        <v>1862</v>
      </c>
      <c r="C1534" s="43"/>
      <c r="D1534" s="43"/>
      <c r="E1534" s="43"/>
      <c r="F1534" s="43"/>
      <c r="G1534" s="43"/>
      <c r="H1534" s="43"/>
      <c r="I1534" s="43"/>
      <c r="J1534" s="43"/>
      <c r="K1534" s="43"/>
      <c r="L1534" s="43"/>
      <c r="M1534" s="43"/>
      <c r="N1534" s="43"/>
      <c r="O1534" s="43"/>
      <c r="P1534" s="43"/>
      <c r="Q1534" s="43"/>
      <c r="R1534" s="43"/>
      <c r="S1534" s="43"/>
      <c r="T1534" s="43"/>
      <c r="U1534" s="43"/>
      <c r="V1534" s="43"/>
      <c r="W1534" s="43"/>
      <c r="X1534" s="43"/>
      <c r="Y1534" s="43"/>
    </row>
    <row r="1535" ht="13.2" spans="1:25">
      <c r="A1535" s="42">
        <v>1534</v>
      </c>
      <c r="B1535" s="43" t="s">
        <v>1863</v>
      </c>
      <c r="C1535" s="43"/>
      <c r="D1535" s="43"/>
      <c r="E1535" s="43"/>
      <c r="F1535" s="43"/>
      <c r="G1535" s="43"/>
      <c r="H1535" s="43"/>
      <c r="I1535" s="43"/>
      <c r="J1535" s="43"/>
      <c r="K1535" s="43"/>
      <c r="L1535" s="43"/>
      <c r="M1535" s="43"/>
      <c r="N1535" s="43"/>
      <c r="O1535" s="43"/>
      <c r="P1535" s="43"/>
      <c r="Q1535" s="43"/>
      <c r="R1535" s="43"/>
      <c r="S1535" s="43"/>
      <c r="T1535" s="43"/>
      <c r="U1535" s="43"/>
      <c r="V1535" s="43"/>
      <c r="W1535" s="43"/>
      <c r="X1535" s="43"/>
      <c r="Y1535" s="43"/>
    </row>
    <row r="1536" ht="13.2" spans="1:25">
      <c r="A1536" s="42">
        <v>1535</v>
      </c>
      <c r="B1536" s="43" t="s">
        <v>1864</v>
      </c>
      <c r="C1536" s="43"/>
      <c r="D1536" s="43"/>
      <c r="E1536" s="43"/>
      <c r="F1536" s="43"/>
      <c r="G1536" s="43"/>
      <c r="H1536" s="43"/>
      <c r="I1536" s="43"/>
      <c r="J1536" s="43"/>
      <c r="K1536" s="43"/>
      <c r="L1536" s="43"/>
      <c r="M1536" s="43"/>
      <c r="N1536" s="43"/>
      <c r="O1536" s="43"/>
      <c r="P1536" s="43"/>
      <c r="Q1536" s="43"/>
      <c r="R1536" s="43"/>
      <c r="S1536" s="43"/>
      <c r="T1536" s="43"/>
      <c r="U1536" s="43"/>
      <c r="V1536" s="43"/>
      <c r="W1536" s="43"/>
      <c r="X1536" s="43"/>
      <c r="Y1536" s="43"/>
    </row>
    <row r="1537" ht="13.2" spans="1:25">
      <c r="A1537" s="42">
        <v>1536</v>
      </c>
      <c r="B1537" s="43" t="s">
        <v>1865</v>
      </c>
      <c r="C1537" s="43"/>
      <c r="D1537" s="43"/>
      <c r="E1537" s="43"/>
      <c r="F1537" s="43"/>
      <c r="G1537" s="43"/>
      <c r="H1537" s="43"/>
      <c r="I1537" s="43"/>
      <c r="J1537" s="43"/>
      <c r="K1537" s="43"/>
      <c r="L1537" s="43"/>
      <c r="M1537" s="43"/>
      <c r="N1537" s="43"/>
      <c r="O1537" s="43"/>
      <c r="P1537" s="43"/>
      <c r="Q1537" s="43"/>
      <c r="R1537" s="43"/>
      <c r="S1537" s="43"/>
      <c r="T1537" s="43"/>
      <c r="U1537" s="43"/>
      <c r="V1537" s="43"/>
      <c r="W1537" s="43"/>
      <c r="X1537" s="43"/>
      <c r="Y1537" s="43"/>
    </row>
    <row r="1538" ht="13.2" spans="1:25">
      <c r="A1538" s="42">
        <v>1537</v>
      </c>
      <c r="B1538" s="43" t="s">
        <v>1866</v>
      </c>
      <c r="C1538" s="43"/>
      <c r="D1538" s="43"/>
      <c r="E1538" s="43"/>
      <c r="F1538" s="43"/>
      <c r="G1538" s="43"/>
      <c r="H1538" s="43"/>
      <c r="I1538" s="43"/>
      <c r="J1538" s="43"/>
      <c r="K1538" s="43"/>
      <c r="L1538" s="43"/>
      <c r="M1538" s="43"/>
      <c r="N1538" s="43"/>
      <c r="O1538" s="43"/>
      <c r="P1538" s="43"/>
      <c r="Q1538" s="43"/>
      <c r="R1538" s="43"/>
      <c r="S1538" s="43"/>
      <c r="T1538" s="43"/>
      <c r="U1538" s="43"/>
      <c r="V1538" s="43"/>
      <c r="W1538" s="43"/>
      <c r="X1538" s="43"/>
      <c r="Y1538" s="43"/>
    </row>
    <row r="1539" ht="13.2" spans="1:25">
      <c r="A1539" s="42">
        <v>1538</v>
      </c>
      <c r="B1539" s="43" t="s">
        <v>1867</v>
      </c>
      <c r="C1539" s="42" t="s">
        <v>1868</v>
      </c>
      <c r="D1539" s="43"/>
      <c r="E1539" s="43"/>
      <c r="F1539" s="43"/>
      <c r="G1539" s="43"/>
      <c r="H1539" s="43"/>
      <c r="I1539" s="43"/>
      <c r="J1539" s="43"/>
      <c r="K1539" s="43"/>
      <c r="L1539" s="43"/>
      <c r="M1539" s="43"/>
      <c r="N1539" s="43"/>
      <c r="O1539" s="43"/>
      <c r="P1539" s="43"/>
      <c r="Q1539" s="43"/>
      <c r="R1539" s="43"/>
      <c r="S1539" s="43"/>
      <c r="T1539" s="43"/>
      <c r="U1539" s="43"/>
      <c r="V1539" s="43"/>
      <c r="W1539" s="43"/>
      <c r="X1539" s="43"/>
      <c r="Y1539" s="43"/>
    </row>
    <row r="1540" ht="13.2" spans="1:25">
      <c r="A1540" s="42">
        <v>1539</v>
      </c>
      <c r="B1540" s="43" t="s">
        <v>1869</v>
      </c>
      <c r="C1540" s="42" t="s">
        <v>1870</v>
      </c>
      <c r="D1540" s="43"/>
      <c r="E1540" s="43"/>
      <c r="F1540" s="43"/>
      <c r="G1540" s="43"/>
      <c r="H1540" s="43"/>
      <c r="I1540" s="43"/>
      <c r="J1540" s="43"/>
      <c r="K1540" s="43"/>
      <c r="L1540" s="43"/>
      <c r="M1540" s="43"/>
      <c r="N1540" s="43"/>
      <c r="O1540" s="43"/>
      <c r="P1540" s="43"/>
      <c r="Q1540" s="43"/>
      <c r="R1540" s="43"/>
      <c r="S1540" s="43"/>
      <c r="T1540" s="43"/>
      <c r="U1540" s="43"/>
      <c r="V1540" s="43"/>
      <c r="W1540" s="43"/>
      <c r="X1540" s="43"/>
      <c r="Y1540" s="43"/>
    </row>
    <row r="1541" ht="13.2" spans="1:25">
      <c r="A1541" s="42">
        <v>1540</v>
      </c>
      <c r="B1541" s="42" t="s">
        <v>291</v>
      </c>
      <c r="C1541" s="42" t="s">
        <v>1871</v>
      </c>
      <c r="D1541" s="43"/>
      <c r="E1541" s="43"/>
      <c r="F1541" s="43"/>
      <c r="G1541" s="43"/>
      <c r="H1541" s="43"/>
      <c r="I1541" s="43"/>
      <c r="J1541" s="43"/>
      <c r="K1541" s="43"/>
      <c r="L1541" s="43"/>
      <c r="M1541" s="43"/>
      <c r="N1541" s="43"/>
      <c r="O1541" s="43"/>
      <c r="P1541" s="43"/>
      <c r="Q1541" s="43"/>
      <c r="R1541" s="43"/>
      <c r="S1541" s="43"/>
      <c r="T1541" s="43"/>
      <c r="U1541" s="43"/>
      <c r="V1541" s="43"/>
      <c r="W1541" s="43"/>
      <c r="X1541" s="43"/>
      <c r="Y1541" s="43"/>
    </row>
    <row r="1542" ht="13.2" spans="1:25">
      <c r="A1542" s="42">
        <v>1541</v>
      </c>
      <c r="B1542" s="43" t="s">
        <v>1872</v>
      </c>
      <c r="C1542" s="42" t="s">
        <v>1873</v>
      </c>
      <c r="D1542" s="43"/>
      <c r="E1542" s="43"/>
      <c r="F1542" s="43"/>
      <c r="G1542" s="43"/>
      <c r="H1542" s="43"/>
      <c r="I1542" s="43"/>
      <c r="J1542" s="43"/>
      <c r="K1542" s="43"/>
      <c r="L1542" s="43"/>
      <c r="M1542" s="43"/>
      <c r="N1542" s="43"/>
      <c r="O1542" s="43"/>
      <c r="P1542" s="43"/>
      <c r="Q1542" s="43"/>
      <c r="R1542" s="43"/>
      <c r="S1542" s="43"/>
      <c r="T1542" s="43"/>
      <c r="U1542" s="43"/>
      <c r="V1542" s="43"/>
      <c r="W1542" s="43"/>
      <c r="X1542" s="43"/>
      <c r="Y1542" s="43"/>
    </row>
    <row r="1543" ht="13.2" spans="1:25">
      <c r="A1543" s="42">
        <v>1542</v>
      </c>
      <c r="B1543" s="43" t="s">
        <v>1874</v>
      </c>
      <c r="C1543" s="42" t="s">
        <v>1875</v>
      </c>
      <c r="D1543" s="43"/>
      <c r="E1543" s="43"/>
      <c r="F1543" s="43"/>
      <c r="G1543" s="43"/>
      <c r="H1543" s="43"/>
      <c r="I1543" s="43"/>
      <c r="J1543" s="43"/>
      <c r="K1543" s="43"/>
      <c r="L1543" s="43"/>
      <c r="M1543" s="43"/>
      <c r="N1543" s="43"/>
      <c r="O1543" s="43"/>
      <c r="P1543" s="43"/>
      <c r="Q1543" s="43"/>
      <c r="R1543" s="43"/>
      <c r="S1543" s="43"/>
      <c r="T1543" s="43"/>
      <c r="U1543" s="43"/>
      <c r="V1543" s="43"/>
      <c r="W1543" s="43"/>
      <c r="X1543" s="43"/>
      <c r="Y1543" s="43"/>
    </row>
    <row r="1544" ht="13.2" spans="1:25">
      <c r="A1544" s="42">
        <v>1543</v>
      </c>
      <c r="B1544" s="43" t="s">
        <v>1876</v>
      </c>
      <c r="C1544" s="42" t="s">
        <v>1877</v>
      </c>
      <c r="D1544" s="43"/>
      <c r="E1544" s="43"/>
      <c r="F1544" s="43"/>
      <c r="G1544" s="43"/>
      <c r="H1544" s="43"/>
      <c r="I1544" s="43"/>
      <c r="J1544" s="43"/>
      <c r="K1544" s="43"/>
      <c r="L1544" s="43"/>
      <c r="M1544" s="43"/>
      <c r="N1544" s="43"/>
      <c r="O1544" s="43"/>
      <c r="P1544" s="43"/>
      <c r="Q1544" s="43"/>
      <c r="R1544" s="43"/>
      <c r="S1544" s="43"/>
      <c r="T1544" s="43"/>
      <c r="U1544" s="43"/>
      <c r="V1544" s="43"/>
      <c r="W1544" s="43"/>
      <c r="X1544" s="43"/>
      <c r="Y1544" s="43"/>
    </row>
    <row r="1545" ht="1.5" customHeight="1" spans="1:25">
      <c r="A1545" s="43"/>
      <c r="B1545" s="43"/>
      <c r="C1545" s="43"/>
      <c r="D1545" s="43"/>
      <c r="E1545" s="43"/>
      <c r="F1545" s="43"/>
      <c r="G1545" s="43"/>
      <c r="H1545" s="43"/>
      <c r="I1545" s="43"/>
      <c r="J1545" s="43"/>
      <c r="K1545" s="43"/>
      <c r="L1545" s="43"/>
      <c r="M1545" s="43"/>
      <c r="N1545" s="43"/>
      <c r="O1545" s="43"/>
      <c r="P1545" s="43"/>
      <c r="Q1545" s="43"/>
      <c r="R1545" s="43"/>
      <c r="S1545" s="43"/>
      <c r="T1545" s="43"/>
      <c r="U1545" s="43"/>
      <c r="V1545" s="43"/>
      <c r="W1545" s="43"/>
      <c r="X1545" s="43"/>
      <c r="Y1545" s="43"/>
    </row>
  </sheetData>
  <autoFilter ref="B1:B1545">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545"/>
  <sheetViews>
    <sheetView workbookViewId="0">
      <selection activeCell="A1" sqref="A1"/>
    </sheetView>
  </sheetViews>
  <sheetFormatPr defaultColWidth="12.6296296296296" defaultRowHeight="15.75" customHeight="1"/>
  <sheetData>
    <row r="1" customHeight="1" spans="1:27">
      <c r="A1" s="37" t="s">
        <v>370</v>
      </c>
      <c r="B1" s="37" t="s">
        <v>0</v>
      </c>
      <c r="C1" s="1" t="s">
        <v>1878</v>
      </c>
      <c r="D1" s="2"/>
      <c r="E1" s="2"/>
      <c r="F1" s="2"/>
      <c r="G1" s="2"/>
      <c r="H1" s="2"/>
      <c r="I1" s="2"/>
      <c r="J1" s="2"/>
      <c r="K1" s="2"/>
      <c r="L1" s="2"/>
      <c r="M1" s="2"/>
      <c r="N1" s="2"/>
      <c r="O1" s="2"/>
      <c r="P1" s="2"/>
      <c r="Q1" s="2"/>
      <c r="R1" s="2"/>
      <c r="S1" s="2"/>
      <c r="T1" s="2"/>
      <c r="U1" s="2"/>
      <c r="V1" s="2"/>
      <c r="W1" s="2"/>
      <c r="X1" s="2"/>
      <c r="Y1" s="2"/>
      <c r="Z1" s="2"/>
      <c r="AA1" s="2"/>
    </row>
    <row r="2" customHeight="1" spans="1:3">
      <c r="A2" s="38">
        <v>1</v>
      </c>
      <c r="B2" s="39" t="s">
        <v>8</v>
      </c>
      <c r="C2" s="3">
        <v>1</v>
      </c>
    </row>
    <row r="3" customHeight="1" spans="1:2">
      <c r="A3" s="38">
        <v>2</v>
      </c>
      <c r="B3" s="39" t="s">
        <v>371</v>
      </c>
    </row>
    <row r="4" customHeight="1" spans="1:2">
      <c r="A4" s="38">
        <v>3</v>
      </c>
      <c r="B4" s="39" t="s">
        <v>372</v>
      </c>
    </row>
    <row r="5" customHeight="1" spans="1:2">
      <c r="A5" s="38">
        <v>4</v>
      </c>
      <c r="B5" s="39" t="s">
        <v>373</v>
      </c>
    </row>
    <row r="6" customHeight="1" spans="1:2">
      <c r="A6" s="38">
        <v>5</v>
      </c>
      <c r="B6" s="39" t="s">
        <v>374</v>
      </c>
    </row>
    <row r="7" customHeight="1" spans="1:2">
      <c r="A7" s="38">
        <v>6</v>
      </c>
      <c r="B7" s="39" t="s">
        <v>375</v>
      </c>
    </row>
    <row r="8" customHeight="1" spans="1:2">
      <c r="A8" s="38">
        <v>7</v>
      </c>
      <c r="B8" s="39" t="s">
        <v>376</v>
      </c>
    </row>
    <row r="9" customHeight="1" spans="1:2">
      <c r="A9" s="38">
        <v>8</v>
      </c>
      <c r="B9" s="39" t="s">
        <v>377</v>
      </c>
    </row>
    <row r="10" customHeight="1" spans="1:2">
      <c r="A10" s="38">
        <v>9</v>
      </c>
      <c r="B10" s="39" t="s">
        <v>378</v>
      </c>
    </row>
    <row r="11" customHeight="1" spans="1:2">
      <c r="A11" s="38">
        <v>10</v>
      </c>
      <c r="B11" s="39" t="s">
        <v>379</v>
      </c>
    </row>
    <row r="12" customHeight="1" spans="1:3">
      <c r="A12" s="38">
        <v>11</v>
      </c>
      <c r="B12" s="39" t="s">
        <v>16</v>
      </c>
      <c r="C12" s="3">
        <v>1</v>
      </c>
    </row>
    <row r="13" customHeight="1" spans="1:2">
      <c r="A13" s="38">
        <v>12</v>
      </c>
      <c r="B13" s="39" t="s">
        <v>24</v>
      </c>
    </row>
    <row r="14" customHeight="1" spans="1:3">
      <c r="A14" s="38">
        <v>13</v>
      </c>
      <c r="B14" s="39" t="s">
        <v>32</v>
      </c>
      <c r="C14" s="3">
        <v>1</v>
      </c>
    </row>
    <row r="15" customHeight="1" spans="1:2">
      <c r="A15" s="38">
        <v>14</v>
      </c>
      <c r="B15" s="39" t="s">
        <v>380</v>
      </c>
    </row>
    <row r="16" customHeight="1" spans="1:2">
      <c r="A16" s="38">
        <v>15</v>
      </c>
      <c r="B16" s="39" t="s">
        <v>381</v>
      </c>
    </row>
    <row r="17" customHeight="1" spans="1:2">
      <c r="A17" s="38">
        <v>16</v>
      </c>
      <c r="B17" s="39" t="s">
        <v>382</v>
      </c>
    </row>
    <row r="18" customHeight="1" spans="1:2">
      <c r="A18" s="38">
        <v>17</v>
      </c>
      <c r="B18" s="39" t="s">
        <v>383</v>
      </c>
    </row>
    <row r="19" customHeight="1" spans="1:2">
      <c r="A19" s="38">
        <v>18</v>
      </c>
      <c r="B19" s="39" t="s">
        <v>384</v>
      </c>
    </row>
    <row r="20" customHeight="1" spans="1:2">
      <c r="A20" s="38">
        <v>19</v>
      </c>
      <c r="B20" s="39" t="s">
        <v>39</v>
      </c>
    </row>
    <row r="21" customHeight="1" spans="1:2">
      <c r="A21" s="38">
        <v>20</v>
      </c>
      <c r="B21" s="3" t="s">
        <v>46</v>
      </c>
    </row>
    <row r="22" customHeight="1" spans="1:2">
      <c r="A22" s="38">
        <v>21</v>
      </c>
      <c r="B22" s="39" t="s">
        <v>385</v>
      </c>
    </row>
    <row r="23" customHeight="1" spans="1:2">
      <c r="A23" s="38">
        <v>22</v>
      </c>
      <c r="B23" s="39" t="s">
        <v>386</v>
      </c>
    </row>
    <row r="24" customHeight="1" spans="1:2">
      <c r="A24" s="38">
        <v>23</v>
      </c>
      <c r="B24" s="39" t="s">
        <v>387</v>
      </c>
    </row>
    <row r="25" customHeight="1" spans="1:2">
      <c r="A25" s="38">
        <v>24</v>
      </c>
      <c r="B25" s="39" t="s">
        <v>298</v>
      </c>
    </row>
    <row r="26" customHeight="1" spans="1:2">
      <c r="A26" s="38">
        <v>25</v>
      </c>
      <c r="B26" s="39" t="s">
        <v>306</v>
      </c>
    </row>
    <row r="27" customHeight="1" spans="1:2">
      <c r="A27" s="38">
        <v>26</v>
      </c>
      <c r="B27" s="39" t="s">
        <v>388</v>
      </c>
    </row>
    <row r="28" customHeight="1" spans="1:2">
      <c r="A28" s="38">
        <v>27</v>
      </c>
      <c r="B28" s="39" t="s">
        <v>389</v>
      </c>
    </row>
    <row r="29" customHeight="1" spans="1:2">
      <c r="A29" s="38">
        <v>28</v>
      </c>
      <c r="B29" s="39" t="s">
        <v>313</v>
      </c>
    </row>
    <row r="30" customHeight="1" spans="1:2">
      <c r="A30" s="38">
        <v>29</v>
      </c>
      <c r="B30" s="39" t="s">
        <v>390</v>
      </c>
    </row>
    <row r="31" customHeight="1" spans="1:3">
      <c r="A31" s="38">
        <v>30</v>
      </c>
      <c r="B31" s="39" t="s">
        <v>320</v>
      </c>
      <c r="C31" s="3">
        <v>2</v>
      </c>
    </row>
    <row r="32" customHeight="1" spans="1:2">
      <c r="A32" s="38">
        <v>31</v>
      </c>
      <c r="B32" s="39" t="s">
        <v>327</v>
      </c>
    </row>
    <row r="33" customHeight="1" spans="1:2">
      <c r="A33" s="38">
        <v>32</v>
      </c>
      <c r="B33" s="39" t="s">
        <v>334</v>
      </c>
    </row>
    <row r="34" customHeight="1" spans="1:2">
      <c r="A34" s="38">
        <v>33</v>
      </c>
      <c r="B34" s="39" t="s">
        <v>391</v>
      </c>
    </row>
    <row r="35" customHeight="1" spans="1:2">
      <c r="A35" s="38">
        <v>34</v>
      </c>
      <c r="B35" s="39" t="s">
        <v>392</v>
      </c>
    </row>
    <row r="36" customHeight="1" spans="1:3">
      <c r="A36" s="38">
        <v>35</v>
      </c>
      <c r="B36" s="39" t="s">
        <v>393</v>
      </c>
      <c r="C36" s="3">
        <v>2</v>
      </c>
    </row>
    <row r="37" customHeight="1" spans="1:2">
      <c r="A37" s="38">
        <v>36</v>
      </c>
      <c r="B37" s="39" t="s">
        <v>394</v>
      </c>
    </row>
    <row r="38" customHeight="1" spans="1:2">
      <c r="A38" s="38">
        <v>37</v>
      </c>
      <c r="B38" s="39" t="s">
        <v>341</v>
      </c>
    </row>
    <row r="39" customHeight="1" spans="1:2">
      <c r="A39" s="38">
        <v>38</v>
      </c>
      <c r="B39" s="39" t="s">
        <v>348</v>
      </c>
    </row>
    <row r="40" customHeight="1" spans="1:2">
      <c r="A40" s="38">
        <v>39</v>
      </c>
      <c r="B40" s="39" t="s">
        <v>395</v>
      </c>
    </row>
    <row r="41" customHeight="1" spans="1:2">
      <c r="A41" s="38">
        <v>40</v>
      </c>
      <c r="B41" s="39" t="s">
        <v>396</v>
      </c>
    </row>
    <row r="42" customHeight="1" spans="1:3">
      <c r="A42" s="38">
        <v>41</v>
      </c>
      <c r="B42" s="39" t="s">
        <v>397</v>
      </c>
      <c r="C42" s="3">
        <v>2</v>
      </c>
    </row>
    <row r="43" customHeight="1" spans="1:2">
      <c r="A43" s="38">
        <v>42</v>
      </c>
      <c r="B43" s="39" t="s">
        <v>355</v>
      </c>
    </row>
    <row r="44" customHeight="1" spans="1:2">
      <c r="A44" s="38">
        <v>43</v>
      </c>
      <c r="B44" s="39" t="s">
        <v>363</v>
      </c>
    </row>
    <row r="45" customHeight="1" spans="1:2">
      <c r="A45" s="38">
        <v>44</v>
      </c>
      <c r="B45" s="39" t="s">
        <v>398</v>
      </c>
    </row>
    <row r="46" customHeight="1" spans="1:2">
      <c r="A46" s="38">
        <v>45</v>
      </c>
      <c r="B46" s="39" t="s">
        <v>399</v>
      </c>
    </row>
    <row r="47" customHeight="1" spans="1:2">
      <c r="A47" s="38">
        <v>46</v>
      </c>
      <c r="B47" s="39" t="s">
        <v>400</v>
      </c>
    </row>
    <row r="48" customHeight="1" spans="1:2">
      <c r="A48" s="38">
        <v>47</v>
      </c>
      <c r="B48" s="39" t="s">
        <v>401</v>
      </c>
    </row>
    <row r="49" customHeight="1" spans="1:2">
      <c r="A49" s="38">
        <v>48</v>
      </c>
      <c r="B49" s="39" t="s">
        <v>402</v>
      </c>
    </row>
    <row r="50" customHeight="1" spans="1:2">
      <c r="A50" s="38">
        <v>49</v>
      </c>
      <c r="B50" s="39" t="s">
        <v>403</v>
      </c>
    </row>
    <row r="51" customHeight="1" spans="1:2">
      <c r="A51" s="38">
        <v>50</v>
      </c>
      <c r="B51" s="39" t="s">
        <v>404</v>
      </c>
    </row>
    <row r="52" customHeight="1" spans="1:2">
      <c r="A52" s="38">
        <v>51</v>
      </c>
      <c r="B52" s="39" t="s">
        <v>405</v>
      </c>
    </row>
    <row r="53" customHeight="1" spans="1:3">
      <c r="A53" s="38">
        <v>52</v>
      </c>
      <c r="B53" s="39" t="s">
        <v>406</v>
      </c>
      <c r="C53" s="3">
        <v>1</v>
      </c>
    </row>
    <row r="54" customHeight="1" spans="1:2">
      <c r="A54" s="38">
        <v>53</v>
      </c>
      <c r="B54" s="39" t="s">
        <v>407</v>
      </c>
    </row>
    <row r="55" customHeight="1" spans="1:3">
      <c r="A55" s="38">
        <v>54</v>
      </c>
      <c r="B55" s="39" t="s">
        <v>53</v>
      </c>
      <c r="C55" s="3">
        <v>1</v>
      </c>
    </row>
    <row r="56" customHeight="1" spans="1:3">
      <c r="A56" s="38">
        <v>55</v>
      </c>
      <c r="B56" s="39" t="s">
        <v>408</v>
      </c>
      <c r="C56" s="3">
        <v>1</v>
      </c>
    </row>
    <row r="57" customHeight="1" spans="1:2">
      <c r="A57" s="38">
        <v>56</v>
      </c>
      <c r="B57" s="38" t="s">
        <v>409</v>
      </c>
    </row>
    <row r="58" customHeight="1" spans="1:2">
      <c r="A58" s="38">
        <v>57</v>
      </c>
      <c r="B58" s="39" t="s">
        <v>410</v>
      </c>
    </row>
    <row r="59" customHeight="1" spans="1:3">
      <c r="A59" s="38">
        <v>58</v>
      </c>
      <c r="B59" s="39" t="s">
        <v>411</v>
      </c>
      <c r="C59" s="3">
        <v>2</v>
      </c>
    </row>
    <row r="60" customHeight="1" spans="1:2">
      <c r="A60" s="38">
        <v>59</v>
      </c>
      <c r="B60" s="39" t="s">
        <v>412</v>
      </c>
    </row>
    <row r="61" customHeight="1" spans="1:2">
      <c r="A61" s="38">
        <v>60</v>
      </c>
      <c r="B61" s="39" t="s">
        <v>413</v>
      </c>
    </row>
    <row r="62" customHeight="1" spans="1:3">
      <c r="A62" s="38">
        <v>61</v>
      </c>
      <c r="B62" s="39" t="s">
        <v>414</v>
      </c>
      <c r="C62" s="3">
        <v>1</v>
      </c>
    </row>
    <row r="63" customHeight="1" spans="1:2">
      <c r="A63" s="38">
        <v>62</v>
      </c>
      <c r="B63" s="39" t="s">
        <v>415</v>
      </c>
    </row>
    <row r="64" customHeight="1" spans="1:3">
      <c r="A64" s="38">
        <v>63</v>
      </c>
      <c r="B64" s="39" t="s">
        <v>416</v>
      </c>
      <c r="C64" s="3">
        <v>2</v>
      </c>
    </row>
    <row r="65" customHeight="1" spans="1:2">
      <c r="A65" s="38">
        <v>64</v>
      </c>
      <c r="B65" s="39" t="s">
        <v>417</v>
      </c>
    </row>
    <row r="66" customHeight="1" spans="1:2">
      <c r="A66" s="38">
        <v>65</v>
      </c>
      <c r="B66" s="39" t="s">
        <v>418</v>
      </c>
    </row>
    <row r="67" customHeight="1" spans="1:2">
      <c r="A67" s="38">
        <v>66</v>
      </c>
      <c r="B67" s="39" t="s">
        <v>419</v>
      </c>
    </row>
    <row r="68" customHeight="1" spans="1:2">
      <c r="A68" s="38">
        <v>67</v>
      </c>
      <c r="B68" s="39" t="s">
        <v>420</v>
      </c>
    </row>
    <row r="69" customHeight="1" spans="1:2">
      <c r="A69" s="38">
        <v>68</v>
      </c>
      <c r="B69" s="39" t="s">
        <v>421</v>
      </c>
    </row>
    <row r="70" customHeight="1" spans="1:2">
      <c r="A70" s="38">
        <v>69</v>
      </c>
      <c r="B70" s="39" t="s">
        <v>422</v>
      </c>
    </row>
    <row r="71" customHeight="1" spans="1:2">
      <c r="A71" s="38">
        <v>70</v>
      </c>
      <c r="B71" s="39" t="s">
        <v>423</v>
      </c>
    </row>
    <row r="72" customHeight="1" spans="1:2">
      <c r="A72" s="38">
        <v>71</v>
      </c>
      <c r="B72" s="39" t="s">
        <v>424</v>
      </c>
    </row>
    <row r="73" customHeight="1" spans="1:3">
      <c r="A73" s="38">
        <v>72</v>
      </c>
      <c r="B73" s="39" t="s">
        <v>61</v>
      </c>
      <c r="C73" s="3">
        <v>1</v>
      </c>
    </row>
    <row r="74" customHeight="1" spans="1:3">
      <c r="A74" s="38">
        <v>73</v>
      </c>
      <c r="B74" s="39" t="s">
        <v>425</v>
      </c>
      <c r="C74" s="3">
        <v>1</v>
      </c>
    </row>
    <row r="75" customHeight="1" spans="1:3">
      <c r="A75" s="38">
        <v>74</v>
      </c>
      <c r="B75" s="39" t="s">
        <v>426</v>
      </c>
      <c r="C75" s="3">
        <v>1</v>
      </c>
    </row>
    <row r="76" customHeight="1" spans="1:3">
      <c r="A76" s="38">
        <v>75</v>
      </c>
      <c r="B76" s="39" t="s">
        <v>427</v>
      </c>
      <c r="C76" s="3">
        <v>2</v>
      </c>
    </row>
    <row r="77" customHeight="1" spans="1:2">
      <c r="A77" s="38">
        <v>76</v>
      </c>
      <c r="B77" s="39" t="s">
        <v>428</v>
      </c>
    </row>
    <row r="78" customHeight="1" spans="1:2">
      <c r="A78" s="38">
        <v>77</v>
      </c>
      <c r="B78" s="39" t="s">
        <v>429</v>
      </c>
    </row>
    <row r="79" customHeight="1" spans="1:2">
      <c r="A79" s="38">
        <v>78</v>
      </c>
      <c r="B79" s="39" t="s">
        <v>430</v>
      </c>
    </row>
    <row r="80" customHeight="1" spans="1:3">
      <c r="A80" s="38">
        <v>79</v>
      </c>
      <c r="B80" s="39" t="s">
        <v>431</v>
      </c>
      <c r="C80" s="3">
        <v>1</v>
      </c>
    </row>
    <row r="81" customHeight="1" spans="1:3">
      <c r="A81" s="38">
        <v>80</v>
      </c>
      <c r="B81" s="39" t="s">
        <v>68</v>
      </c>
      <c r="C81" s="3">
        <v>1</v>
      </c>
    </row>
    <row r="82" customHeight="1" spans="1:2">
      <c r="A82" s="38">
        <v>81</v>
      </c>
      <c r="B82" s="39" t="s">
        <v>432</v>
      </c>
    </row>
    <row r="83" customHeight="1" spans="1:2">
      <c r="A83" s="38">
        <v>82</v>
      </c>
      <c r="B83" s="39" t="s">
        <v>433</v>
      </c>
    </row>
    <row r="84" customHeight="1" spans="1:2">
      <c r="A84" s="38">
        <v>83</v>
      </c>
      <c r="B84" s="39" t="s">
        <v>434</v>
      </c>
    </row>
    <row r="85" customHeight="1" spans="1:2">
      <c r="A85" s="38">
        <v>84</v>
      </c>
      <c r="B85" s="39" t="s">
        <v>435</v>
      </c>
    </row>
    <row r="86" customHeight="1" spans="1:2">
      <c r="A86" s="38">
        <v>85</v>
      </c>
      <c r="B86" s="39" t="s">
        <v>436</v>
      </c>
    </row>
    <row r="87" customHeight="1" spans="1:2">
      <c r="A87" s="38">
        <v>86</v>
      </c>
      <c r="B87" s="39" t="s">
        <v>437</v>
      </c>
    </row>
    <row r="88" customHeight="1" spans="1:2">
      <c r="A88" s="38">
        <v>87</v>
      </c>
      <c r="B88" s="39" t="s">
        <v>438</v>
      </c>
    </row>
    <row r="89" customHeight="1" spans="1:2">
      <c r="A89" s="38">
        <v>88</v>
      </c>
      <c r="B89" s="39" t="s">
        <v>439</v>
      </c>
    </row>
    <row r="90" customHeight="1" spans="1:2">
      <c r="A90" s="38">
        <v>89</v>
      </c>
      <c r="B90" s="39" t="s">
        <v>440</v>
      </c>
    </row>
    <row r="91" customHeight="1" spans="1:2">
      <c r="A91" s="38">
        <v>90</v>
      </c>
      <c r="B91" s="39" t="s">
        <v>441</v>
      </c>
    </row>
    <row r="92" customHeight="1" spans="1:2">
      <c r="A92" s="38">
        <v>91</v>
      </c>
      <c r="B92" s="39" t="s">
        <v>442</v>
      </c>
    </row>
    <row r="93" customHeight="1" spans="1:2">
      <c r="A93" s="38">
        <v>92</v>
      </c>
      <c r="B93" s="39" t="s">
        <v>443</v>
      </c>
    </row>
    <row r="94" customHeight="1" spans="1:2">
      <c r="A94" s="38">
        <v>93</v>
      </c>
      <c r="B94" s="39" t="s">
        <v>444</v>
      </c>
    </row>
    <row r="95" customHeight="1" spans="1:2">
      <c r="A95" s="38">
        <v>94</v>
      </c>
      <c r="B95" s="39" t="s">
        <v>445</v>
      </c>
    </row>
    <row r="96" customHeight="1" spans="1:2">
      <c r="A96" s="38">
        <v>95</v>
      </c>
      <c r="B96" s="39" t="s">
        <v>446</v>
      </c>
    </row>
    <row r="97" customHeight="1" spans="1:2">
      <c r="A97" s="38">
        <v>96</v>
      </c>
      <c r="B97" s="39" t="s">
        <v>447</v>
      </c>
    </row>
    <row r="98" customHeight="1" spans="1:2">
      <c r="A98" s="38">
        <v>97</v>
      </c>
      <c r="B98" s="39" t="s">
        <v>448</v>
      </c>
    </row>
    <row r="99" customHeight="1" spans="1:2">
      <c r="A99" s="38">
        <v>98</v>
      </c>
      <c r="B99" s="39" t="s">
        <v>449</v>
      </c>
    </row>
    <row r="100" customHeight="1" spans="1:2">
      <c r="A100" s="38">
        <v>99</v>
      </c>
      <c r="B100" s="39" t="s">
        <v>450</v>
      </c>
    </row>
    <row r="101" customHeight="1" spans="1:2">
      <c r="A101" s="38">
        <v>100</v>
      </c>
      <c r="B101" s="39" t="s">
        <v>451</v>
      </c>
    </row>
    <row r="102" customHeight="1" spans="1:2">
      <c r="A102" s="38">
        <v>101</v>
      </c>
      <c r="B102" s="39" t="s">
        <v>452</v>
      </c>
    </row>
    <row r="103" customHeight="1" spans="1:3">
      <c r="A103" s="38">
        <v>102</v>
      </c>
      <c r="B103" s="39" t="s">
        <v>453</v>
      </c>
      <c r="C103" s="3">
        <v>2</v>
      </c>
    </row>
    <row r="104" customHeight="1" spans="1:2">
      <c r="A104" s="38">
        <v>103</v>
      </c>
      <c r="B104" s="39" t="s">
        <v>454</v>
      </c>
    </row>
    <row r="105" customHeight="1" spans="1:2">
      <c r="A105" s="38">
        <v>104</v>
      </c>
      <c r="B105" s="39" t="s">
        <v>455</v>
      </c>
    </row>
    <row r="106" customHeight="1" spans="1:3">
      <c r="A106" s="38">
        <v>105</v>
      </c>
      <c r="B106" s="39" t="s">
        <v>75</v>
      </c>
      <c r="C106" s="3">
        <v>1</v>
      </c>
    </row>
    <row r="107" customHeight="1" spans="1:2">
      <c r="A107" s="38">
        <v>106</v>
      </c>
      <c r="B107" s="39" t="s">
        <v>456</v>
      </c>
    </row>
    <row r="108" customHeight="1" spans="1:2">
      <c r="A108" s="38">
        <v>107</v>
      </c>
      <c r="B108" s="39" t="s">
        <v>457</v>
      </c>
    </row>
    <row r="109" customHeight="1" spans="1:2">
      <c r="A109" s="38">
        <v>108</v>
      </c>
      <c r="B109" s="39" t="s">
        <v>458</v>
      </c>
    </row>
    <row r="110" customHeight="1" spans="1:2">
      <c r="A110" s="38">
        <v>109</v>
      </c>
      <c r="B110" s="39" t="s">
        <v>459</v>
      </c>
    </row>
    <row r="111" customHeight="1" spans="1:2">
      <c r="A111" s="38">
        <v>110</v>
      </c>
      <c r="B111" s="39" t="s">
        <v>460</v>
      </c>
    </row>
    <row r="112" customHeight="1" spans="1:2">
      <c r="A112" s="38">
        <v>111</v>
      </c>
      <c r="B112" s="39" t="s">
        <v>461</v>
      </c>
    </row>
    <row r="113" customHeight="1" spans="1:2">
      <c r="A113" s="38">
        <v>112</v>
      </c>
      <c r="B113" s="39" t="s">
        <v>462</v>
      </c>
    </row>
    <row r="114" customHeight="1" spans="1:2">
      <c r="A114" s="38">
        <v>113</v>
      </c>
      <c r="B114" s="39" t="s">
        <v>463</v>
      </c>
    </row>
    <row r="115" customHeight="1" spans="1:2">
      <c r="A115" s="38">
        <v>114</v>
      </c>
      <c r="B115" s="39" t="s">
        <v>464</v>
      </c>
    </row>
    <row r="116" customHeight="1" spans="1:2">
      <c r="A116" s="38">
        <v>115</v>
      </c>
      <c r="B116" s="39" t="s">
        <v>465</v>
      </c>
    </row>
    <row r="117" customHeight="1" spans="1:2">
      <c r="A117" s="38">
        <v>116</v>
      </c>
      <c r="B117" s="39" t="s">
        <v>466</v>
      </c>
    </row>
    <row r="118" customHeight="1" spans="1:2">
      <c r="A118" s="38">
        <v>117</v>
      </c>
      <c r="B118" s="39" t="s">
        <v>82</v>
      </c>
    </row>
    <row r="119" customHeight="1" spans="1:2">
      <c r="A119" s="38">
        <v>118</v>
      </c>
      <c r="B119" s="39" t="s">
        <v>467</v>
      </c>
    </row>
    <row r="120" customHeight="1" spans="1:2">
      <c r="A120" s="38">
        <v>119</v>
      </c>
      <c r="B120" s="39" t="s">
        <v>468</v>
      </c>
    </row>
    <row r="121" customHeight="1" spans="1:2">
      <c r="A121" s="38">
        <v>120</v>
      </c>
      <c r="B121" s="39" t="s">
        <v>469</v>
      </c>
    </row>
    <row r="122" customHeight="1" spans="1:2">
      <c r="A122" s="38">
        <v>121</v>
      </c>
      <c r="B122" s="39" t="s">
        <v>470</v>
      </c>
    </row>
    <row r="123" customHeight="1" spans="1:2">
      <c r="A123" s="38">
        <v>122</v>
      </c>
      <c r="B123" s="39" t="s">
        <v>471</v>
      </c>
    </row>
    <row r="124" customHeight="1" spans="1:2">
      <c r="A124" s="38">
        <v>123</v>
      </c>
      <c r="B124" s="39" t="s">
        <v>472</v>
      </c>
    </row>
    <row r="125" customHeight="1" spans="1:2">
      <c r="A125" s="38">
        <v>124</v>
      </c>
      <c r="B125" s="39" t="s">
        <v>473</v>
      </c>
    </row>
    <row r="126" customHeight="1" spans="1:2">
      <c r="A126" s="38">
        <v>125</v>
      </c>
      <c r="B126" s="39" t="s">
        <v>474</v>
      </c>
    </row>
    <row r="127" customHeight="1" spans="1:2">
      <c r="A127" s="38">
        <v>126</v>
      </c>
      <c r="B127" s="39" t="s">
        <v>475</v>
      </c>
    </row>
    <row r="128" customHeight="1" spans="1:2">
      <c r="A128" s="38">
        <v>127</v>
      </c>
      <c r="B128" s="39" t="s">
        <v>476</v>
      </c>
    </row>
    <row r="129" customHeight="1" spans="1:2">
      <c r="A129" s="38">
        <v>128</v>
      </c>
      <c r="B129" s="39" t="s">
        <v>477</v>
      </c>
    </row>
    <row r="130" customHeight="1" spans="1:2">
      <c r="A130" s="38">
        <v>129</v>
      </c>
      <c r="B130" s="39" t="s">
        <v>478</v>
      </c>
    </row>
    <row r="131" customHeight="1" spans="1:2">
      <c r="A131" s="38">
        <v>130</v>
      </c>
      <c r="B131" s="39" t="s">
        <v>479</v>
      </c>
    </row>
    <row r="132" customHeight="1" spans="1:2">
      <c r="A132" s="38">
        <v>131</v>
      </c>
      <c r="B132" s="39" t="s">
        <v>480</v>
      </c>
    </row>
    <row r="133" customHeight="1" spans="1:2">
      <c r="A133" s="38">
        <v>132</v>
      </c>
      <c r="B133" s="39" t="s">
        <v>481</v>
      </c>
    </row>
    <row r="134" customHeight="1" spans="1:2">
      <c r="A134" s="38">
        <v>133</v>
      </c>
      <c r="B134" s="39" t="s">
        <v>482</v>
      </c>
    </row>
    <row r="135" customHeight="1" spans="1:2">
      <c r="A135" s="38">
        <v>134</v>
      </c>
      <c r="B135" s="39" t="s">
        <v>483</v>
      </c>
    </row>
    <row r="136" customHeight="1" spans="1:2">
      <c r="A136" s="38">
        <v>135</v>
      </c>
      <c r="B136" s="39" t="s">
        <v>484</v>
      </c>
    </row>
    <row r="137" customHeight="1" spans="1:2">
      <c r="A137" s="38">
        <v>136</v>
      </c>
      <c r="B137" s="39" t="s">
        <v>485</v>
      </c>
    </row>
    <row r="138" customHeight="1" spans="1:2">
      <c r="A138" s="38">
        <v>137</v>
      </c>
      <c r="B138" s="39" t="s">
        <v>486</v>
      </c>
    </row>
    <row r="139" customHeight="1" spans="1:2">
      <c r="A139" s="38">
        <v>138</v>
      </c>
      <c r="B139" s="39" t="s">
        <v>487</v>
      </c>
    </row>
    <row r="140" customHeight="1" spans="1:2">
      <c r="A140" s="38">
        <v>139</v>
      </c>
      <c r="B140" s="39" t="s">
        <v>488</v>
      </c>
    </row>
    <row r="141" customHeight="1" spans="1:2">
      <c r="A141" s="38">
        <v>140</v>
      </c>
      <c r="B141" s="39" t="s">
        <v>489</v>
      </c>
    </row>
    <row r="142" customHeight="1" spans="1:2">
      <c r="A142" s="38">
        <v>141</v>
      </c>
      <c r="B142" s="39" t="s">
        <v>490</v>
      </c>
    </row>
    <row r="143" customHeight="1" spans="1:2">
      <c r="A143" s="38">
        <v>142</v>
      </c>
      <c r="B143" s="39" t="s">
        <v>491</v>
      </c>
    </row>
    <row r="144" customHeight="1" spans="1:3">
      <c r="A144" s="38">
        <v>143</v>
      </c>
      <c r="B144" s="39" t="s">
        <v>492</v>
      </c>
      <c r="C144" s="3">
        <v>1</v>
      </c>
    </row>
    <row r="145" customHeight="1" spans="1:2">
      <c r="A145" s="38">
        <v>144</v>
      </c>
      <c r="B145" s="39" t="s">
        <v>493</v>
      </c>
    </row>
    <row r="146" customHeight="1" spans="1:2">
      <c r="A146" s="38">
        <v>145</v>
      </c>
      <c r="B146" s="39" t="s">
        <v>494</v>
      </c>
    </row>
    <row r="147" customHeight="1" spans="1:2">
      <c r="A147" s="38">
        <v>146</v>
      </c>
      <c r="B147" s="39" t="s">
        <v>495</v>
      </c>
    </row>
    <row r="148" customHeight="1" spans="1:2">
      <c r="A148" s="38">
        <v>147</v>
      </c>
      <c r="B148" s="39" t="s">
        <v>496</v>
      </c>
    </row>
    <row r="149" customHeight="1" spans="1:2">
      <c r="A149" s="38">
        <v>148</v>
      </c>
      <c r="B149" s="39" t="s">
        <v>497</v>
      </c>
    </row>
    <row r="150" customHeight="1" spans="1:2">
      <c r="A150" s="38">
        <v>149</v>
      </c>
      <c r="B150" s="39" t="s">
        <v>498</v>
      </c>
    </row>
    <row r="151" customHeight="1" spans="1:2">
      <c r="A151" s="38">
        <v>150</v>
      </c>
      <c r="B151" s="39" t="s">
        <v>499</v>
      </c>
    </row>
    <row r="152" customHeight="1" spans="1:2">
      <c r="A152" s="38">
        <v>151</v>
      </c>
      <c r="B152" s="39" t="s">
        <v>500</v>
      </c>
    </row>
    <row r="153" customHeight="1" spans="1:2">
      <c r="A153" s="38">
        <v>152</v>
      </c>
      <c r="B153" s="39" t="s">
        <v>501</v>
      </c>
    </row>
    <row r="154" customHeight="1" spans="1:2">
      <c r="A154" s="38">
        <v>153</v>
      </c>
      <c r="B154" s="39" t="s">
        <v>502</v>
      </c>
    </row>
    <row r="155" customHeight="1" spans="1:3">
      <c r="A155" s="38">
        <v>154</v>
      </c>
      <c r="B155" s="39" t="s">
        <v>503</v>
      </c>
      <c r="C155" s="3">
        <v>2</v>
      </c>
    </row>
    <row r="156" customHeight="1" spans="1:2">
      <c r="A156" s="38">
        <v>155</v>
      </c>
      <c r="B156" s="39" t="s">
        <v>504</v>
      </c>
    </row>
    <row r="157" customHeight="1" spans="1:2">
      <c r="A157" s="38">
        <v>156</v>
      </c>
      <c r="B157" s="39" t="s">
        <v>505</v>
      </c>
    </row>
    <row r="158" customHeight="1" spans="1:2">
      <c r="A158" s="38">
        <v>157</v>
      </c>
      <c r="B158" s="39" t="s">
        <v>506</v>
      </c>
    </row>
    <row r="159" customHeight="1" spans="1:2">
      <c r="A159" s="38">
        <v>158</v>
      </c>
      <c r="B159" s="39" t="s">
        <v>507</v>
      </c>
    </row>
    <row r="160" customHeight="1" spans="1:2">
      <c r="A160" s="38">
        <v>159</v>
      </c>
      <c r="B160" s="39" t="s">
        <v>508</v>
      </c>
    </row>
    <row r="161" customHeight="1" spans="1:2">
      <c r="A161" s="38">
        <v>160</v>
      </c>
      <c r="B161" s="39" t="s">
        <v>509</v>
      </c>
    </row>
    <row r="162" customHeight="1" spans="1:2">
      <c r="A162" s="38">
        <v>161</v>
      </c>
      <c r="B162" s="39" t="s">
        <v>510</v>
      </c>
    </row>
    <row r="163" customHeight="1" spans="1:2">
      <c r="A163" s="38">
        <v>162</v>
      </c>
      <c r="B163" s="39" t="s">
        <v>511</v>
      </c>
    </row>
    <row r="164" customHeight="1" spans="1:2">
      <c r="A164" s="38">
        <v>163</v>
      </c>
      <c r="B164" s="39" t="s">
        <v>512</v>
      </c>
    </row>
    <row r="165" customHeight="1" spans="1:2">
      <c r="A165" s="38">
        <v>164</v>
      </c>
      <c r="B165" s="39" t="s">
        <v>513</v>
      </c>
    </row>
    <row r="166" customHeight="1" spans="1:2">
      <c r="A166" s="38">
        <v>165</v>
      </c>
      <c r="B166" s="39" t="s">
        <v>514</v>
      </c>
    </row>
    <row r="167" customHeight="1" spans="1:2">
      <c r="A167" s="38">
        <v>166</v>
      </c>
      <c r="B167" s="39" t="s">
        <v>515</v>
      </c>
    </row>
    <row r="168" customHeight="1" spans="1:3">
      <c r="A168" s="38">
        <v>167</v>
      </c>
      <c r="B168" s="39" t="s">
        <v>516</v>
      </c>
      <c r="C168" s="3">
        <v>2</v>
      </c>
    </row>
    <row r="169" customHeight="1" spans="1:2">
      <c r="A169" s="38">
        <v>168</v>
      </c>
      <c r="B169" s="39" t="s">
        <v>517</v>
      </c>
    </row>
    <row r="170" customHeight="1" spans="1:2">
      <c r="A170" s="38">
        <v>169</v>
      </c>
      <c r="B170" s="39" t="s">
        <v>518</v>
      </c>
    </row>
    <row r="171" customHeight="1" spans="1:2">
      <c r="A171" s="38">
        <v>170</v>
      </c>
      <c r="B171" s="39" t="s">
        <v>519</v>
      </c>
    </row>
    <row r="172" customHeight="1" spans="1:2">
      <c r="A172" s="38">
        <v>171</v>
      </c>
      <c r="B172" s="39" t="s">
        <v>520</v>
      </c>
    </row>
    <row r="173" customHeight="1" spans="1:2">
      <c r="A173" s="38">
        <v>172</v>
      </c>
      <c r="B173" s="39" t="s">
        <v>521</v>
      </c>
    </row>
    <row r="174" customHeight="1" spans="1:2">
      <c r="A174" s="38">
        <v>173</v>
      </c>
      <c r="B174" s="39" t="s">
        <v>522</v>
      </c>
    </row>
    <row r="175" customHeight="1" spans="1:2">
      <c r="A175" s="38">
        <v>174</v>
      </c>
      <c r="B175" s="39" t="s">
        <v>524</v>
      </c>
    </row>
    <row r="176" customHeight="1" spans="1:2">
      <c r="A176" s="38">
        <v>175</v>
      </c>
      <c r="B176" s="39" t="s">
        <v>89</v>
      </c>
    </row>
    <row r="177" customHeight="1" spans="1:2">
      <c r="A177" s="38">
        <v>176</v>
      </c>
      <c r="B177" s="39" t="s">
        <v>526</v>
      </c>
    </row>
    <row r="178" customHeight="1" spans="1:2">
      <c r="A178" s="38">
        <v>177</v>
      </c>
      <c r="B178" s="39" t="s">
        <v>527</v>
      </c>
    </row>
    <row r="179" customHeight="1" spans="1:2">
      <c r="A179" s="38">
        <v>178</v>
      </c>
      <c r="B179" s="39" t="s">
        <v>528</v>
      </c>
    </row>
    <row r="180" customHeight="1" spans="1:2">
      <c r="A180" s="38">
        <v>179</v>
      </c>
      <c r="B180" s="39" t="s">
        <v>529</v>
      </c>
    </row>
    <row r="181" customHeight="1" spans="1:2">
      <c r="A181" s="38">
        <v>180</v>
      </c>
      <c r="B181" s="39" t="s">
        <v>530</v>
      </c>
    </row>
    <row r="182" customHeight="1" spans="1:3">
      <c r="A182" s="38">
        <v>181</v>
      </c>
      <c r="B182" s="39" t="s">
        <v>531</v>
      </c>
      <c r="C182" s="3">
        <v>1</v>
      </c>
    </row>
    <row r="183" customHeight="1" spans="1:2">
      <c r="A183" s="38">
        <v>182</v>
      </c>
      <c r="B183" s="39" t="s">
        <v>532</v>
      </c>
    </row>
    <row r="184" customHeight="1" spans="1:2">
      <c r="A184" s="38">
        <v>183</v>
      </c>
      <c r="B184" s="39" t="s">
        <v>533</v>
      </c>
    </row>
    <row r="185" customHeight="1" spans="1:2">
      <c r="A185" s="38">
        <v>184</v>
      </c>
      <c r="B185" s="39" t="s">
        <v>534</v>
      </c>
    </row>
    <row r="186" customHeight="1" spans="1:2">
      <c r="A186" s="38">
        <v>185</v>
      </c>
      <c r="B186" s="39" t="s">
        <v>535</v>
      </c>
    </row>
    <row r="187" customHeight="1" spans="1:2">
      <c r="A187" s="38">
        <v>186</v>
      </c>
      <c r="B187" s="39" t="s">
        <v>536</v>
      </c>
    </row>
    <row r="188" customHeight="1" spans="1:2">
      <c r="A188" s="38">
        <v>187</v>
      </c>
      <c r="B188" s="39" t="s">
        <v>537</v>
      </c>
    </row>
    <row r="189" customHeight="1" spans="1:2">
      <c r="A189" s="38">
        <v>188</v>
      </c>
      <c r="B189" s="39" t="s">
        <v>538</v>
      </c>
    </row>
    <row r="190" customHeight="1" spans="1:2">
      <c r="A190" s="38">
        <v>189</v>
      </c>
      <c r="B190" s="39" t="s">
        <v>539</v>
      </c>
    </row>
    <row r="191" customHeight="1" spans="1:2">
      <c r="A191" s="38">
        <v>190</v>
      </c>
      <c r="B191" s="39" t="s">
        <v>540</v>
      </c>
    </row>
    <row r="192" customHeight="1" spans="1:2">
      <c r="A192" s="38">
        <v>191</v>
      </c>
      <c r="B192" s="39" t="s">
        <v>541</v>
      </c>
    </row>
    <row r="193" customHeight="1" spans="1:3">
      <c r="A193" s="38">
        <v>192</v>
      </c>
      <c r="B193" s="39" t="s">
        <v>542</v>
      </c>
      <c r="C193" s="3">
        <v>1</v>
      </c>
    </row>
    <row r="194" customHeight="1" spans="1:2">
      <c r="A194" s="38">
        <v>193</v>
      </c>
      <c r="B194" s="39" t="s">
        <v>543</v>
      </c>
    </row>
    <row r="195" customHeight="1" spans="1:3">
      <c r="A195" s="38">
        <v>194</v>
      </c>
      <c r="B195" s="39" t="s">
        <v>544</v>
      </c>
      <c r="C195" s="3">
        <v>1</v>
      </c>
    </row>
    <row r="196" customHeight="1" spans="1:2">
      <c r="A196" s="38">
        <v>195</v>
      </c>
      <c r="B196" s="39" t="s">
        <v>545</v>
      </c>
    </row>
    <row r="197" customHeight="1" spans="1:2">
      <c r="A197" s="38">
        <v>196</v>
      </c>
      <c r="B197" s="39" t="s">
        <v>546</v>
      </c>
    </row>
    <row r="198" customHeight="1" spans="1:2">
      <c r="A198" s="38">
        <v>197</v>
      </c>
      <c r="B198" s="39" t="s">
        <v>547</v>
      </c>
    </row>
    <row r="199" customHeight="1" spans="1:2">
      <c r="A199" s="38">
        <v>198</v>
      </c>
      <c r="B199" s="39" t="s">
        <v>548</v>
      </c>
    </row>
    <row r="200" customHeight="1" spans="1:2">
      <c r="A200" s="38">
        <v>199</v>
      </c>
      <c r="B200" s="39" t="s">
        <v>549</v>
      </c>
    </row>
    <row r="201" customHeight="1" spans="1:2">
      <c r="A201" s="38">
        <v>200</v>
      </c>
      <c r="B201" s="39" t="s">
        <v>550</v>
      </c>
    </row>
    <row r="202" customHeight="1" spans="1:2">
      <c r="A202" s="38">
        <v>201</v>
      </c>
      <c r="B202" s="39" t="s">
        <v>551</v>
      </c>
    </row>
    <row r="203" customHeight="1" spans="1:2">
      <c r="A203" s="38">
        <v>202</v>
      </c>
      <c r="B203" s="39" t="s">
        <v>552</v>
      </c>
    </row>
    <row r="204" customHeight="1" spans="1:2">
      <c r="A204" s="38">
        <v>203</v>
      </c>
      <c r="B204" s="39" t="s">
        <v>553</v>
      </c>
    </row>
    <row r="205" customHeight="1" spans="1:2">
      <c r="A205" s="38">
        <v>204</v>
      </c>
      <c r="B205" s="39" t="s">
        <v>554</v>
      </c>
    </row>
    <row r="206" customHeight="1" spans="1:2">
      <c r="A206" s="38">
        <v>205</v>
      </c>
      <c r="B206" s="39" t="s">
        <v>555</v>
      </c>
    </row>
    <row r="207" customHeight="1" spans="1:2">
      <c r="A207" s="38">
        <v>206</v>
      </c>
      <c r="B207" s="39" t="s">
        <v>556</v>
      </c>
    </row>
    <row r="208" customHeight="1" spans="1:3">
      <c r="A208" s="38">
        <v>207</v>
      </c>
      <c r="B208" s="39" t="s">
        <v>557</v>
      </c>
      <c r="C208" s="3">
        <v>1</v>
      </c>
    </row>
    <row r="209" customHeight="1" spans="1:3">
      <c r="A209" s="38">
        <v>208</v>
      </c>
      <c r="B209" s="39" t="s">
        <v>96</v>
      </c>
      <c r="C209" s="3">
        <v>1</v>
      </c>
    </row>
    <row r="210" customHeight="1" spans="1:2">
      <c r="A210" s="38">
        <v>209</v>
      </c>
      <c r="B210" s="39" t="s">
        <v>558</v>
      </c>
    </row>
    <row r="211" customHeight="1" spans="1:2">
      <c r="A211" s="38">
        <v>210</v>
      </c>
      <c r="B211" s="39" t="s">
        <v>559</v>
      </c>
    </row>
    <row r="212" customHeight="1" spans="1:2">
      <c r="A212" s="38">
        <v>211</v>
      </c>
      <c r="B212" s="39" t="s">
        <v>560</v>
      </c>
    </row>
    <row r="213" customHeight="1" spans="1:2">
      <c r="A213" s="38">
        <v>212</v>
      </c>
      <c r="B213" s="39" t="s">
        <v>561</v>
      </c>
    </row>
    <row r="214" customHeight="1" spans="1:2">
      <c r="A214" s="38">
        <v>213</v>
      </c>
      <c r="B214" s="39" t="s">
        <v>562</v>
      </c>
    </row>
    <row r="215" customHeight="1" spans="1:2">
      <c r="A215" s="38">
        <v>214</v>
      </c>
      <c r="B215" s="39" t="s">
        <v>563</v>
      </c>
    </row>
    <row r="216" customHeight="1" spans="1:2">
      <c r="A216" s="38">
        <v>215</v>
      </c>
      <c r="B216" s="39" t="s">
        <v>564</v>
      </c>
    </row>
    <row r="217" customHeight="1" spans="1:2">
      <c r="A217" s="38">
        <v>216</v>
      </c>
      <c r="B217" s="39" t="s">
        <v>565</v>
      </c>
    </row>
    <row r="218" customHeight="1" spans="1:2">
      <c r="A218" s="38">
        <v>217</v>
      </c>
      <c r="B218" s="39" t="s">
        <v>566</v>
      </c>
    </row>
    <row r="219" customHeight="1" spans="1:2">
      <c r="A219" s="38">
        <v>218</v>
      </c>
      <c r="B219" s="39" t="s">
        <v>567</v>
      </c>
    </row>
    <row r="220" customHeight="1" spans="1:2">
      <c r="A220" s="38">
        <v>219</v>
      </c>
      <c r="B220" s="39" t="s">
        <v>568</v>
      </c>
    </row>
    <row r="221" customHeight="1" spans="1:2">
      <c r="A221" s="38">
        <v>220</v>
      </c>
      <c r="B221" s="39" t="s">
        <v>569</v>
      </c>
    </row>
    <row r="222" customHeight="1" spans="1:2">
      <c r="A222" s="38">
        <v>221</v>
      </c>
      <c r="B222" s="39" t="s">
        <v>570</v>
      </c>
    </row>
    <row r="223" customHeight="1" spans="1:2">
      <c r="A223" s="38">
        <v>222</v>
      </c>
      <c r="B223" s="39" t="s">
        <v>571</v>
      </c>
    </row>
    <row r="224" customHeight="1" spans="1:2">
      <c r="A224" s="38">
        <v>223</v>
      </c>
      <c r="B224" s="39" t="s">
        <v>572</v>
      </c>
    </row>
    <row r="225" customHeight="1" spans="1:3">
      <c r="A225" s="38">
        <v>224</v>
      </c>
      <c r="B225" s="39" t="s">
        <v>573</v>
      </c>
      <c r="C225" s="3">
        <v>1</v>
      </c>
    </row>
    <row r="226" customHeight="1" spans="1:2">
      <c r="A226" s="38">
        <v>225</v>
      </c>
      <c r="B226" s="39" t="s">
        <v>575</v>
      </c>
    </row>
    <row r="227" customHeight="1" spans="1:2">
      <c r="A227" s="38">
        <v>226</v>
      </c>
      <c r="B227" s="39" t="s">
        <v>576</v>
      </c>
    </row>
    <row r="228" customHeight="1" spans="1:2">
      <c r="A228" s="38">
        <v>227</v>
      </c>
      <c r="B228" s="39" t="s">
        <v>578</v>
      </c>
    </row>
    <row r="229" customHeight="1" spans="1:2">
      <c r="A229" s="38">
        <v>228</v>
      </c>
      <c r="B229" s="39" t="s">
        <v>579</v>
      </c>
    </row>
    <row r="230" customHeight="1" spans="1:2">
      <c r="A230" s="38">
        <v>229</v>
      </c>
      <c r="B230" s="39" t="s">
        <v>580</v>
      </c>
    </row>
    <row r="231" customHeight="1" spans="1:2">
      <c r="A231" s="38">
        <v>230</v>
      </c>
      <c r="B231" s="39" t="s">
        <v>581</v>
      </c>
    </row>
    <row r="232" customHeight="1" spans="1:2">
      <c r="A232" s="38">
        <v>231</v>
      </c>
      <c r="B232" s="39" t="s">
        <v>582</v>
      </c>
    </row>
    <row r="233" customHeight="1" spans="1:2">
      <c r="A233" s="38">
        <v>232</v>
      </c>
      <c r="B233" s="39" t="s">
        <v>583</v>
      </c>
    </row>
    <row r="234" customHeight="1" spans="1:2">
      <c r="A234" s="38">
        <v>233</v>
      </c>
      <c r="B234" s="39" t="s">
        <v>584</v>
      </c>
    </row>
    <row r="235" customHeight="1" spans="1:2">
      <c r="A235" s="38">
        <v>234</v>
      </c>
      <c r="B235" s="39" t="s">
        <v>585</v>
      </c>
    </row>
    <row r="236" customHeight="1" spans="1:2">
      <c r="A236" s="38">
        <v>235</v>
      </c>
      <c r="B236" s="38" t="s">
        <v>586</v>
      </c>
    </row>
    <row r="237" customHeight="1" spans="1:2">
      <c r="A237" s="38">
        <v>236</v>
      </c>
      <c r="B237" s="39" t="s">
        <v>587</v>
      </c>
    </row>
    <row r="238" customHeight="1" spans="1:2">
      <c r="A238" s="38">
        <v>237</v>
      </c>
      <c r="B238" s="39" t="s">
        <v>588</v>
      </c>
    </row>
    <row r="239" customHeight="1" spans="1:2">
      <c r="A239" s="38">
        <v>238</v>
      </c>
      <c r="B239" s="39" t="s">
        <v>589</v>
      </c>
    </row>
    <row r="240" customHeight="1" spans="1:2">
      <c r="A240" s="38">
        <v>239</v>
      </c>
      <c r="B240" s="39" t="s">
        <v>590</v>
      </c>
    </row>
    <row r="241" customHeight="1" spans="1:2">
      <c r="A241" s="38">
        <v>240</v>
      </c>
      <c r="B241" s="39" t="s">
        <v>591</v>
      </c>
    </row>
    <row r="242" customHeight="1" spans="1:2">
      <c r="A242" s="38">
        <v>241</v>
      </c>
      <c r="B242" s="39" t="s">
        <v>592</v>
      </c>
    </row>
    <row r="243" customHeight="1" spans="1:2">
      <c r="A243" s="38">
        <v>242</v>
      </c>
      <c r="B243" s="39" t="s">
        <v>593</v>
      </c>
    </row>
    <row r="244" customHeight="1" spans="1:2">
      <c r="A244" s="38">
        <v>243</v>
      </c>
      <c r="B244" s="39" t="s">
        <v>594</v>
      </c>
    </row>
    <row r="245" customHeight="1" spans="1:2">
      <c r="A245" s="38">
        <v>244</v>
      </c>
      <c r="B245" s="39" t="s">
        <v>595</v>
      </c>
    </row>
    <row r="246" customHeight="1" spans="1:2">
      <c r="A246" s="38">
        <v>245</v>
      </c>
      <c r="B246" s="39" t="s">
        <v>596</v>
      </c>
    </row>
    <row r="247" customHeight="1" spans="1:2">
      <c r="A247" s="38">
        <v>246</v>
      </c>
      <c r="B247" s="39" t="s">
        <v>597</v>
      </c>
    </row>
    <row r="248" customHeight="1" spans="1:2">
      <c r="A248" s="38">
        <v>247</v>
      </c>
      <c r="B248" s="39" t="s">
        <v>598</v>
      </c>
    </row>
    <row r="249" customHeight="1" spans="1:2">
      <c r="A249" s="38">
        <v>248</v>
      </c>
      <c r="B249" s="39" t="s">
        <v>599</v>
      </c>
    </row>
    <row r="250" customHeight="1" spans="1:2">
      <c r="A250" s="38">
        <v>249</v>
      </c>
      <c r="B250" s="39" t="s">
        <v>600</v>
      </c>
    </row>
    <row r="251" customHeight="1" spans="1:2">
      <c r="A251" s="38">
        <v>250</v>
      </c>
      <c r="B251" s="39" t="s">
        <v>601</v>
      </c>
    </row>
    <row r="252" customHeight="1" spans="1:2">
      <c r="A252" s="38">
        <v>251</v>
      </c>
      <c r="B252" s="39" t="s">
        <v>602</v>
      </c>
    </row>
    <row r="253" customHeight="1" spans="1:2">
      <c r="A253" s="38">
        <v>252</v>
      </c>
      <c r="B253" s="39" t="s">
        <v>603</v>
      </c>
    </row>
    <row r="254" customHeight="1" spans="1:2">
      <c r="A254" s="38">
        <v>253</v>
      </c>
      <c r="B254" s="39" t="s">
        <v>604</v>
      </c>
    </row>
    <row r="255" customHeight="1" spans="1:2">
      <c r="A255" s="38">
        <v>254</v>
      </c>
      <c r="B255" s="39" t="s">
        <v>605</v>
      </c>
    </row>
    <row r="256" customHeight="1" spans="1:2">
      <c r="A256" s="38">
        <v>255</v>
      </c>
      <c r="B256" s="39" t="s">
        <v>607</v>
      </c>
    </row>
    <row r="257" customHeight="1" spans="1:2">
      <c r="A257" s="38">
        <v>256</v>
      </c>
      <c r="B257" s="39" t="s">
        <v>609</v>
      </c>
    </row>
    <row r="258" customHeight="1" spans="1:2">
      <c r="A258" s="38">
        <v>257</v>
      </c>
      <c r="B258" s="39" t="s">
        <v>610</v>
      </c>
    </row>
    <row r="259" customHeight="1" spans="1:2">
      <c r="A259" s="38">
        <v>258</v>
      </c>
      <c r="B259" s="38" t="s">
        <v>611</v>
      </c>
    </row>
    <row r="260" customHeight="1" spans="1:2">
      <c r="A260" s="38">
        <v>259</v>
      </c>
      <c r="B260" s="39" t="s">
        <v>612</v>
      </c>
    </row>
    <row r="261" customHeight="1" spans="1:2">
      <c r="A261" s="38">
        <v>260</v>
      </c>
      <c r="B261" s="38" t="s">
        <v>613</v>
      </c>
    </row>
    <row r="262" customHeight="1" spans="1:2">
      <c r="A262" s="38">
        <v>261</v>
      </c>
      <c r="B262" s="39" t="s">
        <v>614</v>
      </c>
    </row>
    <row r="263" customHeight="1" spans="1:2">
      <c r="A263" s="38">
        <v>262</v>
      </c>
      <c r="B263" s="39" t="s">
        <v>615</v>
      </c>
    </row>
    <row r="264" customHeight="1" spans="1:2">
      <c r="A264" s="38">
        <v>263</v>
      </c>
      <c r="B264" s="39" t="s">
        <v>616</v>
      </c>
    </row>
    <row r="265" customHeight="1" spans="1:2">
      <c r="A265" s="38">
        <v>264</v>
      </c>
      <c r="B265" s="39" t="s">
        <v>617</v>
      </c>
    </row>
    <row r="266" customHeight="1" spans="1:2">
      <c r="A266" s="38">
        <v>265</v>
      </c>
      <c r="B266" s="39" t="s">
        <v>618</v>
      </c>
    </row>
    <row r="267" customHeight="1" spans="1:2">
      <c r="A267" s="38">
        <v>266</v>
      </c>
      <c r="B267" s="38" t="s">
        <v>619</v>
      </c>
    </row>
    <row r="268" customHeight="1" spans="1:2">
      <c r="A268" s="38">
        <v>267</v>
      </c>
      <c r="B268" s="39" t="s">
        <v>620</v>
      </c>
    </row>
    <row r="269" customHeight="1" spans="1:2">
      <c r="A269" s="38">
        <v>268</v>
      </c>
      <c r="B269" s="39" t="s">
        <v>621</v>
      </c>
    </row>
    <row r="270" customHeight="1" spans="1:2">
      <c r="A270" s="38">
        <v>269</v>
      </c>
      <c r="B270" s="39" t="s">
        <v>622</v>
      </c>
    </row>
    <row r="271" customHeight="1" spans="1:2">
      <c r="A271" s="38">
        <v>270</v>
      </c>
      <c r="B271" s="38" t="s">
        <v>623</v>
      </c>
    </row>
    <row r="272" customHeight="1" spans="1:2">
      <c r="A272" s="38">
        <v>271</v>
      </c>
      <c r="B272" s="39" t="s">
        <v>624</v>
      </c>
    </row>
    <row r="273" customHeight="1" spans="1:2">
      <c r="A273" s="38">
        <v>272</v>
      </c>
      <c r="B273" s="39" t="s">
        <v>625</v>
      </c>
    </row>
    <row r="274" customHeight="1" spans="1:2">
      <c r="A274" s="38">
        <v>273</v>
      </c>
      <c r="B274" s="38" t="s">
        <v>626</v>
      </c>
    </row>
    <row r="275" customHeight="1" spans="1:2">
      <c r="A275" s="38">
        <v>274</v>
      </c>
      <c r="B275" s="39" t="s">
        <v>627</v>
      </c>
    </row>
    <row r="276" customHeight="1" spans="1:2">
      <c r="A276" s="38">
        <v>275</v>
      </c>
      <c r="B276" s="39" t="s">
        <v>628</v>
      </c>
    </row>
    <row r="277" customHeight="1" spans="1:2">
      <c r="A277" s="38">
        <v>276</v>
      </c>
      <c r="B277" s="39" t="s">
        <v>629</v>
      </c>
    </row>
    <row r="278" customHeight="1" spans="1:2">
      <c r="A278" s="38">
        <v>277</v>
      </c>
      <c r="B278" s="38" t="s">
        <v>630</v>
      </c>
    </row>
    <row r="279" customHeight="1" spans="1:2">
      <c r="A279" s="38">
        <v>278</v>
      </c>
      <c r="B279" s="39" t="s">
        <v>631</v>
      </c>
    </row>
    <row r="280" customHeight="1" spans="1:2">
      <c r="A280" s="38">
        <v>279</v>
      </c>
      <c r="B280" s="39" t="s">
        <v>632</v>
      </c>
    </row>
    <row r="281" customHeight="1" spans="1:2">
      <c r="A281" s="38">
        <v>280</v>
      </c>
      <c r="B281" s="39" t="s">
        <v>633</v>
      </c>
    </row>
    <row r="282" customHeight="1" spans="1:2">
      <c r="A282" s="38">
        <v>281</v>
      </c>
      <c r="B282" s="39" t="s">
        <v>634</v>
      </c>
    </row>
    <row r="283" customHeight="1" spans="1:2">
      <c r="A283" s="38">
        <v>282</v>
      </c>
      <c r="B283" s="39" t="s">
        <v>635</v>
      </c>
    </row>
    <row r="284" customHeight="1" spans="1:2">
      <c r="A284" s="38">
        <v>283</v>
      </c>
      <c r="B284" s="39" t="s">
        <v>636</v>
      </c>
    </row>
    <row r="285" customHeight="1" spans="1:2">
      <c r="A285" s="38">
        <v>284</v>
      </c>
      <c r="B285" s="39" t="s">
        <v>637</v>
      </c>
    </row>
    <row r="286" customHeight="1" spans="1:2">
      <c r="A286" s="38">
        <v>285</v>
      </c>
      <c r="B286" s="39" t="s">
        <v>638</v>
      </c>
    </row>
    <row r="287" customHeight="1" spans="1:2">
      <c r="A287" s="38">
        <v>286</v>
      </c>
      <c r="B287" s="39" t="s">
        <v>639</v>
      </c>
    </row>
    <row r="288" customHeight="1" spans="1:2">
      <c r="A288" s="38">
        <v>287</v>
      </c>
      <c r="B288" s="39" t="s">
        <v>640</v>
      </c>
    </row>
    <row r="289" customHeight="1" spans="1:2">
      <c r="A289" s="38">
        <v>288</v>
      </c>
      <c r="B289" s="38" t="s">
        <v>641</v>
      </c>
    </row>
    <row r="290" customHeight="1" spans="1:2">
      <c r="A290" s="38">
        <v>289</v>
      </c>
      <c r="B290" s="39" t="s">
        <v>642</v>
      </c>
    </row>
    <row r="291" customHeight="1" spans="1:2">
      <c r="A291" s="38">
        <v>290</v>
      </c>
      <c r="B291" s="39" t="s">
        <v>643</v>
      </c>
    </row>
    <row r="292" customHeight="1" spans="1:2">
      <c r="A292" s="38">
        <v>291</v>
      </c>
      <c r="B292" s="39" t="s">
        <v>644</v>
      </c>
    </row>
    <row r="293" customHeight="1" spans="1:2">
      <c r="A293" s="38">
        <v>292</v>
      </c>
      <c r="B293" s="39" t="s">
        <v>645</v>
      </c>
    </row>
    <row r="294" customHeight="1" spans="1:2">
      <c r="A294" s="38">
        <v>293</v>
      </c>
      <c r="B294" s="38" t="s">
        <v>646</v>
      </c>
    </row>
    <row r="295" customHeight="1" spans="1:2">
      <c r="A295" s="38">
        <v>294</v>
      </c>
      <c r="B295" s="39" t="s">
        <v>647</v>
      </c>
    </row>
    <row r="296" customHeight="1" spans="1:2">
      <c r="A296" s="38">
        <v>295</v>
      </c>
      <c r="B296" s="38" t="s">
        <v>648</v>
      </c>
    </row>
    <row r="297" customHeight="1" spans="1:2">
      <c r="A297" s="38">
        <v>296</v>
      </c>
      <c r="B297" s="39" t="s">
        <v>649</v>
      </c>
    </row>
    <row r="298" customHeight="1" spans="1:2">
      <c r="A298" s="38">
        <v>297</v>
      </c>
      <c r="B298" s="39" t="s">
        <v>650</v>
      </c>
    </row>
    <row r="299" customHeight="1" spans="1:2">
      <c r="A299" s="38">
        <v>298</v>
      </c>
      <c r="B299" s="39" t="s">
        <v>651</v>
      </c>
    </row>
    <row r="300" customHeight="1" spans="1:2">
      <c r="A300" s="38">
        <v>299</v>
      </c>
      <c r="B300" s="39" t="s">
        <v>652</v>
      </c>
    </row>
    <row r="301" customHeight="1" spans="1:2">
      <c r="A301" s="38">
        <v>300</v>
      </c>
      <c r="B301" s="39" t="s">
        <v>653</v>
      </c>
    </row>
    <row r="302" customHeight="1" spans="1:2">
      <c r="A302" s="38">
        <v>301</v>
      </c>
      <c r="B302" s="39" t="s">
        <v>654</v>
      </c>
    </row>
    <row r="303" customHeight="1" spans="1:2">
      <c r="A303" s="38">
        <v>302</v>
      </c>
      <c r="B303" s="39" t="s">
        <v>655</v>
      </c>
    </row>
    <row r="304" customHeight="1" spans="1:2">
      <c r="A304" s="38">
        <v>303</v>
      </c>
      <c r="B304" s="39" t="s">
        <v>103</v>
      </c>
    </row>
    <row r="305" customHeight="1" spans="1:2">
      <c r="A305" s="38">
        <v>304</v>
      </c>
      <c r="B305" s="39" t="s">
        <v>656</v>
      </c>
    </row>
    <row r="306" customHeight="1" spans="1:2">
      <c r="A306" s="38">
        <v>305</v>
      </c>
      <c r="B306" s="39" t="s">
        <v>657</v>
      </c>
    </row>
    <row r="307" customHeight="1" spans="1:2">
      <c r="A307" s="38">
        <v>306</v>
      </c>
      <c r="B307" s="39" t="s">
        <v>658</v>
      </c>
    </row>
    <row r="308" customHeight="1" spans="1:2">
      <c r="A308" s="38">
        <v>307</v>
      </c>
      <c r="B308" s="39" t="s">
        <v>659</v>
      </c>
    </row>
    <row r="309" customHeight="1" spans="1:2">
      <c r="A309" s="38">
        <v>308</v>
      </c>
      <c r="B309" s="39" t="s">
        <v>660</v>
      </c>
    </row>
    <row r="310" customHeight="1" spans="1:2">
      <c r="A310" s="38">
        <v>309</v>
      </c>
      <c r="B310" s="39" t="s">
        <v>1879</v>
      </c>
    </row>
    <row r="311" customHeight="1" spans="1:2">
      <c r="A311" s="38">
        <v>310</v>
      </c>
      <c r="B311" s="39" t="s">
        <v>661</v>
      </c>
    </row>
    <row r="312" customHeight="1" spans="1:2">
      <c r="A312" s="38">
        <v>311</v>
      </c>
      <c r="B312" s="39" t="s">
        <v>662</v>
      </c>
    </row>
    <row r="313" customHeight="1" spans="1:2">
      <c r="A313" s="38">
        <v>312</v>
      </c>
      <c r="B313" s="39" t="s">
        <v>663</v>
      </c>
    </row>
    <row r="314" customHeight="1" spans="1:2">
      <c r="A314" s="38">
        <v>313</v>
      </c>
      <c r="B314" s="39" t="s">
        <v>664</v>
      </c>
    </row>
    <row r="315" customHeight="1" spans="1:2">
      <c r="A315" s="38">
        <v>314</v>
      </c>
      <c r="B315" s="39" t="s">
        <v>110</v>
      </c>
    </row>
    <row r="316" customHeight="1" spans="1:2">
      <c r="A316" s="38">
        <v>315</v>
      </c>
      <c r="B316" s="39" t="s">
        <v>665</v>
      </c>
    </row>
    <row r="317" customHeight="1" spans="1:2">
      <c r="A317" s="38">
        <v>316</v>
      </c>
      <c r="B317" s="39" t="s">
        <v>666</v>
      </c>
    </row>
    <row r="318" customHeight="1" spans="1:2">
      <c r="A318" s="38">
        <v>317</v>
      </c>
      <c r="B318" s="38" t="s">
        <v>667</v>
      </c>
    </row>
    <row r="319" customHeight="1" spans="1:2">
      <c r="A319" s="38">
        <v>318</v>
      </c>
      <c r="B319" s="39" t="s">
        <v>668</v>
      </c>
    </row>
    <row r="320" customHeight="1" spans="1:2">
      <c r="A320" s="38">
        <v>319</v>
      </c>
      <c r="B320" s="38" t="s">
        <v>669</v>
      </c>
    </row>
    <row r="321" customHeight="1" spans="1:2">
      <c r="A321" s="38">
        <v>320</v>
      </c>
      <c r="B321" s="38" t="s">
        <v>670</v>
      </c>
    </row>
    <row r="322" customHeight="1" spans="1:2">
      <c r="A322" s="38">
        <v>321</v>
      </c>
      <c r="B322" s="39" t="s">
        <v>671</v>
      </c>
    </row>
    <row r="323" customHeight="1" spans="1:2">
      <c r="A323" s="38">
        <v>322</v>
      </c>
      <c r="B323" s="39" t="s">
        <v>672</v>
      </c>
    </row>
    <row r="324" customHeight="1" spans="1:2">
      <c r="A324" s="38">
        <v>323</v>
      </c>
      <c r="B324" s="39" t="s">
        <v>673</v>
      </c>
    </row>
    <row r="325" customHeight="1" spans="1:2">
      <c r="A325" s="38">
        <v>324</v>
      </c>
      <c r="B325" s="39" t="s">
        <v>674</v>
      </c>
    </row>
    <row r="326" customHeight="1" spans="1:2">
      <c r="A326" s="38">
        <v>325</v>
      </c>
      <c r="B326" s="39" t="s">
        <v>675</v>
      </c>
    </row>
    <row r="327" customHeight="1" spans="1:2">
      <c r="A327" s="38">
        <v>326</v>
      </c>
      <c r="B327" s="39" t="s">
        <v>676</v>
      </c>
    </row>
    <row r="328" customHeight="1" spans="1:2">
      <c r="A328" s="38">
        <v>327</v>
      </c>
      <c r="B328" s="39" t="s">
        <v>677</v>
      </c>
    </row>
    <row r="329" customHeight="1" spans="1:2">
      <c r="A329" s="38">
        <v>328</v>
      </c>
      <c r="B329" s="39" t="s">
        <v>678</v>
      </c>
    </row>
    <row r="330" customHeight="1" spans="1:2">
      <c r="A330" s="38">
        <v>329</v>
      </c>
      <c r="B330" s="39" t="s">
        <v>679</v>
      </c>
    </row>
    <row r="331" customHeight="1" spans="1:2">
      <c r="A331" s="38">
        <v>330</v>
      </c>
      <c r="B331" s="39" t="s">
        <v>680</v>
      </c>
    </row>
    <row r="332" customHeight="1" spans="1:2">
      <c r="A332" s="38">
        <v>331</v>
      </c>
      <c r="B332" s="39" t="s">
        <v>681</v>
      </c>
    </row>
    <row r="333" customHeight="1" spans="1:2">
      <c r="A333" s="38">
        <v>332</v>
      </c>
      <c r="B333" s="39" t="s">
        <v>682</v>
      </c>
    </row>
    <row r="334" customHeight="1" spans="1:2">
      <c r="A334" s="38">
        <v>333</v>
      </c>
      <c r="B334" s="39" t="s">
        <v>683</v>
      </c>
    </row>
    <row r="335" customHeight="1" spans="1:2">
      <c r="A335" s="38">
        <v>334</v>
      </c>
      <c r="B335" s="39" t="s">
        <v>684</v>
      </c>
    </row>
    <row r="336" customHeight="1" spans="1:2">
      <c r="A336" s="38">
        <v>335</v>
      </c>
      <c r="B336" s="39" t="s">
        <v>685</v>
      </c>
    </row>
    <row r="337" customHeight="1" spans="1:3">
      <c r="A337" s="38">
        <v>336</v>
      </c>
      <c r="B337" s="39" t="s">
        <v>686</v>
      </c>
      <c r="C337" s="3">
        <v>2</v>
      </c>
    </row>
    <row r="338" customHeight="1" spans="1:2">
      <c r="A338" s="38">
        <v>337</v>
      </c>
      <c r="B338" s="39" t="s">
        <v>687</v>
      </c>
    </row>
    <row r="339" customHeight="1" spans="1:2">
      <c r="A339" s="38">
        <v>338</v>
      </c>
      <c r="B339" s="39" t="s">
        <v>688</v>
      </c>
    </row>
    <row r="340" customHeight="1" spans="1:2">
      <c r="A340" s="38">
        <v>339</v>
      </c>
      <c r="B340" s="39" t="s">
        <v>689</v>
      </c>
    </row>
    <row r="341" customHeight="1" spans="1:2">
      <c r="A341" s="38">
        <v>340</v>
      </c>
      <c r="B341" s="39" t="s">
        <v>690</v>
      </c>
    </row>
    <row r="342" customHeight="1" spans="1:3">
      <c r="A342" s="38">
        <v>341</v>
      </c>
      <c r="B342" s="39" t="s">
        <v>691</v>
      </c>
      <c r="C342" s="3">
        <v>1</v>
      </c>
    </row>
    <row r="343" customHeight="1" spans="1:2">
      <c r="A343" s="38">
        <v>342</v>
      </c>
      <c r="B343" s="39" t="s">
        <v>692</v>
      </c>
    </row>
    <row r="344" customHeight="1" spans="1:2">
      <c r="A344" s="38">
        <v>343</v>
      </c>
      <c r="B344" s="39" t="s">
        <v>693</v>
      </c>
    </row>
    <row r="345" customHeight="1" spans="1:2">
      <c r="A345" s="38">
        <v>344</v>
      </c>
      <c r="B345" s="39" t="s">
        <v>694</v>
      </c>
    </row>
    <row r="346" customHeight="1" spans="1:2">
      <c r="A346" s="38">
        <v>345</v>
      </c>
      <c r="B346" s="39" t="s">
        <v>695</v>
      </c>
    </row>
    <row r="347" customHeight="1" spans="1:2">
      <c r="A347" s="38">
        <v>346</v>
      </c>
      <c r="B347" s="39" t="s">
        <v>696</v>
      </c>
    </row>
    <row r="348" customHeight="1" spans="1:2">
      <c r="A348" s="38">
        <v>347</v>
      </c>
      <c r="B348" s="39" t="s">
        <v>697</v>
      </c>
    </row>
    <row r="349" customHeight="1" spans="1:2">
      <c r="A349" s="38">
        <v>348</v>
      </c>
      <c r="B349" s="39" t="s">
        <v>698</v>
      </c>
    </row>
    <row r="350" customHeight="1" spans="1:2">
      <c r="A350" s="38">
        <v>349</v>
      </c>
      <c r="B350" s="39" t="s">
        <v>699</v>
      </c>
    </row>
    <row r="351" customHeight="1" spans="1:2">
      <c r="A351" s="38">
        <v>350</v>
      </c>
      <c r="B351" s="39" t="s">
        <v>700</v>
      </c>
    </row>
    <row r="352" customHeight="1" spans="1:2">
      <c r="A352" s="38">
        <v>351</v>
      </c>
      <c r="B352" s="39" t="s">
        <v>701</v>
      </c>
    </row>
    <row r="353" customHeight="1" spans="1:2">
      <c r="A353" s="38">
        <v>352</v>
      </c>
      <c r="B353" s="39" t="s">
        <v>702</v>
      </c>
    </row>
    <row r="354" customHeight="1" spans="1:3">
      <c r="A354" s="38">
        <v>353</v>
      </c>
      <c r="B354" s="39" t="s">
        <v>703</v>
      </c>
      <c r="C354" s="3">
        <v>2</v>
      </c>
    </row>
    <row r="355" customHeight="1" spans="1:2">
      <c r="A355" s="38">
        <v>354</v>
      </c>
      <c r="B355" s="39" t="s">
        <v>704</v>
      </c>
    </row>
    <row r="356" customHeight="1" spans="1:2">
      <c r="A356" s="38">
        <v>355</v>
      </c>
      <c r="B356" s="39" t="s">
        <v>705</v>
      </c>
    </row>
    <row r="357" customHeight="1" spans="1:2">
      <c r="A357" s="38">
        <v>356</v>
      </c>
      <c r="B357" s="39" t="s">
        <v>706</v>
      </c>
    </row>
    <row r="358" customHeight="1" spans="1:2">
      <c r="A358" s="38">
        <v>357</v>
      </c>
      <c r="B358" s="39" t="s">
        <v>707</v>
      </c>
    </row>
    <row r="359" customHeight="1" spans="1:2">
      <c r="A359" s="38">
        <v>358</v>
      </c>
      <c r="B359" s="39" t="s">
        <v>708</v>
      </c>
    </row>
    <row r="360" customHeight="1" spans="1:2">
      <c r="A360" s="38">
        <v>359</v>
      </c>
      <c r="B360" s="39" t="s">
        <v>709</v>
      </c>
    </row>
    <row r="361" customHeight="1" spans="1:2">
      <c r="A361" s="38">
        <v>360</v>
      </c>
      <c r="B361" s="39" t="s">
        <v>710</v>
      </c>
    </row>
    <row r="362" customHeight="1" spans="1:2">
      <c r="A362" s="38">
        <v>361</v>
      </c>
      <c r="B362" s="39" t="s">
        <v>711</v>
      </c>
    </row>
    <row r="363" customHeight="1" spans="1:2">
      <c r="A363" s="38">
        <v>362</v>
      </c>
      <c r="B363" s="39" t="s">
        <v>712</v>
      </c>
    </row>
    <row r="364" customHeight="1" spans="1:2">
      <c r="A364" s="38">
        <v>363</v>
      </c>
      <c r="B364" s="39" t="s">
        <v>713</v>
      </c>
    </row>
    <row r="365" customHeight="1" spans="1:2">
      <c r="A365" s="38">
        <v>364</v>
      </c>
      <c r="B365" s="39" t="s">
        <v>714</v>
      </c>
    </row>
    <row r="366" customHeight="1" spans="1:2">
      <c r="A366" s="38">
        <v>365</v>
      </c>
      <c r="B366" s="39" t="s">
        <v>715</v>
      </c>
    </row>
    <row r="367" customHeight="1" spans="1:2">
      <c r="A367" s="38">
        <v>366</v>
      </c>
      <c r="B367" s="39" t="s">
        <v>716</v>
      </c>
    </row>
    <row r="368" customHeight="1" spans="1:2">
      <c r="A368" s="38">
        <v>367</v>
      </c>
      <c r="B368" s="39" t="s">
        <v>717</v>
      </c>
    </row>
    <row r="369" customHeight="1" spans="1:2">
      <c r="A369" s="38">
        <v>368</v>
      </c>
      <c r="B369" s="39" t="s">
        <v>718</v>
      </c>
    </row>
    <row r="370" customHeight="1" spans="1:2">
      <c r="A370" s="38">
        <v>369</v>
      </c>
      <c r="B370" s="39" t="s">
        <v>719</v>
      </c>
    </row>
    <row r="371" customHeight="1" spans="1:2">
      <c r="A371" s="38">
        <v>370</v>
      </c>
      <c r="B371" s="39" t="s">
        <v>720</v>
      </c>
    </row>
    <row r="372" customHeight="1" spans="1:2">
      <c r="A372" s="38">
        <v>371</v>
      </c>
      <c r="B372" s="39" t="s">
        <v>721</v>
      </c>
    </row>
    <row r="373" customHeight="1" spans="1:2">
      <c r="A373" s="38">
        <v>372</v>
      </c>
      <c r="B373" s="39" t="s">
        <v>722</v>
      </c>
    </row>
    <row r="374" customHeight="1" spans="1:2">
      <c r="A374" s="38">
        <v>373</v>
      </c>
      <c r="B374" s="39" t="s">
        <v>723</v>
      </c>
    </row>
    <row r="375" customHeight="1" spans="1:2">
      <c r="A375" s="38">
        <v>374</v>
      </c>
      <c r="B375" s="39" t="s">
        <v>724</v>
      </c>
    </row>
    <row r="376" customHeight="1" spans="1:2">
      <c r="A376" s="38">
        <v>375</v>
      </c>
      <c r="B376" s="39" t="s">
        <v>725</v>
      </c>
    </row>
    <row r="377" customHeight="1" spans="1:2">
      <c r="A377" s="38">
        <v>376</v>
      </c>
      <c r="B377" s="39" t="s">
        <v>726</v>
      </c>
    </row>
    <row r="378" customHeight="1" spans="1:2">
      <c r="A378" s="38">
        <v>377</v>
      </c>
      <c r="B378" s="39" t="s">
        <v>727</v>
      </c>
    </row>
    <row r="379" customHeight="1" spans="1:2">
      <c r="A379" s="38">
        <v>378</v>
      </c>
      <c r="B379" s="39" t="s">
        <v>728</v>
      </c>
    </row>
    <row r="380" customHeight="1" spans="1:2">
      <c r="A380" s="38">
        <v>379</v>
      </c>
      <c r="B380" s="39" t="s">
        <v>729</v>
      </c>
    </row>
    <row r="381" customHeight="1" spans="1:2">
      <c r="A381" s="38">
        <v>380</v>
      </c>
      <c r="B381" s="39" t="s">
        <v>730</v>
      </c>
    </row>
    <row r="382" customHeight="1" spans="1:2">
      <c r="A382" s="38">
        <v>381</v>
      </c>
      <c r="B382" s="39" t="s">
        <v>731</v>
      </c>
    </row>
    <row r="383" customHeight="1" spans="1:2">
      <c r="A383" s="38">
        <v>382</v>
      </c>
      <c r="B383" s="39" t="s">
        <v>732</v>
      </c>
    </row>
    <row r="384" customHeight="1" spans="1:2">
      <c r="A384" s="38">
        <v>383</v>
      </c>
      <c r="B384" s="39" t="s">
        <v>733</v>
      </c>
    </row>
    <row r="385" customHeight="1" spans="1:2">
      <c r="A385" s="38">
        <v>384</v>
      </c>
      <c r="B385" s="39" t="s">
        <v>734</v>
      </c>
    </row>
    <row r="386" customHeight="1" spans="1:2">
      <c r="A386" s="38">
        <v>385</v>
      </c>
      <c r="B386" s="39" t="s">
        <v>735</v>
      </c>
    </row>
    <row r="387" customHeight="1" spans="1:2">
      <c r="A387" s="38">
        <v>386</v>
      </c>
      <c r="B387" s="39" t="s">
        <v>736</v>
      </c>
    </row>
    <row r="388" customHeight="1" spans="1:2">
      <c r="A388" s="38">
        <v>387</v>
      </c>
      <c r="B388" s="39" t="s">
        <v>737</v>
      </c>
    </row>
    <row r="389" customHeight="1" spans="1:2">
      <c r="A389" s="38">
        <v>388</v>
      </c>
      <c r="B389" s="39" t="s">
        <v>738</v>
      </c>
    </row>
    <row r="390" customHeight="1" spans="1:2">
      <c r="A390" s="38">
        <v>389</v>
      </c>
      <c r="B390" s="39" t="s">
        <v>739</v>
      </c>
    </row>
    <row r="391" customHeight="1" spans="1:2">
      <c r="A391" s="38">
        <v>390</v>
      </c>
      <c r="B391" s="39" t="s">
        <v>740</v>
      </c>
    </row>
    <row r="392" customHeight="1" spans="1:2">
      <c r="A392" s="38">
        <v>391</v>
      </c>
      <c r="B392" s="39" t="s">
        <v>741</v>
      </c>
    </row>
    <row r="393" customHeight="1" spans="1:2">
      <c r="A393" s="38">
        <v>392</v>
      </c>
      <c r="B393" s="39" t="s">
        <v>742</v>
      </c>
    </row>
    <row r="394" customHeight="1" spans="1:2">
      <c r="A394" s="38">
        <v>393</v>
      </c>
      <c r="B394" s="39" t="s">
        <v>743</v>
      </c>
    </row>
    <row r="395" customHeight="1" spans="1:2">
      <c r="A395" s="38">
        <v>394</v>
      </c>
      <c r="B395" s="39" t="s">
        <v>744</v>
      </c>
    </row>
    <row r="396" customHeight="1" spans="1:2">
      <c r="A396" s="38">
        <v>395</v>
      </c>
      <c r="B396" s="39" t="s">
        <v>745</v>
      </c>
    </row>
    <row r="397" customHeight="1" spans="1:2">
      <c r="A397" s="38">
        <v>396</v>
      </c>
      <c r="B397" s="39" t="s">
        <v>117</v>
      </c>
    </row>
    <row r="398" customHeight="1" spans="1:2">
      <c r="A398" s="38">
        <v>397</v>
      </c>
      <c r="B398" s="39" t="s">
        <v>746</v>
      </c>
    </row>
    <row r="399" customHeight="1" spans="1:2">
      <c r="A399" s="38">
        <v>398</v>
      </c>
      <c r="B399" s="39" t="s">
        <v>747</v>
      </c>
    </row>
    <row r="400" customHeight="1" spans="1:2">
      <c r="A400" s="38">
        <v>399</v>
      </c>
      <c r="B400" s="39" t="s">
        <v>748</v>
      </c>
    </row>
    <row r="401" customHeight="1" spans="1:2">
      <c r="A401" s="38">
        <v>400</v>
      </c>
      <c r="B401" s="39" t="s">
        <v>749</v>
      </c>
    </row>
    <row r="402" customHeight="1" spans="1:2">
      <c r="A402" s="38">
        <v>401</v>
      </c>
      <c r="B402" s="39" t="s">
        <v>750</v>
      </c>
    </row>
    <row r="403" customHeight="1" spans="1:2">
      <c r="A403" s="38">
        <v>402</v>
      </c>
      <c r="B403" s="39" t="s">
        <v>751</v>
      </c>
    </row>
    <row r="404" customHeight="1" spans="1:2">
      <c r="A404" s="38">
        <v>403</v>
      </c>
      <c r="B404" s="39" t="s">
        <v>752</v>
      </c>
    </row>
    <row r="405" customHeight="1" spans="1:2">
      <c r="A405" s="38">
        <v>404</v>
      </c>
      <c r="B405" s="39" t="s">
        <v>753</v>
      </c>
    </row>
    <row r="406" customHeight="1" spans="1:2">
      <c r="A406" s="38">
        <v>405</v>
      </c>
      <c r="B406" s="39" t="s">
        <v>754</v>
      </c>
    </row>
    <row r="407" customHeight="1" spans="1:2">
      <c r="A407" s="38">
        <v>406</v>
      </c>
      <c r="B407" s="39" t="s">
        <v>755</v>
      </c>
    </row>
    <row r="408" customHeight="1" spans="1:2">
      <c r="A408" s="38">
        <v>407</v>
      </c>
      <c r="B408" s="38" t="s">
        <v>756</v>
      </c>
    </row>
    <row r="409" customHeight="1" spans="1:2">
      <c r="A409" s="38">
        <v>408</v>
      </c>
      <c r="B409" s="39" t="s">
        <v>757</v>
      </c>
    </row>
    <row r="410" customHeight="1" spans="1:2">
      <c r="A410" s="38">
        <v>409</v>
      </c>
      <c r="B410" s="39" t="s">
        <v>758</v>
      </c>
    </row>
    <row r="411" customHeight="1" spans="1:2">
      <c r="A411" s="38">
        <v>410</v>
      </c>
      <c r="B411" s="39" t="s">
        <v>759</v>
      </c>
    </row>
    <row r="412" customHeight="1" spans="1:2">
      <c r="A412" s="38">
        <v>411</v>
      </c>
      <c r="B412" s="39" t="s">
        <v>760</v>
      </c>
    </row>
    <row r="413" customHeight="1" spans="1:2">
      <c r="A413" s="38">
        <v>412</v>
      </c>
      <c r="B413" s="39" t="s">
        <v>761</v>
      </c>
    </row>
    <row r="414" customHeight="1" spans="1:2">
      <c r="A414" s="38">
        <v>413</v>
      </c>
      <c r="B414" s="39" t="s">
        <v>762</v>
      </c>
    </row>
    <row r="415" customHeight="1" spans="1:2">
      <c r="A415" s="38">
        <v>414</v>
      </c>
      <c r="B415" s="39" t="s">
        <v>763</v>
      </c>
    </row>
    <row r="416" customHeight="1" spans="1:2">
      <c r="A416" s="38">
        <v>415</v>
      </c>
      <c r="B416" s="39" t="s">
        <v>764</v>
      </c>
    </row>
    <row r="417" customHeight="1" spans="1:2">
      <c r="A417" s="38">
        <v>416</v>
      </c>
      <c r="B417" s="39" t="s">
        <v>765</v>
      </c>
    </row>
    <row r="418" customHeight="1" spans="1:2">
      <c r="A418" s="38">
        <v>417</v>
      </c>
      <c r="B418" s="39" t="s">
        <v>766</v>
      </c>
    </row>
    <row r="419" customHeight="1" spans="1:2">
      <c r="A419" s="38">
        <v>418</v>
      </c>
      <c r="B419" s="39" t="s">
        <v>767</v>
      </c>
    </row>
    <row r="420" customHeight="1" spans="1:2">
      <c r="A420" s="38">
        <v>419</v>
      </c>
      <c r="B420" s="39" t="s">
        <v>768</v>
      </c>
    </row>
    <row r="421" customHeight="1" spans="1:2">
      <c r="A421" s="38">
        <v>420</v>
      </c>
      <c r="B421" s="39" t="s">
        <v>769</v>
      </c>
    </row>
    <row r="422" customHeight="1" spans="1:2">
      <c r="A422" s="38">
        <v>421</v>
      </c>
      <c r="B422" s="39" t="s">
        <v>770</v>
      </c>
    </row>
    <row r="423" customHeight="1" spans="1:2">
      <c r="A423" s="38">
        <v>422</v>
      </c>
      <c r="B423" s="39" t="s">
        <v>771</v>
      </c>
    </row>
    <row r="424" customHeight="1" spans="1:2">
      <c r="A424" s="38">
        <v>423</v>
      </c>
      <c r="B424" s="39" t="s">
        <v>772</v>
      </c>
    </row>
    <row r="425" customHeight="1" spans="1:2">
      <c r="A425" s="38">
        <v>424</v>
      </c>
      <c r="B425" s="39" t="s">
        <v>773</v>
      </c>
    </row>
    <row r="426" customHeight="1" spans="1:2">
      <c r="A426" s="38">
        <v>425</v>
      </c>
      <c r="B426" s="39" t="s">
        <v>774</v>
      </c>
    </row>
    <row r="427" customHeight="1" spans="1:2">
      <c r="A427" s="38">
        <v>426</v>
      </c>
      <c r="B427" s="39" t="s">
        <v>775</v>
      </c>
    </row>
    <row r="428" customHeight="1" spans="1:2">
      <c r="A428" s="38">
        <v>427</v>
      </c>
      <c r="B428" s="39" t="s">
        <v>776</v>
      </c>
    </row>
    <row r="429" customHeight="1" spans="1:2">
      <c r="A429" s="38">
        <v>428</v>
      </c>
      <c r="B429" s="39" t="s">
        <v>777</v>
      </c>
    </row>
    <row r="430" customHeight="1" spans="1:2">
      <c r="A430" s="38">
        <v>429</v>
      </c>
      <c r="B430" s="39" t="s">
        <v>778</v>
      </c>
    </row>
    <row r="431" customHeight="1" spans="1:2">
      <c r="A431" s="38">
        <v>430</v>
      </c>
      <c r="B431" s="39" t="s">
        <v>779</v>
      </c>
    </row>
    <row r="432" customHeight="1" spans="1:2">
      <c r="A432" s="38">
        <v>431</v>
      </c>
      <c r="B432" s="39" t="s">
        <v>780</v>
      </c>
    </row>
    <row r="433" customHeight="1" spans="1:2">
      <c r="A433" s="38">
        <v>432</v>
      </c>
      <c r="B433" s="39" t="s">
        <v>781</v>
      </c>
    </row>
    <row r="434" customHeight="1" spans="1:2">
      <c r="A434" s="38">
        <v>433</v>
      </c>
      <c r="B434" s="39" t="s">
        <v>782</v>
      </c>
    </row>
    <row r="435" customHeight="1" spans="1:2">
      <c r="A435" s="38">
        <v>434</v>
      </c>
      <c r="B435" s="39" t="s">
        <v>783</v>
      </c>
    </row>
    <row r="436" customHeight="1" spans="1:2">
      <c r="A436" s="38">
        <v>435</v>
      </c>
      <c r="B436" s="39" t="s">
        <v>784</v>
      </c>
    </row>
    <row r="437" customHeight="1" spans="1:2">
      <c r="A437" s="38">
        <v>436</v>
      </c>
      <c r="B437" s="39" t="s">
        <v>785</v>
      </c>
    </row>
    <row r="438" customHeight="1" spans="1:2">
      <c r="A438" s="38">
        <v>437</v>
      </c>
      <c r="B438" s="39" t="s">
        <v>786</v>
      </c>
    </row>
    <row r="439" customHeight="1" spans="1:2">
      <c r="A439" s="38">
        <v>438</v>
      </c>
      <c r="B439" s="39" t="s">
        <v>787</v>
      </c>
    </row>
    <row r="440" customHeight="1" spans="1:2">
      <c r="A440" s="38">
        <v>439</v>
      </c>
      <c r="B440" s="39" t="s">
        <v>788</v>
      </c>
    </row>
    <row r="441" customHeight="1" spans="1:2">
      <c r="A441" s="38">
        <v>440</v>
      </c>
      <c r="B441" s="39" t="s">
        <v>789</v>
      </c>
    </row>
    <row r="442" customHeight="1" spans="1:2">
      <c r="A442" s="38">
        <v>441</v>
      </c>
      <c r="B442" s="39" t="s">
        <v>790</v>
      </c>
    </row>
    <row r="443" customHeight="1" spans="1:2">
      <c r="A443" s="38">
        <v>442</v>
      </c>
      <c r="B443" s="39" t="s">
        <v>791</v>
      </c>
    </row>
    <row r="444" customHeight="1" spans="1:2">
      <c r="A444" s="38">
        <v>443</v>
      </c>
      <c r="B444" s="39" t="s">
        <v>792</v>
      </c>
    </row>
    <row r="445" customHeight="1" spans="1:2">
      <c r="A445" s="38">
        <v>444</v>
      </c>
      <c r="B445" s="39" t="s">
        <v>793</v>
      </c>
    </row>
    <row r="446" customHeight="1" spans="1:2">
      <c r="A446" s="38">
        <v>445</v>
      </c>
      <c r="B446" s="39" t="s">
        <v>794</v>
      </c>
    </row>
    <row r="447" customHeight="1" spans="1:2">
      <c r="A447" s="38">
        <v>446</v>
      </c>
      <c r="B447" s="39" t="s">
        <v>795</v>
      </c>
    </row>
    <row r="448" customHeight="1" spans="1:2">
      <c r="A448" s="38">
        <v>447</v>
      </c>
      <c r="B448" s="39" t="s">
        <v>796</v>
      </c>
    </row>
    <row r="449" customHeight="1" spans="1:2">
      <c r="A449" s="38">
        <v>448</v>
      </c>
      <c r="B449" s="39" t="s">
        <v>797</v>
      </c>
    </row>
    <row r="450" customHeight="1" spans="1:2">
      <c r="A450" s="38">
        <v>449</v>
      </c>
      <c r="B450" s="39" t="s">
        <v>798</v>
      </c>
    </row>
    <row r="451" customHeight="1" spans="1:2">
      <c r="A451" s="38">
        <v>450</v>
      </c>
      <c r="B451" s="39" t="s">
        <v>799</v>
      </c>
    </row>
    <row r="452" customHeight="1" spans="1:2">
      <c r="A452" s="38">
        <v>451</v>
      </c>
      <c r="B452" s="39" t="s">
        <v>800</v>
      </c>
    </row>
    <row r="453" customHeight="1" spans="1:2">
      <c r="A453" s="38">
        <v>452</v>
      </c>
      <c r="B453" s="39" t="s">
        <v>801</v>
      </c>
    </row>
    <row r="454" customHeight="1" spans="1:2">
      <c r="A454" s="38">
        <v>453</v>
      </c>
      <c r="B454" s="39" t="s">
        <v>802</v>
      </c>
    </row>
    <row r="455" customHeight="1" spans="1:2">
      <c r="A455" s="38">
        <v>454</v>
      </c>
      <c r="B455" s="39" t="s">
        <v>803</v>
      </c>
    </row>
    <row r="456" customHeight="1" spans="1:2">
      <c r="A456" s="38">
        <v>455</v>
      </c>
      <c r="B456" s="39" t="s">
        <v>804</v>
      </c>
    </row>
    <row r="457" customHeight="1" spans="1:2">
      <c r="A457" s="38">
        <v>456</v>
      </c>
      <c r="B457" s="39" t="s">
        <v>805</v>
      </c>
    </row>
    <row r="458" customHeight="1" spans="1:2">
      <c r="A458" s="38">
        <v>457</v>
      </c>
      <c r="B458" s="39" t="s">
        <v>806</v>
      </c>
    </row>
    <row r="459" customHeight="1" spans="1:2">
      <c r="A459" s="38">
        <v>458</v>
      </c>
      <c r="B459" s="39" t="s">
        <v>807</v>
      </c>
    </row>
    <row r="460" customHeight="1" spans="1:2">
      <c r="A460" s="38">
        <v>459</v>
      </c>
      <c r="B460" s="39" t="s">
        <v>808</v>
      </c>
    </row>
    <row r="461" customHeight="1" spans="1:2">
      <c r="A461" s="38">
        <v>460</v>
      </c>
      <c r="B461" s="39" t="s">
        <v>809</v>
      </c>
    </row>
    <row r="462" customHeight="1" spans="1:2">
      <c r="A462" s="38">
        <v>461</v>
      </c>
      <c r="B462" s="39" t="s">
        <v>810</v>
      </c>
    </row>
    <row r="463" customHeight="1" spans="1:2">
      <c r="A463" s="38">
        <v>462</v>
      </c>
      <c r="B463" s="39" t="s">
        <v>811</v>
      </c>
    </row>
    <row r="464" customHeight="1" spans="1:2">
      <c r="A464" s="38">
        <v>463</v>
      </c>
      <c r="B464" s="39" t="s">
        <v>812</v>
      </c>
    </row>
    <row r="465" customHeight="1" spans="1:2">
      <c r="A465" s="38">
        <v>464</v>
      </c>
      <c r="B465" s="39" t="s">
        <v>813</v>
      </c>
    </row>
    <row r="466" customHeight="1" spans="1:2">
      <c r="A466" s="38">
        <v>465</v>
      </c>
      <c r="B466" s="39" t="s">
        <v>814</v>
      </c>
    </row>
    <row r="467" customHeight="1" spans="1:2">
      <c r="A467" s="38">
        <v>466</v>
      </c>
      <c r="B467" s="39" t="s">
        <v>815</v>
      </c>
    </row>
    <row r="468" customHeight="1" spans="1:2">
      <c r="A468" s="38">
        <v>467</v>
      </c>
      <c r="B468" s="39" t="s">
        <v>816</v>
      </c>
    </row>
    <row r="469" customHeight="1" spans="1:2">
      <c r="A469" s="38">
        <v>468</v>
      </c>
      <c r="B469" s="39" t="s">
        <v>817</v>
      </c>
    </row>
    <row r="470" customHeight="1" spans="1:2">
      <c r="A470" s="38">
        <v>469</v>
      </c>
      <c r="B470" s="39" t="s">
        <v>818</v>
      </c>
    </row>
    <row r="471" customHeight="1" spans="1:2">
      <c r="A471" s="38">
        <v>470</v>
      </c>
      <c r="B471" s="39" t="s">
        <v>819</v>
      </c>
    </row>
    <row r="472" customHeight="1" spans="1:2">
      <c r="A472" s="38">
        <v>471</v>
      </c>
      <c r="B472" s="39" t="s">
        <v>820</v>
      </c>
    </row>
    <row r="473" customHeight="1" spans="1:2">
      <c r="A473" s="38">
        <v>472</v>
      </c>
      <c r="B473" s="39" t="s">
        <v>821</v>
      </c>
    </row>
    <row r="474" customHeight="1" spans="1:2">
      <c r="A474" s="38">
        <v>473</v>
      </c>
      <c r="B474" s="39" t="s">
        <v>822</v>
      </c>
    </row>
    <row r="475" customHeight="1" spans="1:2">
      <c r="A475" s="38">
        <v>474</v>
      </c>
      <c r="B475" s="39" t="s">
        <v>823</v>
      </c>
    </row>
    <row r="476" customHeight="1" spans="1:2">
      <c r="A476" s="38">
        <v>475</v>
      </c>
      <c r="B476" s="39" t="s">
        <v>824</v>
      </c>
    </row>
    <row r="477" customHeight="1" spans="1:2">
      <c r="A477" s="38">
        <v>476</v>
      </c>
      <c r="B477" s="39" t="s">
        <v>825</v>
      </c>
    </row>
    <row r="478" customHeight="1" spans="1:2">
      <c r="A478" s="38">
        <v>477</v>
      </c>
      <c r="B478" s="39" t="s">
        <v>826</v>
      </c>
    </row>
    <row r="479" customHeight="1" spans="1:2">
      <c r="A479" s="38">
        <v>478</v>
      </c>
      <c r="B479" s="39" t="s">
        <v>827</v>
      </c>
    </row>
    <row r="480" customHeight="1" spans="1:2">
      <c r="A480" s="38">
        <v>479</v>
      </c>
      <c r="B480" s="39" t="s">
        <v>828</v>
      </c>
    </row>
    <row r="481" customHeight="1" spans="1:2">
      <c r="A481" s="38">
        <v>480</v>
      </c>
      <c r="B481" s="39" t="s">
        <v>829</v>
      </c>
    </row>
    <row r="482" customHeight="1" spans="1:2">
      <c r="A482" s="38">
        <v>481</v>
      </c>
      <c r="B482" s="39" t="s">
        <v>830</v>
      </c>
    </row>
    <row r="483" customHeight="1" spans="1:2">
      <c r="A483" s="38">
        <v>482</v>
      </c>
      <c r="B483" s="39" t="s">
        <v>831</v>
      </c>
    </row>
    <row r="484" customHeight="1" spans="1:2">
      <c r="A484" s="38">
        <v>483</v>
      </c>
      <c r="B484" s="39" t="s">
        <v>832</v>
      </c>
    </row>
    <row r="485" customHeight="1" spans="1:2">
      <c r="A485" s="38">
        <v>484</v>
      </c>
      <c r="B485" s="39" t="s">
        <v>833</v>
      </c>
    </row>
    <row r="486" customHeight="1" spans="1:2">
      <c r="A486" s="38">
        <v>485</v>
      </c>
      <c r="B486" s="39" t="s">
        <v>834</v>
      </c>
    </row>
    <row r="487" customHeight="1" spans="1:2">
      <c r="A487" s="38">
        <v>486</v>
      </c>
      <c r="B487" s="39" t="s">
        <v>835</v>
      </c>
    </row>
    <row r="488" customHeight="1" spans="1:2">
      <c r="A488" s="38">
        <v>487</v>
      </c>
      <c r="B488" s="39" t="s">
        <v>836</v>
      </c>
    </row>
    <row r="489" customHeight="1" spans="1:2">
      <c r="A489" s="38">
        <v>488</v>
      </c>
      <c r="B489" s="39" t="s">
        <v>837</v>
      </c>
    </row>
    <row r="490" customHeight="1" spans="1:2">
      <c r="A490" s="38">
        <v>489</v>
      </c>
      <c r="B490" s="39" t="s">
        <v>838</v>
      </c>
    </row>
    <row r="491" customHeight="1" spans="1:2">
      <c r="A491" s="38">
        <v>490</v>
      </c>
      <c r="B491" s="39" t="s">
        <v>839</v>
      </c>
    </row>
    <row r="492" customHeight="1" spans="1:2">
      <c r="A492" s="38">
        <v>491</v>
      </c>
      <c r="B492" s="39" t="s">
        <v>840</v>
      </c>
    </row>
    <row r="493" customHeight="1" spans="1:2">
      <c r="A493" s="38">
        <v>492</v>
      </c>
      <c r="B493" s="39" t="s">
        <v>841</v>
      </c>
    </row>
    <row r="494" customHeight="1" spans="1:2">
      <c r="A494" s="38">
        <v>493</v>
      </c>
      <c r="B494" s="39" t="s">
        <v>842</v>
      </c>
    </row>
    <row r="495" customHeight="1" spans="1:2">
      <c r="A495" s="38">
        <v>494</v>
      </c>
      <c r="B495" s="39" t="s">
        <v>843</v>
      </c>
    </row>
    <row r="496" customHeight="1" spans="1:2">
      <c r="A496" s="38">
        <v>495</v>
      </c>
      <c r="B496" s="39" t="s">
        <v>844</v>
      </c>
    </row>
    <row r="497" customHeight="1" spans="1:2">
      <c r="A497" s="38">
        <v>496</v>
      </c>
      <c r="B497" s="39" t="s">
        <v>845</v>
      </c>
    </row>
    <row r="498" customHeight="1" spans="1:2">
      <c r="A498" s="38">
        <v>497</v>
      </c>
      <c r="B498" s="39" t="s">
        <v>846</v>
      </c>
    </row>
    <row r="499" customHeight="1" spans="1:2">
      <c r="A499" s="38">
        <v>498</v>
      </c>
      <c r="B499" s="39" t="s">
        <v>847</v>
      </c>
    </row>
    <row r="500" customHeight="1" spans="1:2">
      <c r="A500" s="38">
        <v>499</v>
      </c>
      <c r="B500" s="39" t="s">
        <v>848</v>
      </c>
    </row>
    <row r="501" customHeight="1" spans="1:2">
      <c r="A501" s="38">
        <v>500</v>
      </c>
      <c r="B501" s="39" t="s">
        <v>849</v>
      </c>
    </row>
    <row r="502" customHeight="1" spans="1:2">
      <c r="A502" s="38">
        <v>501</v>
      </c>
      <c r="B502" s="39" t="s">
        <v>850</v>
      </c>
    </row>
    <row r="503" customHeight="1" spans="1:2">
      <c r="A503" s="38">
        <v>502</v>
      </c>
      <c r="B503" s="39" t="s">
        <v>851</v>
      </c>
    </row>
    <row r="504" customHeight="1" spans="1:2">
      <c r="A504" s="38">
        <v>503</v>
      </c>
      <c r="B504" s="39" t="s">
        <v>852</v>
      </c>
    </row>
    <row r="505" customHeight="1" spans="1:2">
      <c r="A505" s="38">
        <v>504</v>
      </c>
      <c r="B505" s="39" t="s">
        <v>853</v>
      </c>
    </row>
    <row r="506" customHeight="1" spans="1:2">
      <c r="A506" s="38">
        <v>505</v>
      </c>
      <c r="B506" s="39" t="s">
        <v>854</v>
      </c>
    </row>
    <row r="507" customHeight="1" spans="1:2">
      <c r="A507" s="38">
        <v>506</v>
      </c>
      <c r="B507" s="39" t="s">
        <v>855</v>
      </c>
    </row>
    <row r="508" customHeight="1" spans="1:2">
      <c r="A508" s="38">
        <v>507</v>
      </c>
      <c r="B508" s="39" t="s">
        <v>856</v>
      </c>
    </row>
    <row r="509" customHeight="1" spans="1:2">
      <c r="A509" s="38">
        <v>508</v>
      </c>
      <c r="B509" s="39" t="s">
        <v>857</v>
      </c>
    </row>
    <row r="510" customHeight="1" spans="1:2">
      <c r="A510" s="38">
        <v>509</v>
      </c>
      <c r="B510" s="39" t="s">
        <v>858</v>
      </c>
    </row>
    <row r="511" customHeight="1" spans="1:2">
      <c r="A511" s="38">
        <v>510</v>
      </c>
      <c r="B511" s="39" t="s">
        <v>859</v>
      </c>
    </row>
    <row r="512" customHeight="1" spans="1:2">
      <c r="A512" s="38">
        <v>511</v>
      </c>
      <c r="B512" s="39" t="s">
        <v>860</v>
      </c>
    </row>
    <row r="513" customHeight="1" spans="1:2">
      <c r="A513" s="38">
        <v>512</v>
      </c>
      <c r="B513" s="39" t="s">
        <v>861</v>
      </c>
    </row>
    <row r="514" customHeight="1" spans="1:2">
      <c r="A514" s="38">
        <v>513</v>
      </c>
      <c r="B514" s="39" t="s">
        <v>862</v>
      </c>
    </row>
    <row r="515" customHeight="1" spans="1:2">
      <c r="A515" s="38">
        <v>514</v>
      </c>
      <c r="B515" s="39" t="s">
        <v>863</v>
      </c>
    </row>
    <row r="516" customHeight="1" spans="1:2">
      <c r="A516" s="38">
        <v>515</v>
      </c>
      <c r="B516" s="39" t="s">
        <v>864</v>
      </c>
    </row>
    <row r="517" customHeight="1" spans="1:2">
      <c r="A517" s="38">
        <v>516</v>
      </c>
      <c r="B517" s="39" t="s">
        <v>865</v>
      </c>
    </row>
    <row r="518" customHeight="1" spans="1:2">
      <c r="A518" s="38">
        <v>517</v>
      </c>
      <c r="B518" s="39" t="s">
        <v>866</v>
      </c>
    </row>
    <row r="519" customHeight="1" spans="1:2">
      <c r="A519" s="38">
        <v>518</v>
      </c>
      <c r="B519" s="39" t="s">
        <v>867</v>
      </c>
    </row>
    <row r="520" customHeight="1" spans="1:2">
      <c r="A520" s="38">
        <v>519</v>
      </c>
      <c r="B520" s="39" t="s">
        <v>868</v>
      </c>
    </row>
    <row r="521" customHeight="1" spans="1:2">
      <c r="A521" s="38">
        <v>520</v>
      </c>
      <c r="B521" s="39" t="s">
        <v>869</v>
      </c>
    </row>
    <row r="522" customHeight="1" spans="1:2">
      <c r="A522" s="38">
        <v>521</v>
      </c>
      <c r="B522" s="39" t="s">
        <v>870</v>
      </c>
    </row>
    <row r="523" customHeight="1" spans="1:2">
      <c r="A523" s="38">
        <v>522</v>
      </c>
      <c r="B523" s="39" t="s">
        <v>131</v>
      </c>
    </row>
    <row r="524" customHeight="1" spans="1:2">
      <c r="A524" s="38">
        <v>523</v>
      </c>
      <c r="B524" s="39" t="s">
        <v>871</v>
      </c>
    </row>
    <row r="525" customHeight="1" spans="1:2">
      <c r="A525" s="38">
        <v>524</v>
      </c>
      <c r="B525" s="39" t="s">
        <v>872</v>
      </c>
    </row>
    <row r="526" customHeight="1" spans="1:2">
      <c r="A526" s="38">
        <v>525</v>
      </c>
      <c r="B526" s="39" t="s">
        <v>138</v>
      </c>
    </row>
    <row r="527" customHeight="1" spans="1:2">
      <c r="A527" s="38">
        <v>526</v>
      </c>
      <c r="B527" s="39" t="s">
        <v>873</v>
      </c>
    </row>
    <row r="528" customHeight="1" spans="1:2">
      <c r="A528" s="38">
        <v>527</v>
      </c>
      <c r="B528" s="39" t="s">
        <v>874</v>
      </c>
    </row>
    <row r="529" customHeight="1" spans="1:2">
      <c r="A529" s="38">
        <v>528</v>
      </c>
      <c r="B529" s="39" t="s">
        <v>875</v>
      </c>
    </row>
    <row r="530" customHeight="1" spans="1:2">
      <c r="A530" s="38">
        <v>529</v>
      </c>
      <c r="B530" s="39" t="s">
        <v>876</v>
      </c>
    </row>
    <row r="531" customHeight="1" spans="1:2">
      <c r="A531" s="38">
        <v>530</v>
      </c>
      <c r="B531" s="39" t="s">
        <v>877</v>
      </c>
    </row>
    <row r="532" customHeight="1" spans="1:2">
      <c r="A532" s="38">
        <v>531</v>
      </c>
      <c r="B532" s="39" t="s">
        <v>878</v>
      </c>
    </row>
    <row r="533" customHeight="1" spans="1:2">
      <c r="A533" s="38">
        <v>532</v>
      </c>
      <c r="B533" s="39" t="s">
        <v>145</v>
      </c>
    </row>
    <row r="534" customHeight="1" spans="1:2">
      <c r="A534" s="38">
        <v>533</v>
      </c>
      <c r="B534" s="39" t="s">
        <v>879</v>
      </c>
    </row>
    <row r="535" customHeight="1" spans="1:2">
      <c r="A535" s="38">
        <v>534</v>
      </c>
      <c r="B535" s="39" t="s">
        <v>880</v>
      </c>
    </row>
    <row r="536" customHeight="1" spans="1:2">
      <c r="A536" s="38">
        <v>535</v>
      </c>
      <c r="B536" s="39" t="s">
        <v>881</v>
      </c>
    </row>
    <row r="537" customHeight="1" spans="1:2">
      <c r="A537" s="38">
        <v>536</v>
      </c>
      <c r="B537" s="39" t="s">
        <v>882</v>
      </c>
    </row>
    <row r="538" customHeight="1" spans="1:2">
      <c r="A538" s="38">
        <v>537</v>
      </c>
      <c r="B538" s="39" t="s">
        <v>883</v>
      </c>
    </row>
    <row r="539" customHeight="1" spans="1:2">
      <c r="A539" s="38">
        <v>538</v>
      </c>
      <c r="B539" s="39" t="s">
        <v>884</v>
      </c>
    </row>
    <row r="540" customHeight="1" spans="1:2">
      <c r="A540" s="38">
        <v>539</v>
      </c>
      <c r="B540" s="39" t="s">
        <v>885</v>
      </c>
    </row>
    <row r="541" customHeight="1" spans="1:2">
      <c r="A541" s="38">
        <v>540</v>
      </c>
      <c r="B541" s="39" t="s">
        <v>886</v>
      </c>
    </row>
    <row r="542" customHeight="1" spans="1:2">
      <c r="A542" s="38">
        <v>541</v>
      </c>
      <c r="B542" s="39" t="s">
        <v>887</v>
      </c>
    </row>
    <row r="543" customHeight="1" spans="1:2">
      <c r="A543" s="38">
        <v>542</v>
      </c>
      <c r="B543" s="39" t="s">
        <v>888</v>
      </c>
    </row>
    <row r="544" customHeight="1" spans="1:2">
      <c r="A544" s="38">
        <v>543</v>
      </c>
      <c r="B544" s="39" t="s">
        <v>889</v>
      </c>
    </row>
    <row r="545" customHeight="1" spans="1:2">
      <c r="A545" s="38">
        <v>544</v>
      </c>
      <c r="B545" s="39" t="s">
        <v>890</v>
      </c>
    </row>
    <row r="546" customHeight="1" spans="1:2">
      <c r="A546" s="38">
        <v>545</v>
      </c>
      <c r="B546" s="39" t="s">
        <v>891</v>
      </c>
    </row>
    <row r="547" customHeight="1" spans="1:2">
      <c r="A547" s="38">
        <v>546</v>
      </c>
      <c r="B547" s="39" t="s">
        <v>892</v>
      </c>
    </row>
    <row r="548" customHeight="1" spans="1:2">
      <c r="A548" s="38">
        <v>547</v>
      </c>
      <c r="B548" s="39" t="s">
        <v>893</v>
      </c>
    </row>
    <row r="549" customHeight="1" spans="1:2">
      <c r="A549" s="38">
        <v>548</v>
      </c>
      <c r="B549" s="39" t="s">
        <v>894</v>
      </c>
    </row>
    <row r="550" customHeight="1" spans="1:2">
      <c r="A550" s="38">
        <v>549</v>
      </c>
      <c r="B550" s="39" t="s">
        <v>895</v>
      </c>
    </row>
    <row r="551" customHeight="1" spans="1:2">
      <c r="A551" s="38">
        <v>550</v>
      </c>
      <c r="B551" s="39" t="s">
        <v>896</v>
      </c>
    </row>
    <row r="552" customHeight="1" spans="1:2">
      <c r="A552" s="38">
        <v>551</v>
      </c>
      <c r="B552" s="39" t="s">
        <v>897</v>
      </c>
    </row>
    <row r="553" customHeight="1" spans="1:2">
      <c r="A553" s="38">
        <v>552</v>
      </c>
      <c r="B553" s="39" t="s">
        <v>898</v>
      </c>
    </row>
    <row r="554" customHeight="1" spans="1:2">
      <c r="A554" s="38">
        <v>553</v>
      </c>
      <c r="B554" s="39" t="s">
        <v>899</v>
      </c>
    </row>
    <row r="555" customHeight="1" spans="1:2">
      <c r="A555" s="38">
        <v>554</v>
      </c>
      <c r="B555" s="39" t="s">
        <v>900</v>
      </c>
    </row>
    <row r="556" customHeight="1" spans="1:2">
      <c r="A556" s="38">
        <v>555</v>
      </c>
      <c r="B556" s="39" t="s">
        <v>901</v>
      </c>
    </row>
    <row r="557" customHeight="1" spans="1:2">
      <c r="A557" s="38">
        <v>556</v>
      </c>
      <c r="B557" s="39" t="s">
        <v>902</v>
      </c>
    </row>
    <row r="558" customHeight="1" spans="1:2">
      <c r="A558" s="38">
        <v>557</v>
      </c>
      <c r="B558" s="39" t="s">
        <v>903</v>
      </c>
    </row>
    <row r="559" customHeight="1" spans="1:2">
      <c r="A559" s="38">
        <v>558</v>
      </c>
      <c r="B559" s="39" t="s">
        <v>904</v>
      </c>
    </row>
    <row r="560" customHeight="1" spans="1:2">
      <c r="A560" s="38">
        <v>559</v>
      </c>
      <c r="B560" s="39" t="s">
        <v>905</v>
      </c>
    </row>
    <row r="561" customHeight="1" spans="1:2">
      <c r="A561" s="38">
        <v>560</v>
      </c>
      <c r="B561" s="39" t="s">
        <v>906</v>
      </c>
    </row>
    <row r="562" customHeight="1" spans="1:2">
      <c r="A562" s="38">
        <v>561</v>
      </c>
      <c r="B562" s="39" t="s">
        <v>907</v>
      </c>
    </row>
    <row r="563" customHeight="1" spans="1:2">
      <c r="A563" s="38">
        <v>562</v>
      </c>
      <c r="B563" s="39" t="s">
        <v>908</v>
      </c>
    </row>
    <row r="564" customHeight="1" spans="1:2">
      <c r="A564" s="38">
        <v>563</v>
      </c>
      <c r="B564" s="39" t="s">
        <v>909</v>
      </c>
    </row>
    <row r="565" customHeight="1" spans="1:2">
      <c r="A565" s="38">
        <v>564</v>
      </c>
      <c r="B565" s="39" t="s">
        <v>910</v>
      </c>
    </row>
    <row r="566" customHeight="1" spans="1:2">
      <c r="A566" s="38">
        <v>565</v>
      </c>
      <c r="B566" s="39" t="s">
        <v>911</v>
      </c>
    </row>
    <row r="567" customHeight="1" spans="1:2">
      <c r="A567" s="38">
        <v>566</v>
      </c>
      <c r="B567" s="39" t="s">
        <v>912</v>
      </c>
    </row>
    <row r="568" customHeight="1" spans="1:2">
      <c r="A568" s="38">
        <v>567</v>
      </c>
      <c r="B568" s="39" t="s">
        <v>913</v>
      </c>
    </row>
    <row r="569" customHeight="1" spans="1:2">
      <c r="A569" s="38">
        <v>568</v>
      </c>
      <c r="B569" s="39" t="s">
        <v>152</v>
      </c>
    </row>
    <row r="570" customHeight="1" spans="1:2">
      <c r="A570" s="38">
        <v>569</v>
      </c>
      <c r="B570" s="39" t="s">
        <v>914</v>
      </c>
    </row>
    <row r="571" customHeight="1" spans="1:2">
      <c r="A571" s="38">
        <v>570</v>
      </c>
      <c r="B571" s="39" t="s">
        <v>915</v>
      </c>
    </row>
    <row r="572" customHeight="1" spans="1:2">
      <c r="A572" s="38">
        <v>571</v>
      </c>
      <c r="B572" s="39" t="s">
        <v>916</v>
      </c>
    </row>
    <row r="573" customHeight="1" spans="1:2">
      <c r="A573" s="38">
        <v>572</v>
      </c>
      <c r="B573" s="39" t="s">
        <v>917</v>
      </c>
    </row>
    <row r="574" customHeight="1" spans="1:2">
      <c r="A574" s="38">
        <v>573</v>
      </c>
      <c r="B574" s="39" t="s">
        <v>918</v>
      </c>
    </row>
    <row r="575" customHeight="1" spans="1:2">
      <c r="A575" s="38">
        <v>574</v>
      </c>
      <c r="B575" s="39" t="s">
        <v>919</v>
      </c>
    </row>
    <row r="576" customHeight="1" spans="1:2">
      <c r="A576" s="38">
        <v>575</v>
      </c>
      <c r="B576" s="39" t="s">
        <v>920</v>
      </c>
    </row>
    <row r="577" customHeight="1" spans="1:2">
      <c r="A577" s="38">
        <v>576</v>
      </c>
      <c r="B577" s="39" t="s">
        <v>921</v>
      </c>
    </row>
    <row r="578" customHeight="1" spans="1:2">
      <c r="A578" s="38">
        <v>577</v>
      </c>
      <c r="B578" s="39" t="s">
        <v>922</v>
      </c>
    </row>
    <row r="579" customHeight="1" spans="1:2">
      <c r="A579" s="38">
        <v>578</v>
      </c>
      <c r="B579" s="39" t="s">
        <v>923</v>
      </c>
    </row>
    <row r="580" customHeight="1" spans="1:2">
      <c r="A580" s="38">
        <v>579</v>
      </c>
      <c r="B580" s="39" t="s">
        <v>924</v>
      </c>
    </row>
    <row r="581" customHeight="1" spans="1:2">
      <c r="A581" s="38">
        <v>580</v>
      </c>
      <c r="B581" s="39" t="s">
        <v>925</v>
      </c>
    </row>
    <row r="582" customHeight="1" spans="1:2">
      <c r="A582" s="38">
        <v>581</v>
      </c>
      <c r="B582" s="39" t="s">
        <v>926</v>
      </c>
    </row>
    <row r="583" customHeight="1" spans="1:2">
      <c r="A583" s="38">
        <v>582</v>
      </c>
      <c r="B583" s="39" t="s">
        <v>927</v>
      </c>
    </row>
    <row r="584" customHeight="1" spans="1:2">
      <c r="A584" s="38">
        <v>583</v>
      </c>
      <c r="B584" s="39" t="s">
        <v>928</v>
      </c>
    </row>
    <row r="585" customHeight="1" spans="1:2">
      <c r="A585" s="38">
        <v>584</v>
      </c>
      <c r="B585" s="39" t="s">
        <v>929</v>
      </c>
    </row>
    <row r="586" customHeight="1" spans="1:2">
      <c r="A586" s="38">
        <v>585</v>
      </c>
      <c r="B586" s="39" t="s">
        <v>930</v>
      </c>
    </row>
    <row r="587" customHeight="1" spans="1:3">
      <c r="A587" s="38">
        <v>586</v>
      </c>
      <c r="B587" s="39" t="s">
        <v>159</v>
      </c>
      <c r="C587" s="3">
        <v>1</v>
      </c>
    </row>
    <row r="588" customHeight="1" spans="1:2">
      <c r="A588" s="38">
        <v>587</v>
      </c>
      <c r="B588" s="39" t="s">
        <v>931</v>
      </c>
    </row>
    <row r="589" customHeight="1" spans="1:2">
      <c r="A589" s="38">
        <v>588</v>
      </c>
      <c r="B589" s="39" t="s">
        <v>932</v>
      </c>
    </row>
    <row r="590" customHeight="1" spans="1:2">
      <c r="A590" s="38">
        <v>589</v>
      </c>
      <c r="B590" s="39" t="s">
        <v>933</v>
      </c>
    </row>
    <row r="591" customHeight="1" spans="1:2">
      <c r="A591" s="38">
        <v>590</v>
      </c>
      <c r="B591" s="39" t="s">
        <v>934</v>
      </c>
    </row>
    <row r="592" customHeight="1" spans="1:2">
      <c r="A592" s="38">
        <v>591</v>
      </c>
      <c r="B592" s="39" t="s">
        <v>935</v>
      </c>
    </row>
    <row r="593" customHeight="1" spans="1:2">
      <c r="A593" s="38">
        <v>592</v>
      </c>
      <c r="B593" s="39" t="s">
        <v>936</v>
      </c>
    </row>
    <row r="594" customHeight="1" spans="1:2">
      <c r="A594" s="38">
        <v>593</v>
      </c>
      <c r="B594" s="39" t="s">
        <v>937</v>
      </c>
    </row>
    <row r="595" customHeight="1" spans="1:2">
      <c r="A595" s="38">
        <v>594</v>
      </c>
      <c r="B595" s="39" t="s">
        <v>938</v>
      </c>
    </row>
    <row r="596" customHeight="1" spans="1:2">
      <c r="A596" s="38">
        <v>595</v>
      </c>
      <c r="B596" s="39" t="s">
        <v>939</v>
      </c>
    </row>
    <row r="597" customHeight="1" spans="1:2">
      <c r="A597" s="38">
        <v>596</v>
      </c>
      <c r="B597" s="39" t="s">
        <v>940</v>
      </c>
    </row>
    <row r="598" customHeight="1" spans="1:2">
      <c r="A598" s="38">
        <v>597</v>
      </c>
      <c r="B598" s="39" t="s">
        <v>941</v>
      </c>
    </row>
    <row r="599" customHeight="1" spans="1:2">
      <c r="A599" s="38">
        <v>598</v>
      </c>
      <c r="B599" s="39" t="s">
        <v>942</v>
      </c>
    </row>
    <row r="600" customHeight="1" spans="1:2">
      <c r="A600" s="38">
        <v>599</v>
      </c>
      <c r="B600" s="39" t="s">
        <v>943</v>
      </c>
    </row>
    <row r="601" customHeight="1" spans="1:2">
      <c r="A601" s="38">
        <v>600</v>
      </c>
      <c r="B601" s="39" t="s">
        <v>944</v>
      </c>
    </row>
    <row r="602" customHeight="1" spans="1:2">
      <c r="A602" s="38">
        <v>601</v>
      </c>
      <c r="B602" s="39" t="s">
        <v>945</v>
      </c>
    </row>
    <row r="603" customHeight="1" spans="1:2">
      <c r="A603" s="38">
        <v>602</v>
      </c>
      <c r="B603" s="39" t="s">
        <v>946</v>
      </c>
    </row>
    <row r="604" customHeight="1" spans="1:2">
      <c r="A604" s="38">
        <v>603</v>
      </c>
      <c r="B604" s="39" t="s">
        <v>947</v>
      </c>
    </row>
    <row r="605" customHeight="1" spans="1:2">
      <c r="A605" s="38">
        <v>604</v>
      </c>
      <c r="B605" s="39" t="s">
        <v>948</v>
      </c>
    </row>
    <row r="606" customHeight="1" spans="1:2">
      <c r="A606" s="38">
        <v>605</v>
      </c>
      <c r="B606" s="39" t="s">
        <v>949</v>
      </c>
    </row>
    <row r="607" customHeight="1" spans="1:2">
      <c r="A607" s="38">
        <v>606</v>
      </c>
      <c r="B607" s="39" t="s">
        <v>950</v>
      </c>
    </row>
    <row r="608" customHeight="1" spans="1:2">
      <c r="A608" s="38">
        <v>607</v>
      </c>
      <c r="B608" s="39" t="s">
        <v>951</v>
      </c>
    </row>
    <row r="609" customHeight="1" spans="1:2">
      <c r="A609" s="38">
        <v>608</v>
      </c>
      <c r="B609" s="39" t="s">
        <v>952</v>
      </c>
    </row>
    <row r="610" customHeight="1" spans="1:2">
      <c r="A610" s="38">
        <v>609</v>
      </c>
      <c r="B610" s="39" t="s">
        <v>953</v>
      </c>
    </row>
    <row r="611" customHeight="1" spans="1:2">
      <c r="A611" s="38">
        <v>610</v>
      </c>
      <c r="B611" s="39" t="s">
        <v>954</v>
      </c>
    </row>
    <row r="612" customHeight="1" spans="1:2">
      <c r="A612" s="38">
        <v>611</v>
      </c>
      <c r="B612" s="39" t="s">
        <v>955</v>
      </c>
    </row>
    <row r="613" customHeight="1" spans="1:2">
      <c r="A613" s="38">
        <v>612</v>
      </c>
      <c r="B613" s="39" t="s">
        <v>956</v>
      </c>
    </row>
    <row r="614" customHeight="1" spans="1:2">
      <c r="A614" s="38">
        <v>613</v>
      </c>
      <c r="B614" s="39" t="s">
        <v>957</v>
      </c>
    </row>
    <row r="615" customHeight="1" spans="1:2">
      <c r="A615" s="38">
        <v>614</v>
      </c>
      <c r="B615" s="39" t="s">
        <v>958</v>
      </c>
    </row>
    <row r="616" customHeight="1" spans="1:2">
      <c r="A616" s="38">
        <v>615</v>
      </c>
      <c r="B616" s="39" t="s">
        <v>959</v>
      </c>
    </row>
    <row r="617" customHeight="1" spans="1:2">
      <c r="A617" s="38">
        <v>616</v>
      </c>
      <c r="B617" s="39" t="s">
        <v>960</v>
      </c>
    </row>
    <row r="618" customHeight="1" spans="1:2">
      <c r="A618" s="38">
        <v>617</v>
      </c>
      <c r="B618" s="39" t="s">
        <v>961</v>
      </c>
    </row>
    <row r="619" customHeight="1" spans="1:2">
      <c r="A619" s="38">
        <v>618</v>
      </c>
      <c r="B619" s="39" t="s">
        <v>962</v>
      </c>
    </row>
    <row r="620" customHeight="1" spans="1:2">
      <c r="A620" s="38">
        <v>619</v>
      </c>
      <c r="B620" s="39" t="s">
        <v>963</v>
      </c>
    </row>
    <row r="621" customHeight="1" spans="1:2">
      <c r="A621" s="38">
        <v>620</v>
      </c>
      <c r="B621" s="39" t="s">
        <v>964</v>
      </c>
    </row>
    <row r="622" customHeight="1" spans="1:2">
      <c r="A622" s="38">
        <v>621</v>
      </c>
      <c r="B622" s="39" t="s">
        <v>965</v>
      </c>
    </row>
    <row r="623" customHeight="1" spans="1:3">
      <c r="A623" s="38">
        <v>622</v>
      </c>
      <c r="B623" s="39" t="s">
        <v>966</v>
      </c>
      <c r="C623" s="3">
        <v>2</v>
      </c>
    </row>
    <row r="624" customHeight="1" spans="1:2">
      <c r="A624" s="38">
        <v>623</v>
      </c>
      <c r="B624" s="39" t="s">
        <v>967</v>
      </c>
    </row>
    <row r="625" customHeight="1" spans="1:2">
      <c r="A625" s="38">
        <v>624</v>
      </c>
      <c r="B625" s="39" t="s">
        <v>968</v>
      </c>
    </row>
    <row r="626" customHeight="1" spans="1:2">
      <c r="A626" s="38">
        <v>625</v>
      </c>
      <c r="B626" s="39" t="s">
        <v>969</v>
      </c>
    </row>
    <row r="627" customHeight="1" spans="1:2">
      <c r="A627" s="38">
        <v>626</v>
      </c>
      <c r="B627" s="39" t="s">
        <v>970</v>
      </c>
    </row>
    <row r="628" customHeight="1" spans="1:2">
      <c r="A628" s="38">
        <v>627</v>
      </c>
      <c r="B628" s="39" t="s">
        <v>971</v>
      </c>
    </row>
    <row r="629" customHeight="1" spans="1:2">
      <c r="A629" s="38">
        <v>628</v>
      </c>
      <c r="B629" s="39" t="s">
        <v>972</v>
      </c>
    </row>
    <row r="630" customHeight="1" spans="1:2">
      <c r="A630" s="38">
        <v>629</v>
      </c>
      <c r="B630" s="39" t="s">
        <v>973</v>
      </c>
    </row>
    <row r="631" customHeight="1" spans="1:2">
      <c r="A631" s="38">
        <v>630</v>
      </c>
      <c r="B631" s="39" t="s">
        <v>974</v>
      </c>
    </row>
    <row r="632" customHeight="1" spans="1:2">
      <c r="A632" s="38">
        <v>631</v>
      </c>
      <c r="B632" s="39" t="s">
        <v>975</v>
      </c>
    </row>
    <row r="633" customHeight="1" spans="1:2">
      <c r="A633" s="38">
        <v>632</v>
      </c>
      <c r="B633" s="39" t="s">
        <v>976</v>
      </c>
    </row>
    <row r="634" customHeight="1" spans="1:2">
      <c r="A634" s="38">
        <v>633</v>
      </c>
      <c r="B634" s="39" t="s">
        <v>977</v>
      </c>
    </row>
    <row r="635" customHeight="1" spans="1:2">
      <c r="A635" s="38">
        <v>634</v>
      </c>
      <c r="B635" s="39" t="s">
        <v>978</v>
      </c>
    </row>
    <row r="636" customHeight="1" spans="1:2">
      <c r="A636" s="38">
        <v>635</v>
      </c>
      <c r="B636" s="39" t="s">
        <v>979</v>
      </c>
    </row>
    <row r="637" customHeight="1" spans="1:2">
      <c r="A637" s="38">
        <v>636</v>
      </c>
      <c r="B637" s="39" t="s">
        <v>980</v>
      </c>
    </row>
    <row r="638" customHeight="1" spans="1:2">
      <c r="A638" s="38">
        <v>637</v>
      </c>
      <c r="B638" s="39" t="s">
        <v>981</v>
      </c>
    </row>
    <row r="639" customHeight="1" spans="1:2">
      <c r="A639" s="38">
        <v>638</v>
      </c>
      <c r="B639" s="39" t="s">
        <v>982</v>
      </c>
    </row>
    <row r="640" customHeight="1" spans="1:2">
      <c r="A640" s="38">
        <v>639</v>
      </c>
      <c r="B640" s="39" t="s">
        <v>983</v>
      </c>
    </row>
    <row r="641" customHeight="1" spans="1:2">
      <c r="A641" s="38">
        <v>640</v>
      </c>
      <c r="B641" s="39" t="s">
        <v>984</v>
      </c>
    </row>
    <row r="642" customHeight="1" spans="1:2">
      <c r="A642" s="38">
        <v>641</v>
      </c>
      <c r="B642" s="39" t="s">
        <v>985</v>
      </c>
    </row>
    <row r="643" customHeight="1" spans="1:2">
      <c r="A643" s="38">
        <v>642</v>
      </c>
      <c r="B643" s="39" t="s">
        <v>986</v>
      </c>
    </row>
    <row r="644" customHeight="1" spans="1:2">
      <c r="A644" s="38">
        <v>643</v>
      </c>
      <c r="B644" s="39" t="s">
        <v>987</v>
      </c>
    </row>
    <row r="645" customHeight="1" spans="1:2">
      <c r="A645" s="38">
        <v>644</v>
      </c>
      <c r="B645" s="39" t="s">
        <v>988</v>
      </c>
    </row>
    <row r="646" customHeight="1" spans="1:2">
      <c r="A646" s="38">
        <v>645</v>
      </c>
      <c r="B646" s="39" t="s">
        <v>989</v>
      </c>
    </row>
    <row r="647" customHeight="1" spans="1:2">
      <c r="A647" s="38">
        <v>646</v>
      </c>
      <c r="B647" s="39" t="s">
        <v>990</v>
      </c>
    </row>
    <row r="648" customHeight="1" spans="1:2">
      <c r="A648" s="38">
        <v>647</v>
      </c>
      <c r="B648" s="39" t="s">
        <v>991</v>
      </c>
    </row>
    <row r="649" customHeight="1" spans="1:2">
      <c r="A649" s="38">
        <v>648</v>
      </c>
      <c r="B649" s="39" t="s">
        <v>166</v>
      </c>
    </row>
    <row r="650" customHeight="1" spans="1:2">
      <c r="A650" s="38">
        <v>649</v>
      </c>
      <c r="B650" s="39" t="s">
        <v>992</v>
      </c>
    </row>
    <row r="651" customHeight="1" spans="1:2">
      <c r="A651" s="38">
        <v>650</v>
      </c>
      <c r="B651" s="39" t="s">
        <v>993</v>
      </c>
    </row>
    <row r="652" customHeight="1" spans="1:2">
      <c r="A652" s="38">
        <v>651</v>
      </c>
      <c r="B652" s="39" t="s">
        <v>994</v>
      </c>
    </row>
    <row r="653" customHeight="1" spans="1:2">
      <c r="A653" s="38">
        <v>652</v>
      </c>
      <c r="B653" s="39" t="s">
        <v>995</v>
      </c>
    </row>
    <row r="654" customHeight="1" spans="1:2">
      <c r="A654" s="38">
        <v>653</v>
      </c>
      <c r="B654" s="39" t="s">
        <v>996</v>
      </c>
    </row>
    <row r="655" customHeight="1" spans="1:2">
      <c r="A655" s="38">
        <v>654</v>
      </c>
      <c r="B655" s="39" t="s">
        <v>997</v>
      </c>
    </row>
    <row r="656" customHeight="1" spans="1:2">
      <c r="A656" s="38">
        <v>655</v>
      </c>
      <c r="B656" s="39" t="s">
        <v>998</v>
      </c>
    </row>
    <row r="657" customHeight="1" spans="1:2">
      <c r="A657" s="38">
        <v>656</v>
      </c>
      <c r="B657" s="39" t="s">
        <v>999</v>
      </c>
    </row>
    <row r="658" customHeight="1" spans="1:2">
      <c r="A658" s="38">
        <v>657</v>
      </c>
      <c r="B658" s="39" t="s">
        <v>1000</v>
      </c>
    </row>
    <row r="659" customHeight="1" spans="1:2">
      <c r="A659" s="38">
        <v>658</v>
      </c>
      <c r="B659" s="39" t="s">
        <v>1001</v>
      </c>
    </row>
    <row r="660" customHeight="1" spans="1:2">
      <c r="A660" s="38">
        <v>659</v>
      </c>
      <c r="B660" s="39" t="s">
        <v>1002</v>
      </c>
    </row>
    <row r="661" customHeight="1" spans="1:2">
      <c r="A661" s="38">
        <v>660</v>
      </c>
      <c r="B661" s="39" t="s">
        <v>1003</v>
      </c>
    </row>
    <row r="662" customHeight="1" spans="1:3">
      <c r="A662" s="38">
        <v>661</v>
      </c>
      <c r="B662" s="39" t="s">
        <v>1004</v>
      </c>
      <c r="C662" s="3">
        <v>2</v>
      </c>
    </row>
    <row r="663" customHeight="1" spans="1:2">
      <c r="A663" s="38">
        <v>662</v>
      </c>
      <c r="B663" s="39" t="s">
        <v>1005</v>
      </c>
    </row>
    <row r="664" customHeight="1" spans="1:2">
      <c r="A664" s="38">
        <v>663</v>
      </c>
      <c r="B664" s="39" t="s">
        <v>1006</v>
      </c>
    </row>
    <row r="665" customHeight="1" spans="1:2">
      <c r="A665" s="38">
        <v>664</v>
      </c>
      <c r="B665" s="39" t="s">
        <v>1007</v>
      </c>
    </row>
    <row r="666" customHeight="1" spans="1:2">
      <c r="A666" s="38">
        <v>665</v>
      </c>
      <c r="B666" s="39" t="s">
        <v>1008</v>
      </c>
    </row>
    <row r="667" customHeight="1" spans="1:2">
      <c r="A667" s="38">
        <v>666</v>
      </c>
      <c r="B667" s="39" t="s">
        <v>1009</v>
      </c>
    </row>
    <row r="668" customHeight="1" spans="1:2">
      <c r="A668" s="38">
        <v>667</v>
      </c>
      <c r="B668" s="39" t="s">
        <v>1010</v>
      </c>
    </row>
    <row r="669" customHeight="1" spans="1:2">
      <c r="A669" s="38">
        <v>668</v>
      </c>
      <c r="B669" s="39" t="s">
        <v>1011</v>
      </c>
    </row>
    <row r="670" customHeight="1" spans="1:2">
      <c r="A670" s="38">
        <v>669</v>
      </c>
      <c r="B670" s="39" t="s">
        <v>1012</v>
      </c>
    </row>
    <row r="671" customHeight="1" spans="1:2">
      <c r="A671" s="38">
        <v>670</v>
      </c>
      <c r="B671" s="39" t="s">
        <v>1013</v>
      </c>
    </row>
    <row r="672" customHeight="1" spans="1:3">
      <c r="A672" s="38">
        <v>671</v>
      </c>
      <c r="B672" s="39" t="s">
        <v>1014</v>
      </c>
      <c r="C672" s="3">
        <v>1</v>
      </c>
    </row>
    <row r="673" customHeight="1" spans="1:3">
      <c r="A673" s="38">
        <v>672</v>
      </c>
      <c r="B673" s="39" t="s">
        <v>173</v>
      </c>
      <c r="C673" s="3">
        <v>1</v>
      </c>
    </row>
    <row r="674" customHeight="1" spans="1:2">
      <c r="A674" s="38">
        <v>673</v>
      </c>
      <c r="B674" s="39" t="s">
        <v>1015</v>
      </c>
    </row>
    <row r="675" customHeight="1" spans="1:2">
      <c r="A675" s="38">
        <v>674</v>
      </c>
      <c r="B675" s="39" t="s">
        <v>1016</v>
      </c>
    </row>
    <row r="676" customHeight="1" spans="1:2">
      <c r="A676" s="38">
        <v>675</v>
      </c>
      <c r="B676" s="39" t="s">
        <v>1017</v>
      </c>
    </row>
    <row r="677" customHeight="1" spans="1:2">
      <c r="A677" s="38">
        <v>676</v>
      </c>
      <c r="B677" s="39" t="s">
        <v>1018</v>
      </c>
    </row>
    <row r="678" customHeight="1" spans="1:2">
      <c r="A678" s="38">
        <v>677</v>
      </c>
      <c r="B678" s="39" t="s">
        <v>1019</v>
      </c>
    </row>
    <row r="679" customHeight="1" spans="1:2">
      <c r="A679" s="38">
        <v>678</v>
      </c>
      <c r="B679" s="39" t="s">
        <v>1020</v>
      </c>
    </row>
    <row r="680" customHeight="1" spans="1:2">
      <c r="A680" s="38">
        <v>679</v>
      </c>
      <c r="B680" s="39" t="s">
        <v>1021</v>
      </c>
    </row>
    <row r="681" customHeight="1" spans="1:2">
      <c r="A681" s="38">
        <v>680</v>
      </c>
      <c r="B681" s="39" t="s">
        <v>1022</v>
      </c>
    </row>
    <row r="682" customHeight="1" spans="1:2">
      <c r="A682" s="38">
        <v>681</v>
      </c>
      <c r="B682" s="39" t="s">
        <v>1023</v>
      </c>
    </row>
    <row r="683" customHeight="1" spans="1:2">
      <c r="A683" s="38">
        <v>682</v>
      </c>
      <c r="B683" s="39" t="s">
        <v>1024</v>
      </c>
    </row>
    <row r="684" customHeight="1" spans="1:2">
      <c r="A684" s="38">
        <v>683</v>
      </c>
      <c r="B684" s="39" t="s">
        <v>1025</v>
      </c>
    </row>
    <row r="685" customHeight="1" spans="1:2">
      <c r="A685" s="38">
        <v>684</v>
      </c>
      <c r="B685" s="39" t="s">
        <v>1026</v>
      </c>
    </row>
    <row r="686" customHeight="1" spans="1:2">
      <c r="A686" s="38">
        <v>685</v>
      </c>
      <c r="B686" s="39" t="s">
        <v>1027</v>
      </c>
    </row>
    <row r="687" customHeight="1" spans="1:2">
      <c r="A687" s="38">
        <v>686</v>
      </c>
      <c r="B687" s="38" t="s">
        <v>1028</v>
      </c>
    </row>
    <row r="688" customHeight="1" spans="1:2">
      <c r="A688" s="38">
        <v>687</v>
      </c>
      <c r="B688" s="39" t="s">
        <v>1029</v>
      </c>
    </row>
    <row r="689" customHeight="1" spans="1:2">
      <c r="A689" s="38">
        <v>688</v>
      </c>
      <c r="B689" s="39" t="s">
        <v>1030</v>
      </c>
    </row>
    <row r="690" customHeight="1" spans="1:2">
      <c r="A690" s="38">
        <v>689</v>
      </c>
      <c r="B690" s="39" t="s">
        <v>1031</v>
      </c>
    </row>
    <row r="691" customHeight="1" spans="1:2">
      <c r="A691" s="38">
        <v>690</v>
      </c>
      <c r="B691" s="39" t="s">
        <v>1032</v>
      </c>
    </row>
    <row r="692" customHeight="1" spans="1:2">
      <c r="A692" s="38">
        <v>691</v>
      </c>
      <c r="B692" s="38" t="s">
        <v>1033</v>
      </c>
    </row>
    <row r="693" customHeight="1" spans="1:2">
      <c r="A693" s="38">
        <v>692</v>
      </c>
      <c r="B693" s="39" t="s">
        <v>1034</v>
      </c>
    </row>
    <row r="694" customHeight="1" spans="1:2">
      <c r="A694" s="38">
        <v>693</v>
      </c>
      <c r="B694" s="39" t="s">
        <v>1035</v>
      </c>
    </row>
    <row r="695" customHeight="1" spans="1:2">
      <c r="A695" s="38">
        <v>694</v>
      </c>
      <c r="B695" s="39" t="s">
        <v>1036</v>
      </c>
    </row>
    <row r="696" customHeight="1" spans="1:2">
      <c r="A696" s="38">
        <v>695</v>
      </c>
      <c r="B696" s="39" t="s">
        <v>1037</v>
      </c>
    </row>
    <row r="697" customHeight="1" spans="1:2">
      <c r="A697" s="38">
        <v>696</v>
      </c>
      <c r="B697" s="39" t="s">
        <v>1038</v>
      </c>
    </row>
    <row r="698" customHeight="1" spans="1:2">
      <c r="A698" s="38">
        <v>697</v>
      </c>
      <c r="B698" s="39" t="s">
        <v>1039</v>
      </c>
    </row>
    <row r="699" customHeight="1" spans="1:2">
      <c r="A699" s="38">
        <v>698</v>
      </c>
      <c r="B699" s="39" t="s">
        <v>1040</v>
      </c>
    </row>
    <row r="700" customHeight="1" spans="1:2">
      <c r="A700" s="38">
        <v>699</v>
      </c>
      <c r="B700" s="39" t="s">
        <v>1041</v>
      </c>
    </row>
    <row r="701" customHeight="1" spans="1:2">
      <c r="A701" s="38">
        <v>700</v>
      </c>
      <c r="B701" s="39" t="s">
        <v>1042</v>
      </c>
    </row>
    <row r="702" customHeight="1" spans="1:2">
      <c r="A702" s="38">
        <v>701</v>
      </c>
      <c r="B702" s="39" t="s">
        <v>1043</v>
      </c>
    </row>
    <row r="703" customHeight="1" spans="1:2">
      <c r="A703" s="38">
        <v>702</v>
      </c>
      <c r="B703" s="39" t="s">
        <v>1044</v>
      </c>
    </row>
    <row r="704" customHeight="1" spans="1:2">
      <c r="A704" s="38">
        <v>703</v>
      </c>
      <c r="B704" s="39" t="s">
        <v>1045</v>
      </c>
    </row>
    <row r="705" customHeight="1" spans="1:2">
      <c r="A705" s="38">
        <v>704</v>
      </c>
      <c r="B705" s="39" t="s">
        <v>1046</v>
      </c>
    </row>
    <row r="706" customHeight="1" spans="1:2">
      <c r="A706" s="38">
        <v>705</v>
      </c>
      <c r="B706" s="39" t="s">
        <v>1047</v>
      </c>
    </row>
    <row r="707" customHeight="1" spans="1:2">
      <c r="A707" s="38">
        <v>706</v>
      </c>
      <c r="B707" s="39" t="s">
        <v>1048</v>
      </c>
    </row>
    <row r="708" customHeight="1" spans="1:2">
      <c r="A708" s="38">
        <v>707</v>
      </c>
      <c r="B708" s="39" t="s">
        <v>1049</v>
      </c>
    </row>
    <row r="709" customHeight="1" spans="1:2">
      <c r="A709" s="38">
        <v>708</v>
      </c>
      <c r="B709" s="39" t="s">
        <v>1050</v>
      </c>
    </row>
    <row r="710" customHeight="1" spans="1:2">
      <c r="A710" s="38">
        <v>709</v>
      </c>
      <c r="B710" s="39" t="s">
        <v>1051</v>
      </c>
    </row>
    <row r="711" customHeight="1" spans="1:2">
      <c r="A711" s="38">
        <v>710</v>
      </c>
      <c r="B711" s="39" t="s">
        <v>1052</v>
      </c>
    </row>
    <row r="712" customHeight="1" spans="1:2">
      <c r="A712" s="38">
        <v>711</v>
      </c>
      <c r="B712" s="39" t="s">
        <v>1053</v>
      </c>
    </row>
    <row r="713" customHeight="1" spans="1:2">
      <c r="A713" s="38">
        <v>712</v>
      </c>
      <c r="B713" s="39" t="s">
        <v>1054</v>
      </c>
    </row>
    <row r="714" customHeight="1" spans="1:2">
      <c r="A714" s="38">
        <v>713</v>
      </c>
      <c r="B714" s="39" t="s">
        <v>1055</v>
      </c>
    </row>
    <row r="715" customHeight="1" spans="1:2">
      <c r="A715" s="38">
        <v>714</v>
      </c>
      <c r="B715" s="39" t="s">
        <v>1056</v>
      </c>
    </row>
    <row r="716" customHeight="1" spans="1:2">
      <c r="A716" s="38">
        <v>715</v>
      </c>
      <c r="B716" s="39" t="s">
        <v>1057</v>
      </c>
    </row>
    <row r="717" customHeight="1" spans="1:2">
      <c r="A717" s="38">
        <v>716</v>
      </c>
      <c r="B717" s="39" t="s">
        <v>1058</v>
      </c>
    </row>
    <row r="718" customHeight="1" spans="1:2">
      <c r="A718" s="38">
        <v>717</v>
      </c>
      <c r="B718" s="39" t="s">
        <v>1059</v>
      </c>
    </row>
    <row r="719" customHeight="1" spans="1:2">
      <c r="A719" s="38">
        <v>718</v>
      </c>
      <c r="B719" s="39" t="s">
        <v>1060</v>
      </c>
    </row>
    <row r="720" customHeight="1" spans="1:2">
      <c r="A720" s="38">
        <v>719</v>
      </c>
      <c r="B720" s="39" t="s">
        <v>1061</v>
      </c>
    </row>
    <row r="721" customHeight="1" spans="1:2">
      <c r="A721" s="38">
        <v>720</v>
      </c>
      <c r="B721" s="39" t="s">
        <v>1062</v>
      </c>
    </row>
    <row r="722" customHeight="1" spans="1:2">
      <c r="A722" s="38">
        <v>721</v>
      </c>
      <c r="B722" s="39" t="s">
        <v>1063</v>
      </c>
    </row>
    <row r="723" customHeight="1" spans="1:2">
      <c r="A723" s="38">
        <v>722</v>
      </c>
      <c r="B723" s="39" t="s">
        <v>1064</v>
      </c>
    </row>
    <row r="724" customHeight="1" spans="1:2">
      <c r="A724" s="38">
        <v>723</v>
      </c>
      <c r="B724" s="39" t="s">
        <v>1065</v>
      </c>
    </row>
    <row r="725" customHeight="1" spans="1:2">
      <c r="A725" s="38">
        <v>724</v>
      </c>
      <c r="B725" s="39" t="s">
        <v>1066</v>
      </c>
    </row>
    <row r="726" customHeight="1" spans="1:2">
      <c r="A726" s="38">
        <v>725</v>
      </c>
      <c r="B726" s="39" t="s">
        <v>1067</v>
      </c>
    </row>
    <row r="727" customHeight="1" spans="1:2">
      <c r="A727" s="38">
        <v>726</v>
      </c>
      <c r="B727" s="38" t="s">
        <v>1068</v>
      </c>
    </row>
    <row r="728" customHeight="1" spans="1:2">
      <c r="A728" s="38">
        <v>727</v>
      </c>
      <c r="B728" s="39" t="s">
        <v>1069</v>
      </c>
    </row>
    <row r="729" customHeight="1" spans="1:2">
      <c r="A729" s="38">
        <v>728</v>
      </c>
      <c r="B729" s="39" t="s">
        <v>180</v>
      </c>
    </row>
    <row r="730" customHeight="1" spans="1:2">
      <c r="A730" s="38">
        <v>729</v>
      </c>
      <c r="B730" s="39" t="s">
        <v>1070</v>
      </c>
    </row>
    <row r="731" customHeight="1" spans="1:2">
      <c r="A731" s="38">
        <v>730</v>
      </c>
      <c r="B731" s="39" t="s">
        <v>1071</v>
      </c>
    </row>
    <row r="732" customHeight="1" spans="1:2">
      <c r="A732" s="38">
        <v>731</v>
      </c>
      <c r="B732" s="39" t="s">
        <v>1072</v>
      </c>
    </row>
    <row r="733" customHeight="1" spans="1:2">
      <c r="A733" s="38">
        <v>732</v>
      </c>
      <c r="B733" s="39" t="s">
        <v>1073</v>
      </c>
    </row>
    <row r="734" customHeight="1" spans="1:2">
      <c r="A734" s="38">
        <v>733</v>
      </c>
      <c r="B734" s="39" t="s">
        <v>1074</v>
      </c>
    </row>
    <row r="735" customHeight="1" spans="1:2">
      <c r="A735" s="38">
        <v>734</v>
      </c>
      <c r="B735" s="39" t="s">
        <v>1075</v>
      </c>
    </row>
    <row r="736" customHeight="1" spans="1:2">
      <c r="A736" s="38">
        <v>735</v>
      </c>
      <c r="B736" s="39" t="s">
        <v>1076</v>
      </c>
    </row>
    <row r="737" customHeight="1" spans="1:2">
      <c r="A737" s="38">
        <v>736</v>
      </c>
      <c r="B737" s="39" t="s">
        <v>1077</v>
      </c>
    </row>
    <row r="738" customHeight="1" spans="1:2">
      <c r="A738" s="38">
        <v>737</v>
      </c>
      <c r="B738" s="39" t="s">
        <v>1078</v>
      </c>
    </row>
    <row r="739" customHeight="1" spans="1:2">
      <c r="A739" s="38">
        <v>738</v>
      </c>
      <c r="B739" s="39" t="s">
        <v>1079</v>
      </c>
    </row>
    <row r="740" customHeight="1" spans="1:2">
      <c r="A740" s="38">
        <v>739</v>
      </c>
      <c r="B740" s="39" t="s">
        <v>1080</v>
      </c>
    </row>
    <row r="741" customHeight="1" spans="1:2">
      <c r="A741" s="38">
        <v>740</v>
      </c>
      <c r="B741" s="39" t="s">
        <v>1081</v>
      </c>
    </row>
    <row r="742" customHeight="1" spans="1:2">
      <c r="A742" s="38">
        <v>741</v>
      </c>
      <c r="B742" s="39" t="s">
        <v>1082</v>
      </c>
    </row>
    <row r="743" customHeight="1" spans="1:2">
      <c r="A743" s="38">
        <v>742</v>
      </c>
      <c r="B743" s="39" t="s">
        <v>1083</v>
      </c>
    </row>
    <row r="744" customHeight="1" spans="1:2">
      <c r="A744" s="38">
        <v>743</v>
      </c>
      <c r="B744" s="39" t="s">
        <v>1084</v>
      </c>
    </row>
    <row r="745" customHeight="1" spans="1:2">
      <c r="A745" s="38">
        <v>744</v>
      </c>
      <c r="B745" s="39" t="s">
        <v>1085</v>
      </c>
    </row>
    <row r="746" customHeight="1" spans="1:2">
      <c r="A746" s="38">
        <v>745</v>
      </c>
      <c r="B746" s="39" t="s">
        <v>1086</v>
      </c>
    </row>
    <row r="747" customHeight="1" spans="1:2">
      <c r="A747" s="38">
        <v>746</v>
      </c>
      <c r="B747" s="39" t="s">
        <v>1087</v>
      </c>
    </row>
    <row r="748" customHeight="1" spans="1:2">
      <c r="A748" s="38">
        <v>747</v>
      </c>
      <c r="B748" s="39" t="s">
        <v>1088</v>
      </c>
    </row>
    <row r="749" customHeight="1" spans="1:2">
      <c r="A749" s="38">
        <v>748</v>
      </c>
      <c r="B749" s="39" t="s">
        <v>1089</v>
      </c>
    </row>
    <row r="750" customHeight="1" spans="1:2">
      <c r="A750" s="38">
        <v>749</v>
      </c>
      <c r="B750" s="39" t="s">
        <v>1090</v>
      </c>
    </row>
    <row r="751" customHeight="1" spans="1:2">
      <c r="A751" s="38">
        <v>750</v>
      </c>
      <c r="B751" s="38" t="s">
        <v>1091</v>
      </c>
    </row>
    <row r="752" customHeight="1" spans="1:2">
      <c r="A752" s="38">
        <v>751</v>
      </c>
      <c r="B752" s="38" t="s">
        <v>1092</v>
      </c>
    </row>
    <row r="753" customHeight="1" spans="1:2">
      <c r="A753" s="38">
        <v>752</v>
      </c>
      <c r="B753" s="38" t="s">
        <v>1093</v>
      </c>
    </row>
    <row r="754" customHeight="1" spans="1:2">
      <c r="A754" s="38">
        <v>753</v>
      </c>
      <c r="B754" s="39" t="s">
        <v>1094</v>
      </c>
    </row>
    <row r="755" customHeight="1" spans="1:2">
      <c r="A755" s="38">
        <v>754</v>
      </c>
      <c r="B755" s="39" t="s">
        <v>1095</v>
      </c>
    </row>
    <row r="756" customHeight="1" spans="1:2">
      <c r="A756" s="38">
        <v>755</v>
      </c>
      <c r="B756" s="38" t="s">
        <v>1096</v>
      </c>
    </row>
    <row r="757" customHeight="1" spans="1:2">
      <c r="A757" s="38">
        <v>756</v>
      </c>
      <c r="B757" s="39" t="s">
        <v>1097</v>
      </c>
    </row>
    <row r="758" customHeight="1" spans="1:2">
      <c r="A758" s="38">
        <v>757</v>
      </c>
      <c r="B758" s="39" t="s">
        <v>1098</v>
      </c>
    </row>
    <row r="759" customHeight="1" spans="1:2">
      <c r="A759" s="38">
        <v>758</v>
      </c>
      <c r="B759" s="39" t="s">
        <v>1099</v>
      </c>
    </row>
    <row r="760" customHeight="1" spans="1:2">
      <c r="A760" s="38">
        <v>759</v>
      </c>
      <c r="B760" s="39" t="s">
        <v>1100</v>
      </c>
    </row>
    <row r="761" customHeight="1" spans="1:2">
      <c r="A761" s="38">
        <v>760</v>
      </c>
      <c r="B761" s="39" t="s">
        <v>1101</v>
      </c>
    </row>
    <row r="762" customHeight="1" spans="1:2">
      <c r="A762" s="38">
        <v>761</v>
      </c>
      <c r="B762" s="39" t="s">
        <v>1102</v>
      </c>
    </row>
    <row r="763" customHeight="1" spans="1:2">
      <c r="A763" s="38">
        <v>762</v>
      </c>
      <c r="B763" s="39" t="s">
        <v>1103</v>
      </c>
    </row>
    <row r="764" customHeight="1" spans="1:2">
      <c r="A764" s="38">
        <v>763</v>
      </c>
      <c r="B764" s="39" t="s">
        <v>1104</v>
      </c>
    </row>
    <row r="765" customHeight="1" spans="1:2">
      <c r="A765" s="38">
        <v>764</v>
      </c>
      <c r="B765" s="39" t="s">
        <v>1105</v>
      </c>
    </row>
    <row r="766" customHeight="1" spans="1:2">
      <c r="A766" s="38">
        <v>765</v>
      </c>
      <c r="B766" s="39" t="s">
        <v>1106</v>
      </c>
    </row>
    <row r="767" customHeight="1" spans="1:2">
      <c r="A767" s="38">
        <v>766</v>
      </c>
      <c r="B767" s="39" t="s">
        <v>1107</v>
      </c>
    </row>
    <row r="768" customHeight="1" spans="1:2">
      <c r="A768" s="38">
        <v>767</v>
      </c>
      <c r="B768" s="39" t="s">
        <v>1108</v>
      </c>
    </row>
    <row r="769" customHeight="1" spans="1:2">
      <c r="A769" s="38">
        <v>768</v>
      </c>
      <c r="B769" s="39" t="s">
        <v>1109</v>
      </c>
    </row>
    <row r="770" customHeight="1" spans="1:2">
      <c r="A770" s="38">
        <v>769</v>
      </c>
      <c r="B770" s="39" t="s">
        <v>1110</v>
      </c>
    </row>
    <row r="771" customHeight="1" spans="1:2">
      <c r="A771" s="38">
        <v>770</v>
      </c>
      <c r="B771" s="39" t="s">
        <v>1111</v>
      </c>
    </row>
    <row r="772" customHeight="1" spans="1:2">
      <c r="A772" s="38">
        <v>771</v>
      </c>
      <c r="B772" s="39" t="s">
        <v>1112</v>
      </c>
    </row>
    <row r="773" customHeight="1" spans="1:2">
      <c r="A773" s="38">
        <v>772</v>
      </c>
      <c r="B773" s="39" t="s">
        <v>1113</v>
      </c>
    </row>
    <row r="774" customHeight="1" spans="1:2">
      <c r="A774" s="38">
        <v>773</v>
      </c>
      <c r="B774" s="39" t="s">
        <v>1114</v>
      </c>
    </row>
    <row r="775" customHeight="1" spans="1:2">
      <c r="A775" s="38">
        <v>774</v>
      </c>
      <c r="B775" s="39" t="s">
        <v>1115</v>
      </c>
    </row>
    <row r="776" customHeight="1" spans="1:2">
      <c r="A776" s="38">
        <v>775</v>
      </c>
      <c r="B776" s="39" t="s">
        <v>1116</v>
      </c>
    </row>
    <row r="777" customHeight="1" spans="1:2">
      <c r="A777" s="38">
        <v>776</v>
      </c>
      <c r="B777" s="39" t="s">
        <v>1117</v>
      </c>
    </row>
    <row r="778" customHeight="1" spans="1:2">
      <c r="A778" s="38">
        <v>777</v>
      </c>
      <c r="B778" s="39" t="s">
        <v>1118</v>
      </c>
    </row>
    <row r="779" customHeight="1" spans="1:2">
      <c r="A779" s="38">
        <v>778</v>
      </c>
      <c r="B779" s="39" t="s">
        <v>1119</v>
      </c>
    </row>
    <row r="780" customHeight="1" spans="1:2">
      <c r="A780" s="38">
        <v>779</v>
      </c>
      <c r="B780" s="39" t="s">
        <v>1120</v>
      </c>
    </row>
    <row r="781" customHeight="1" spans="1:2">
      <c r="A781" s="38">
        <v>780</v>
      </c>
      <c r="B781" s="39" t="s">
        <v>1121</v>
      </c>
    </row>
    <row r="782" customHeight="1" spans="1:2">
      <c r="A782" s="38">
        <v>781</v>
      </c>
      <c r="B782" s="39" t="s">
        <v>1122</v>
      </c>
    </row>
    <row r="783" customHeight="1" spans="1:2">
      <c r="A783" s="38">
        <v>782</v>
      </c>
      <c r="B783" s="39" t="s">
        <v>1123</v>
      </c>
    </row>
    <row r="784" customHeight="1" spans="1:2">
      <c r="A784" s="38">
        <v>783</v>
      </c>
      <c r="B784" s="39" t="s">
        <v>1124</v>
      </c>
    </row>
    <row r="785" customHeight="1" spans="1:2">
      <c r="A785" s="38">
        <v>784</v>
      </c>
      <c r="B785" s="39" t="s">
        <v>1125</v>
      </c>
    </row>
    <row r="786" customHeight="1" spans="1:2">
      <c r="A786" s="38">
        <v>785</v>
      </c>
      <c r="B786" s="39" t="s">
        <v>1126</v>
      </c>
    </row>
    <row r="787" customHeight="1" spans="1:2">
      <c r="A787" s="38">
        <v>786</v>
      </c>
      <c r="B787" s="39" t="s">
        <v>1127</v>
      </c>
    </row>
    <row r="788" customHeight="1" spans="1:2">
      <c r="A788" s="38">
        <v>787</v>
      </c>
      <c r="B788" s="39" t="s">
        <v>1128</v>
      </c>
    </row>
    <row r="789" customHeight="1" spans="1:2">
      <c r="A789" s="38">
        <v>788</v>
      </c>
      <c r="B789" s="39" t="s">
        <v>1129</v>
      </c>
    </row>
    <row r="790" customHeight="1" spans="1:2">
      <c r="A790" s="38">
        <v>789</v>
      </c>
      <c r="B790" s="39" t="s">
        <v>1130</v>
      </c>
    </row>
    <row r="791" customHeight="1" spans="1:2">
      <c r="A791" s="38">
        <v>790</v>
      </c>
      <c r="B791" s="39" t="s">
        <v>1131</v>
      </c>
    </row>
    <row r="792" customHeight="1" spans="1:2">
      <c r="A792" s="38">
        <v>791</v>
      </c>
      <c r="B792" s="39" t="s">
        <v>1132</v>
      </c>
    </row>
    <row r="793" customHeight="1" spans="1:2">
      <c r="A793" s="38">
        <v>792</v>
      </c>
      <c r="B793" s="39" t="s">
        <v>187</v>
      </c>
    </row>
    <row r="794" customHeight="1" spans="1:2">
      <c r="A794" s="38">
        <v>793</v>
      </c>
      <c r="B794" s="39" t="s">
        <v>1133</v>
      </c>
    </row>
    <row r="795" customHeight="1" spans="1:2">
      <c r="A795" s="38">
        <v>794</v>
      </c>
      <c r="B795" s="39" t="s">
        <v>1134</v>
      </c>
    </row>
    <row r="796" customHeight="1" spans="1:2">
      <c r="A796" s="38">
        <v>795</v>
      </c>
      <c r="B796" s="38" t="s">
        <v>1135</v>
      </c>
    </row>
    <row r="797" customHeight="1" spans="1:2">
      <c r="A797" s="38">
        <v>796</v>
      </c>
      <c r="B797" s="39" t="s">
        <v>1136</v>
      </c>
    </row>
    <row r="798" customHeight="1" spans="1:2">
      <c r="A798" s="38">
        <v>797</v>
      </c>
      <c r="B798" s="38" t="s">
        <v>1137</v>
      </c>
    </row>
    <row r="799" customHeight="1" spans="1:2">
      <c r="A799" s="38">
        <v>798</v>
      </c>
      <c r="B799" s="39" t="s">
        <v>1138</v>
      </c>
    </row>
    <row r="800" customHeight="1" spans="1:2">
      <c r="A800" s="38">
        <v>799</v>
      </c>
      <c r="B800" s="39" t="s">
        <v>1139</v>
      </c>
    </row>
    <row r="801" customHeight="1" spans="1:2">
      <c r="A801" s="38">
        <v>800</v>
      </c>
      <c r="B801" s="39" t="s">
        <v>1140</v>
      </c>
    </row>
    <row r="802" customHeight="1" spans="1:2">
      <c r="A802" s="38">
        <v>801</v>
      </c>
      <c r="B802" s="39" t="s">
        <v>1141</v>
      </c>
    </row>
    <row r="803" customHeight="1" spans="1:2">
      <c r="A803" s="38">
        <v>802</v>
      </c>
      <c r="B803" s="38" t="s">
        <v>1142</v>
      </c>
    </row>
    <row r="804" customHeight="1" spans="1:2">
      <c r="A804" s="38">
        <v>803</v>
      </c>
      <c r="B804" s="39" t="s">
        <v>1143</v>
      </c>
    </row>
    <row r="805" customHeight="1" spans="1:2">
      <c r="A805" s="38">
        <v>804</v>
      </c>
      <c r="B805" s="39" t="s">
        <v>1144</v>
      </c>
    </row>
    <row r="806" customHeight="1" spans="1:2">
      <c r="A806" s="38">
        <v>805</v>
      </c>
      <c r="B806" s="39" t="s">
        <v>1145</v>
      </c>
    </row>
    <row r="807" customHeight="1" spans="1:2">
      <c r="A807" s="38">
        <v>806</v>
      </c>
      <c r="B807" s="39" t="s">
        <v>1146</v>
      </c>
    </row>
    <row r="808" customHeight="1" spans="1:2">
      <c r="A808" s="38">
        <v>807</v>
      </c>
      <c r="B808" s="39" t="s">
        <v>1147</v>
      </c>
    </row>
    <row r="809" customHeight="1" spans="1:2">
      <c r="A809" s="38">
        <v>808</v>
      </c>
      <c r="B809" s="39" t="s">
        <v>1148</v>
      </c>
    </row>
    <row r="810" customHeight="1" spans="1:2">
      <c r="A810" s="38">
        <v>809</v>
      </c>
      <c r="B810" s="39" t="s">
        <v>1149</v>
      </c>
    </row>
    <row r="811" customHeight="1" spans="1:2">
      <c r="A811" s="38">
        <v>810</v>
      </c>
      <c r="B811" s="39" t="s">
        <v>1150</v>
      </c>
    </row>
    <row r="812" customHeight="1" spans="1:2">
      <c r="A812" s="38">
        <v>811</v>
      </c>
      <c r="B812" s="39" t="s">
        <v>1151</v>
      </c>
    </row>
    <row r="813" customHeight="1" spans="1:2">
      <c r="A813" s="38">
        <v>812</v>
      </c>
      <c r="B813" s="39" t="s">
        <v>1152</v>
      </c>
    </row>
    <row r="814" customHeight="1" spans="1:2">
      <c r="A814" s="38">
        <v>813</v>
      </c>
      <c r="B814" s="39" t="s">
        <v>1153</v>
      </c>
    </row>
    <row r="815" customHeight="1" spans="1:2">
      <c r="A815" s="38">
        <v>814</v>
      </c>
      <c r="B815" s="39" t="s">
        <v>1154</v>
      </c>
    </row>
    <row r="816" customHeight="1" spans="1:2">
      <c r="A816" s="38">
        <v>815</v>
      </c>
      <c r="B816" s="39" t="s">
        <v>1155</v>
      </c>
    </row>
    <row r="817" customHeight="1" spans="1:2">
      <c r="A817" s="38">
        <v>816</v>
      </c>
      <c r="B817" s="39" t="s">
        <v>1156</v>
      </c>
    </row>
    <row r="818" customHeight="1" spans="1:2">
      <c r="A818" s="38">
        <v>817</v>
      </c>
      <c r="B818" s="39" t="s">
        <v>1157</v>
      </c>
    </row>
    <row r="819" customHeight="1" spans="1:2">
      <c r="A819" s="38">
        <v>818</v>
      </c>
      <c r="B819" s="39" t="s">
        <v>1158</v>
      </c>
    </row>
    <row r="820" customHeight="1" spans="1:2">
      <c r="A820" s="38">
        <v>819</v>
      </c>
      <c r="B820" s="39" t="s">
        <v>1159</v>
      </c>
    </row>
    <row r="821" customHeight="1" spans="1:2">
      <c r="A821" s="38">
        <v>820</v>
      </c>
      <c r="B821" s="39" t="s">
        <v>1160</v>
      </c>
    </row>
    <row r="822" customHeight="1" spans="1:2">
      <c r="A822" s="38">
        <v>821</v>
      </c>
      <c r="B822" s="39" t="s">
        <v>1161</v>
      </c>
    </row>
    <row r="823" customHeight="1" spans="1:2">
      <c r="A823" s="38">
        <v>822</v>
      </c>
      <c r="B823" s="39" t="s">
        <v>1162</v>
      </c>
    </row>
    <row r="824" customHeight="1" spans="1:2">
      <c r="A824" s="38">
        <v>823</v>
      </c>
      <c r="B824" s="39" t="s">
        <v>1163</v>
      </c>
    </row>
    <row r="825" customHeight="1" spans="1:2">
      <c r="A825" s="38">
        <v>824</v>
      </c>
      <c r="B825" s="39" t="s">
        <v>1164</v>
      </c>
    </row>
    <row r="826" customHeight="1" spans="1:2">
      <c r="A826" s="38">
        <v>825</v>
      </c>
      <c r="B826" s="39" t="s">
        <v>1165</v>
      </c>
    </row>
    <row r="827" customHeight="1" spans="1:2">
      <c r="A827" s="38">
        <v>826</v>
      </c>
      <c r="B827" s="39" t="s">
        <v>1166</v>
      </c>
    </row>
    <row r="828" customHeight="1" spans="1:2">
      <c r="A828" s="38">
        <v>827</v>
      </c>
      <c r="B828" s="39" t="s">
        <v>1167</v>
      </c>
    </row>
    <row r="829" customHeight="1" spans="1:2">
      <c r="A829" s="38">
        <v>828</v>
      </c>
      <c r="B829" s="39" t="s">
        <v>1168</v>
      </c>
    </row>
    <row r="830" customHeight="1" spans="1:2">
      <c r="A830" s="38">
        <v>829</v>
      </c>
      <c r="B830" s="39" t="s">
        <v>1169</v>
      </c>
    </row>
    <row r="831" customHeight="1" spans="1:2">
      <c r="A831" s="38">
        <v>830</v>
      </c>
      <c r="B831" s="39" t="s">
        <v>1170</v>
      </c>
    </row>
    <row r="832" customHeight="1" spans="1:2">
      <c r="A832" s="38">
        <v>831</v>
      </c>
      <c r="B832" s="39" t="s">
        <v>1171</v>
      </c>
    </row>
    <row r="833" customHeight="1" spans="1:2">
      <c r="A833" s="38">
        <v>832</v>
      </c>
      <c r="B833" s="39" t="s">
        <v>1172</v>
      </c>
    </row>
    <row r="834" customHeight="1" spans="1:2">
      <c r="A834" s="38">
        <v>833</v>
      </c>
      <c r="B834" s="39" t="s">
        <v>1173</v>
      </c>
    </row>
    <row r="835" customHeight="1" spans="1:2">
      <c r="A835" s="38">
        <v>834</v>
      </c>
      <c r="B835" s="39" t="s">
        <v>1174</v>
      </c>
    </row>
    <row r="836" customHeight="1" spans="1:2">
      <c r="A836" s="38">
        <v>835</v>
      </c>
      <c r="B836" s="39" t="s">
        <v>1175</v>
      </c>
    </row>
    <row r="837" customHeight="1" spans="1:2">
      <c r="A837" s="38">
        <v>836</v>
      </c>
      <c r="B837" s="39" t="s">
        <v>1176</v>
      </c>
    </row>
    <row r="838" customHeight="1" spans="1:2">
      <c r="A838" s="38">
        <v>837</v>
      </c>
      <c r="B838" s="39" t="s">
        <v>1177</v>
      </c>
    </row>
    <row r="839" customHeight="1" spans="1:2">
      <c r="A839" s="38">
        <v>838</v>
      </c>
      <c r="B839" s="39" t="s">
        <v>1178</v>
      </c>
    </row>
    <row r="840" customHeight="1" spans="1:2">
      <c r="A840" s="38">
        <v>839</v>
      </c>
      <c r="B840" s="39" t="s">
        <v>1179</v>
      </c>
    </row>
    <row r="841" customHeight="1" spans="1:2">
      <c r="A841" s="38">
        <v>840</v>
      </c>
      <c r="B841" s="39" t="s">
        <v>1180</v>
      </c>
    </row>
    <row r="842" customHeight="1" spans="1:2">
      <c r="A842" s="38">
        <v>841</v>
      </c>
      <c r="B842" s="39" t="s">
        <v>1181</v>
      </c>
    </row>
    <row r="843" customHeight="1" spans="1:2">
      <c r="A843" s="38">
        <v>842</v>
      </c>
      <c r="B843" s="39" t="s">
        <v>1182</v>
      </c>
    </row>
    <row r="844" customHeight="1" spans="1:2">
      <c r="A844" s="38">
        <v>843</v>
      </c>
      <c r="B844" s="39" t="s">
        <v>1183</v>
      </c>
    </row>
    <row r="845" customHeight="1" spans="1:2">
      <c r="A845" s="38">
        <v>844</v>
      </c>
      <c r="B845" s="39" t="s">
        <v>1184</v>
      </c>
    </row>
    <row r="846" customHeight="1" spans="1:2">
      <c r="A846" s="38">
        <v>845</v>
      </c>
      <c r="B846" s="39" t="s">
        <v>1185</v>
      </c>
    </row>
    <row r="847" customHeight="1" spans="1:2">
      <c r="A847" s="38">
        <v>846</v>
      </c>
      <c r="B847" s="39" t="s">
        <v>1186</v>
      </c>
    </row>
    <row r="848" customHeight="1" spans="1:2">
      <c r="A848" s="38">
        <v>847</v>
      </c>
      <c r="B848" s="39" t="s">
        <v>1187</v>
      </c>
    </row>
    <row r="849" customHeight="1" spans="1:2">
      <c r="A849" s="38">
        <v>848</v>
      </c>
      <c r="B849" s="39" t="s">
        <v>1188</v>
      </c>
    </row>
    <row r="850" customHeight="1" spans="1:2">
      <c r="A850" s="38">
        <v>849</v>
      </c>
      <c r="B850" s="39" t="s">
        <v>1189</v>
      </c>
    </row>
    <row r="851" customHeight="1" spans="1:2">
      <c r="A851" s="38">
        <v>850</v>
      </c>
      <c r="B851" s="39" t="s">
        <v>1190</v>
      </c>
    </row>
    <row r="852" customHeight="1" spans="1:2">
      <c r="A852" s="38">
        <v>851</v>
      </c>
      <c r="B852" s="39" t="s">
        <v>1191</v>
      </c>
    </row>
    <row r="853" customHeight="1" spans="1:2">
      <c r="A853" s="38">
        <v>852</v>
      </c>
      <c r="B853" s="39" t="s">
        <v>1192</v>
      </c>
    </row>
    <row r="854" customHeight="1" spans="1:2">
      <c r="A854" s="38">
        <v>853</v>
      </c>
      <c r="B854" s="39" t="s">
        <v>1193</v>
      </c>
    </row>
    <row r="855" customHeight="1" spans="1:2">
      <c r="A855" s="38">
        <v>854</v>
      </c>
      <c r="B855" s="39" t="s">
        <v>1194</v>
      </c>
    </row>
    <row r="856" customHeight="1" spans="1:2">
      <c r="A856" s="38">
        <v>855</v>
      </c>
      <c r="B856" s="39" t="s">
        <v>1195</v>
      </c>
    </row>
    <row r="857" customHeight="1" spans="1:2">
      <c r="A857" s="38">
        <v>856</v>
      </c>
      <c r="B857" s="39" t="s">
        <v>1196</v>
      </c>
    </row>
    <row r="858" customHeight="1" spans="1:2">
      <c r="A858" s="38">
        <v>857</v>
      </c>
      <c r="B858" s="39" t="s">
        <v>1197</v>
      </c>
    </row>
    <row r="859" customHeight="1" spans="1:2">
      <c r="A859" s="38">
        <v>858</v>
      </c>
      <c r="B859" s="39" t="s">
        <v>1198</v>
      </c>
    </row>
    <row r="860" customHeight="1" spans="1:2">
      <c r="A860" s="38">
        <v>859</v>
      </c>
      <c r="B860" s="39" t="s">
        <v>1199</v>
      </c>
    </row>
    <row r="861" customHeight="1" spans="1:2">
      <c r="A861" s="38">
        <v>860</v>
      </c>
      <c r="B861" s="39" t="s">
        <v>1200</v>
      </c>
    </row>
    <row r="862" customHeight="1" spans="1:2">
      <c r="A862" s="38">
        <v>861</v>
      </c>
      <c r="B862" s="39" t="s">
        <v>1201</v>
      </c>
    </row>
    <row r="863" customHeight="1" spans="1:2">
      <c r="A863" s="38">
        <v>862</v>
      </c>
      <c r="B863" s="39" t="s">
        <v>1202</v>
      </c>
    </row>
    <row r="864" customHeight="1" spans="1:2">
      <c r="A864" s="38">
        <v>863</v>
      </c>
      <c r="B864" s="39" t="s">
        <v>1203</v>
      </c>
    </row>
    <row r="865" customHeight="1" spans="1:2">
      <c r="A865" s="38">
        <v>864</v>
      </c>
      <c r="B865" s="39" t="s">
        <v>1204</v>
      </c>
    </row>
    <row r="866" customHeight="1" spans="1:2">
      <c r="A866" s="38">
        <v>865</v>
      </c>
      <c r="B866" s="39" t="s">
        <v>194</v>
      </c>
    </row>
    <row r="867" customHeight="1" spans="1:2">
      <c r="A867" s="38">
        <v>866</v>
      </c>
      <c r="B867" s="39" t="s">
        <v>1205</v>
      </c>
    </row>
    <row r="868" customHeight="1" spans="1:2">
      <c r="A868" s="38">
        <v>867</v>
      </c>
      <c r="B868" s="39" t="s">
        <v>1206</v>
      </c>
    </row>
    <row r="869" customHeight="1" spans="1:2">
      <c r="A869" s="38">
        <v>868</v>
      </c>
      <c r="B869" s="39" t="s">
        <v>1207</v>
      </c>
    </row>
    <row r="870" customHeight="1" spans="1:2">
      <c r="A870" s="38">
        <v>869</v>
      </c>
      <c r="B870" s="39" t="s">
        <v>1208</v>
      </c>
    </row>
    <row r="871" customHeight="1" spans="1:2">
      <c r="A871" s="38">
        <v>870</v>
      </c>
      <c r="B871" s="39" t="s">
        <v>201</v>
      </c>
    </row>
    <row r="872" customHeight="1" spans="1:2">
      <c r="A872" s="38">
        <v>871</v>
      </c>
      <c r="B872" s="39" t="s">
        <v>1209</v>
      </c>
    </row>
    <row r="873" customHeight="1" spans="1:2">
      <c r="A873" s="38">
        <v>872</v>
      </c>
      <c r="B873" s="39" t="s">
        <v>1210</v>
      </c>
    </row>
    <row r="874" customHeight="1" spans="1:2">
      <c r="A874" s="38">
        <v>873</v>
      </c>
      <c r="B874" s="39" t="s">
        <v>1211</v>
      </c>
    </row>
    <row r="875" customHeight="1" spans="1:2">
      <c r="A875" s="38">
        <v>874</v>
      </c>
      <c r="B875" s="39" t="s">
        <v>1212</v>
      </c>
    </row>
    <row r="876" customHeight="1" spans="1:2">
      <c r="A876" s="38">
        <v>875</v>
      </c>
      <c r="B876" s="39" t="s">
        <v>1213</v>
      </c>
    </row>
    <row r="877" customHeight="1" spans="1:2">
      <c r="A877" s="38">
        <v>876</v>
      </c>
      <c r="B877" s="39" t="s">
        <v>1214</v>
      </c>
    </row>
    <row r="878" customHeight="1" spans="1:2">
      <c r="A878" s="38">
        <v>877</v>
      </c>
      <c r="B878" s="39" t="s">
        <v>1215</v>
      </c>
    </row>
    <row r="879" customHeight="1" spans="1:2">
      <c r="A879" s="38">
        <v>878</v>
      </c>
      <c r="B879" s="39" t="s">
        <v>1216</v>
      </c>
    </row>
    <row r="880" customHeight="1" spans="1:2">
      <c r="A880" s="38">
        <v>879</v>
      </c>
      <c r="B880" s="39" t="s">
        <v>1217</v>
      </c>
    </row>
    <row r="881" customHeight="1" spans="1:2">
      <c r="A881" s="38">
        <v>880</v>
      </c>
      <c r="B881" s="38" t="s">
        <v>208</v>
      </c>
    </row>
    <row r="882" customHeight="1" spans="1:2">
      <c r="A882" s="38">
        <v>881</v>
      </c>
      <c r="B882" s="39" t="s">
        <v>1218</v>
      </c>
    </row>
    <row r="883" customHeight="1" spans="1:2">
      <c r="A883" s="38">
        <v>882</v>
      </c>
      <c r="B883" s="39" t="s">
        <v>1219</v>
      </c>
    </row>
    <row r="884" customHeight="1" spans="1:2">
      <c r="A884" s="38">
        <v>883</v>
      </c>
      <c r="B884" s="39" t="s">
        <v>1220</v>
      </c>
    </row>
    <row r="885" customHeight="1" spans="1:2">
      <c r="A885" s="38">
        <v>884</v>
      </c>
      <c r="B885" s="39" t="s">
        <v>1221</v>
      </c>
    </row>
    <row r="886" customHeight="1" spans="1:2">
      <c r="A886" s="38">
        <v>885</v>
      </c>
      <c r="B886" s="39" t="s">
        <v>1222</v>
      </c>
    </row>
    <row r="887" customHeight="1" spans="1:2">
      <c r="A887" s="38">
        <v>886</v>
      </c>
      <c r="B887" s="39" t="s">
        <v>1223</v>
      </c>
    </row>
    <row r="888" customHeight="1" spans="1:2">
      <c r="A888" s="38">
        <v>887</v>
      </c>
      <c r="B888" s="39" t="s">
        <v>1224</v>
      </c>
    </row>
    <row r="889" customHeight="1" spans="1:2">
      <c r="A889" s="38">
        <v>888</v>
      </c>
      <c r="B889" s="39" t="s">
        <v>1225</v>
      </c>
    </row>
    <row r="890" customHeight="1" spans="1:2">
      <c r="A890" s="38">
        <v>889</v>
      </c>
      <c r="B890" s="39" t="s">
        <v>1226</v>
      </c>
    </row>
    <row r="891" customHeight="1" spans="1:2">
      <c r="A891" s="38">
        <v>890</v>
      </c>
      <c r="B891" s="39" t="s">
        <v>1227</v>
      </c>
    </row>
    <row r="892" customHeight="1" spans="1:2">
      <c r="A892" s="38">
        <v>891</v>
      </c>
      <c r="B892" s="39" t="s">
        <v>1228</v>
      </c>
    </row>
    <row r="893" customHeight="1" spans="1:2">
      <c r="A893" s="38">
        <v>892</v>
      </c>
      <c r="B893" s="39" t="s">
        <v>1229</v>
      </c>
    </row>
    <row r="894" customHeight="1" spans="1:2">
      <c r="A894" s="38">
        <v>893</v>
      </c>
      <c r="B894" s="39" t="s">
        <v>1230</v>
      </c>
    </row>
    <row r="895" customHeight="1" spans="1:2">
      <c r="A895" s="38">
        <v>894</v>
      </c>
      <c r="B895" s="39" t="s">
        <v>1231</v>
      </c>
    </row>
    <row r="896" customHeight="1" spans="1:2">
      <c r="A896" s="38">
        <v>895</v>
      </c>
      <c r="B896" s="39" t="s">
        <v>1232</v>
      </c>
    </row>
    <row r="897" customHeight="1" spans="1:2">
      <c r="A897" s="38">
        <v>896</v>
      </c>
      <c r="B897" s="39" t="s">
        <v>1233</v>
      </c>
    </row>
    <row r="898" customHeight="1" spans="1:2">
      <c r="A898" s="38">
        <v>897</v>
      </c>
      <c r="B898" s="39" t="s">
        <v>1234</v>
      </c>
    </row>
    <row r="899" customHeight="1" spans="1:2">
      <c r="A899" s="38">
        <v>898</v>
      </c>
      <c r="B899" s="39" t="s">
        <v>1235</v>
      </c>
    </row>
    <row r="900" customHeight="1" spans="1:2">
      <c r="A900" s="38">
        <v>899</v>
      </c>
      <c r="B900" s="39" t="s">
        <v>1236</v>
      </c>
    </row>
    <row r="901" customHeight="1" spans="1:2">
      <c r="A901" s="38">
        <v>900</v>
      </c>
      <c r="B901" s="39" t="s">
        <v>1237</v>
      </c>
    </row>
    <row r="902" customHeight="1" spans="1:2">
      <c r="A902" s="38">
        <v>901</v>
      </c>
      <c r="B902" s="38" t="s">
        <v>1238</v>
      </c>
    </row>
    <row r="903" customHeight="1" spans="1:2">
      <c r="A903" s="38">
        <v>902</v>
      </c>
      <c r="B903" s="39" t="s">
        <v>1239</v>
      </c>
    </row>
    <row r="904" customHeight="1" spans="1:2">
      <c r="A904" s="38">
        <v>903</v>
      </c>
      <c r="B904" s="39" t="s">
        <v>1240</v>
      </c>
    </row>
    <row r="905" customHeight="1" spans="1:2">
      <c r="A905" s="38">
        <v>904</v>
      </c>
      <c r="B905" s="39" t="s">
        <v>1241</v>
      </c>
    </row>
    <row r="906" customHeight="1" spans="1:2">
      <c r="A906" s="38">
        <v>905</v>
      </c>
      <c r="B906" s="39" t="s">
        <v>1242</v>
      </c>
    </row>
    <row r="907" customHeight="1" spans="1:2">
      <c r="A907" s="38">
        <v>906</v>
      </c>
      <c r="B907" s="39" t="s">
        <v>1243</v>
      </c>
    </row>
    <row r="908" customHeight="1" spans="1:2">
      <c r="A908" s="38">
        <v>907</v>
      </c>
      <c r="B908" s="39" t="s">
        <v>1244</v>
      </c>
    </row>
    <row r="909" customHeight="1" spans="1:2">
      <c r="A909" s="38">
        <v>908</v>
      </c>
      <c r="B909" s="39" t="s">
        <v>1245</v>
      </c>
    </row>
    <row r="910" customHeight="1" spans="1:2">
      <c r="A910" s="38">
        <v>909</v>
      </c>
      <c r="B910" s="39" t="s">
        <v>1246</v>
      </c>
    </row>
    <row r="911" customHeight="1" spans="1:2">
      <c r="A911" s="38">
        <v>910</v>
      </c>
      <c r="B911" s="39" t="s">
        <v>1247</v>
      </c>
    </row>
    <row r="912" customHeight="1" spans="1:2">
      <c r="A912" s="38">
        <v>911</v>
      </c>
      <c r="B912" s="39" t="s">
        <v>215</v>
      </c>
    </row>
    <row r="913" customHeight="1" spans="1:2">
      <c r="A913" s="38">
        <v>912</v>
      </c>
      <c r="B913" s="39" t="s">
        <v>1248</v>
      </c>
    </row>
    <row r="914" customHeight="1" spans="1:2">
      <c r="A914" s="38">
        <v>913</v>
      </c>
      <c r="B914" s="39" t="s">
        <v>1249</v>
      </c>
    </row>
    <row r="915" customHeight="1" spans="1:2">
      <c r="A915" s="38">
        <v>914</v>
      </c>
      <c r="B915" s="39" t="s">
        <v>1250</v>
      </c>
    </row>
    <row r="916" customHeight="1" spans="1:2">
      <c r="A916" s="38">
        <v>915</v>
      </c>
      <c r="B916" s="39" t="s">
        <v>1251</v>
      </c>
    </row>
    <row r="917" customHeight="1" spans="1:2">
      <c r="A917" s="38">
        <v>916</v>
      </c>
      <c r="B917" s="39" t="s">
        <v>1252</v>
      </c>
    </row>
    <row r="918" customHeight="1" spans="1:2">
      <c r="A918" s="38">
        <v>917</v>
      </c>
      <c r="B918" s="39" t="s">
        <v>1253</v>
      </c>
    </row>
    <row r="919" customHeight="1" spans="1:2">
      <c r="A919" s="38">
        <v>918</v>
      </c>
      <c r="B919" s="39" t="s">
        <v>1254</v>
      </c>
    </row>
    <row r="920" customHeight="1" spans="1:2">
      <c r="A920" s="38">
        <v>919</v>
      </c>
      <c r="B920" s="39" t="s">
        <v>1255</v>
      </c>
    </row>
    <row r="921" customHeight="1" spans="1:2">
      <c r="A921" s="38">
        <v>920</v>
      </c>
      <c r="B921" s="39" t="s">
        <v>1256</v>
      </c>
    </row>
    <row r="922" customHeight="1" spans="1:2">
      <c r="A922" s="38">
        <v>921</v>
      </c>
      <c r="B922" s="39" t="s">
        <v>1257</v>
      </c>
    </row>
    <row r="923" customHeight="1" spans="1:2">
      <c r="A923" s="38">
        <v>922</v>
      </c>
      <c r="B923" s="39" t="s">
        <v>1258</v>
      </c>
    </row>
    <row r="924" customHeight="1" spans="1:2">
      <c r="A924" s="38">
        <v>923</v>
      </c>
      <c r="B924" s="39" t="s">
        <v>1259</v>
      </c>
    </row>
    <row r="925" customHeight="1" spans="1:2">
      <c r="A925" s="38">
        <v>924</v>
      </c>
      <c r="B925" s="39" t="s">
        <v>1260</v>
      </c>
    </row>
    <row r="926" customHeight="1" spans="1:2">
      <c r="A926" s="38">
        <v>925</v>
      </c>
      <c r="B926" s="39" t="s">
        <v>1261</v>
      </c>
    </row>
    <row r="927" customHeight="1" spans="1:2">
      <c r="A927" s="38">
        <v>926</v>
      </c>
      <c r="B927" s="39" t="s">
        <v>1262</v>
      </c>
    </row>
    <row r="928" customHeight="1" spans="1:2">
      <c r="A928" s="38">
        <v>927</v>
      </c>
      <c r="B928" s="39" t="s">
        <v>1263</v>
      </c>
    </row>
    <row r="929" customHeight="1" spans="1:2">
      <c r="A929" s="38">
        <v>928</v>
      </c>
      <c r="B929" s="39" t="s">
        <v>1264</v>
      </c>
    </row>
    <row r="930" customHeight="1" spans="1:2">
      <c r="A930" s="38">
        <v>929</v>
      </c>
      <c r="B930" s="39" t="s">
        <v>1265</v>
      </c>
    </row>
    <row r="931" customHeight="1" spans="1:2">
      <c r="A931" s="38">
        <v>930</v>
      </c>
      <c r="B931" s="39" t="s">
        <v>1266</v>
      </c>
    </row>
    <row r="932" customHeight="1" spans="1:2">
      <c r="A932" s="38">
        <v>931</v>
      </c>
      <c r="B932" s="39" t="s">
        <v>1267</v>
      </c>
    </row>
    <row r="933" customHeight="1" spans="1:2">
      <c r="A933" s="38">
        <v>932</v>
      </c>
      <c r="B933" s="39" t="s">
        <v>1268</v>
      </c>
    </row>
    <row r="934" customHeight="1" spans="1:2">
      <c r="A934" s="38">
        <v>933</v>
      </c>
      <c r="B934" s="39" t="s">
        <v>1269</v>
      </c>
    </row>
    <row r="935" customHeight="1" spans="1:2">
      <c r="A935" s="38">
        <v>934</v>
      </c>
      <c r="B935" s="39" t="s">
        <v>1270</v>
      </c>
    </row>
    <row r="936" customHeight="1" spans="1:2">
      <c r="A936" s="38">
        <v>935</v>
      </c>
      <c r="B936" s="39" t="s">
        <v>1271</v>
      </c>
    </row>
    <row r="937" customHeight="1" spans="1:2">
      <c r="A937" s="38">
        <v>936</v>
      </c>
      <c r="B937" s="39" t="s">
        <v>1272</v>
      </c>
    </row>
    <row r="938" customHeight="1" spans="1:2">
      <c r="A938" s="38">
        <v>937</v>
      </c>
      <c r="B938" s="39" t="s">
        <v>1273</v>
      </c>
    </row>
    <row r="939" customHeight="1" spans="1:2">
      <c r="A939" s="38">
        <v>938</v>
      </c>
      <c r="B939" s="39" t="s">
        <v>1274</v>
      </c>
    </row>
    <row r="940" customHeight="1" spans="1:2">
      <c r="A940" s="38">
        <v>939</v>
      </c>
      <c r="B940" s="39" t="s">
        <v>1275</v>
      </c>
    </row>
    <row r="941" customHeight="1" spans="1:2">
      <c r="A941" s="38">
        <v>940</v>
      </c>
      <c r="B941" s="39" t="s">
        <v>1276</v>
      </c>
    </row>
    <row r="942" customHeight="1" spans="1:2">
      <c r="A942" s="38">
        <v>941</v>
      </c>
      <c r="B942" s="39" t="s">
        <v>1277</v>
      </c>
    </row>
    <row r="943" customHeight="1" spans="1:2">
      <c r="A943" s="38">
        <v>942</v>
      </c>
      <c r="B943" s="39" t="s">
        <v>1278</v>
      </c>
    </row>
    <row r="944" customHeight="1" spans="1:2">
      <c r="A944" s="38">
        <v>943</v>
      </c>
      <c r="B944" s="39" t="s">
        <v>1279</v>
      </c>
    </row>
    <row r="945" customHeight="1" spans="1:2">
      <c r="A945" s="38">
        <v>944</v>
      </c>
      <c r="B945" s="39" t="s">
        <v>1280</v>
      </c>
    </row>
    <row r="946" customHeight="1" spans="1:2">
      <c r="A946" s="38">
        <v>945</v>
      </c>
      <c r="B946" s="39" t="s">
        <v>1281</v>
      </c>
    </row>
    <row r="947" customHeight="1" spans="1:2">
      <c r="A947" s="38">
        <v>946</v>
      </c>
      <c r="B947" s="39" t="s">
        <v>1282</v>
      </c>
    </row>
    <row r="948" customHeight="1" spans="1:2">
      <c r="A948" s="38">
        <v>947</v>
      </c>
      <c r="B948" s="39" t="s">
        <v>1283</v>
      </c>
    </row>
    <row r="949" customHeight="1" spans="1:2">
      <c r="A949" s="38">
        <v>948</v>
      </c>
      <c r="B949" s="39" t="s">
        <v>1284</v>
      </c>
    </row>
    <row r="950" customHeight="1" spans="1:2">
      <c r="A950" s="38">
        <v>949</v>
      </c>
      <c r="B950" s="39" t="s">
        <v>1285</v>
      </c>
    </row>
    <row r="951" customHeight="1" spans="1:2">
      <c r="A951" s="38">
        <v>950</v>
      </c>
      <c r="B951" s="39" t="s">
        <v>1286</v>
      </c>
    </row>
    <row r="952" customHeight="1" spans="1:2">
      <c r="A952" s="38">
        <v>951</v>
      </c>
      <c r="B952" s="39" t="s">
        <v>1287</v>
      </c>
    </row>
    <row r="953" customHeight="1" spans="1:2">
      <c r="A953" s="38">
        <v>952</v>
      </c>
      <c r="B953" s="39" t="s">
        <v>1288</v>
      </c>
    </row>
    <row r="954" customHeight="1" spans="1:2">
      <c r="A954" s="38">
        <v>953</v>
      </c>
      <c r="B954" s="39" t="s">
        <v>1289</v>
      </c>
    </row>
    <row r="955" customHeight="1" spans="1:2">
      <c r="A955" s="38">
        <v>954</v>
      </c>
      <c r="B955" s="39" t="s">
        <v>1290</v>
      </c>
    </row>
    <row r="956" customHeight="1" spans="1:2">
      <c r="A956" s="38">
        <v>955</v>
      </c>
      <c r="B956" s="39" t="s">
        <v>1291</v>
      </c>
    </row>
    <row r="957" customHeight="1" spans="1:2">
      <c r="A957" s="38">
        <v>956</v>
      </c>
      <c r="B957" s="38" t="s">
        <v>1292</v>
      </c>
    </row>
    <row r="958" customHeight="1" spans="1:2">
      <c r="A958" s="38">
        <v>957</v>
      </c>
      <c r="B958" s="39" t="s">
        <v>1293</v>
      </c>
    </row>
    <row r="959" customHeight="1" spans="1:2">
      <c r="A959" s="38">
        <v>958</v>
      </c>
      <c r="B959" s="39" t="s">
        <v>1294</v>
      </c>
    </row>
    <row r="960" customHeight="1" spans="1:2">
      <c r="A960" s="38">
        <v>959</v>
      </c>
      <c r="B960" s="39" t="s">
        <v>1295</v>
      </c>
    </row>
    <row r="961" customHeight="1" spans="1:2">
      <c r="A961" s="38">
        <v>960</v>
      </c>
      <c r="B961" s="39" t="s">
        <v>1296</v>
      </c>
    </row>
    <row r="962" customHeight="1" spans="1:2">
      <c r="A962" s="38">
        <v>961</v>
      </c>
      <c r="B962" s="39" t="s">
        <v>1297</v>
      </c>
    </row>
    <row r="963" customHeight="1" spans="1:2">
      <c r="A963" s="38">
        <v>962</v>
      </c>
      <c r="B963" s="39" t="s">
        <v>1298</v>
      </c>
    </row>
    <row r="964" customHeight="1" spans="1:2">
      <c r="A964" s="38">
        <v>963</v>
      </c>
      <c r="B964" s="39" t="s">
        <v>1299</v>
      </c>
    </row>
    <row r="965" customHeight="1" spans="1:2">
      <c r="A965" s="38">
        <v>964</v>
      </c>
      <c r="B965" s="39" t="s">
        <v>1300</v>
      </c>
    </row>
    <row r="966" customHeight="1" spans="1:2">
      <c r="A966" s="38">
        <v>965</v>
      </c>
      <c r="B966" s="39" t="s">
        <v>1301</v>
      </c>
    </row>
    <row r="967" customHeight="1" spans="1:2">
      <c r="A967" s="38">
        <v>966</v>
      </c>
      <c r="B967" s="39" t="s">
        <v>1302</v>
      </c>
    </row>
    <row r="968" customHeight="1" spans="1:2">
      <c r="A968" s="38">
        <v>967</v>
      </c>
      <c r="B968" s="39" t="s">
        <v>1303</v>
      </c>
    </row>
    <row r="969" customHeight="1" spans="1:2">
      <c r="A969" s="38">
        <v>968</v>
      </c>
      <c r="B969" s="39" t="s">
        <v>1304</v>
      </c>
    </row>
    <row r="970" customHeight="1" spans="1:2">
      <c r="A970" s="38">
        <v>969</v>
      </c>
      <c r="B970" s="39" t="s">
        <v>1305</v>
      </c>
    </row>
    <row r="971" customHeight="1" spans="1:2">
      <c r="A971" s="38">
        <v>970</v>
      </c>
      <c r="B971" s="39" t="s">
        <v>1306</v>
      </c>
    </row>
    <row r="972" customHeight="1" spans="1:2">
      <c r="A972" s="38">
        <v>971</v>
      </c>
      <c r="B972" s="39" t="s">
        <v>1307</v>
      </c>
    </row>
    <row r="973" customHeight="1" spans="1:2">
      <c r="A973" s="38">
        <v>972</v>
      </c>
      <c r="B973" s="39" t="s">
        <v>1308</v>
      </c>
    </row>
    <row r="974" customHeight="1" spans="1:2">
      <c r="A974" s="38">
        <v>973</v>
      </c>
      <c r="B974" s="39" t="s">
        <v>1309</v>
      </c>
    </row>
    <row r="975" customHeight="1" spans="1:3">
      <c r="A975" s="38">
        <v>974</v>
      </c>
      <c r="B975" s="39" t="s">
        <v>1310</v>
      </c>
      <c r="C975" s="3">
        <v>2</v>
      </c>
    </row>
    <row r="976" customHeight="1" spans="1:2">
      <c r="A976" s="38">
        <v>975</v>
      </c>
      <c r="B976" s="39" t="s">
        <v>1311</v>
      </c>
    </row>
    <row r="977" customHeight="1" spans="1:2">
      <c r="A977" s="38">
        <v>976</v>
      </c>
      <c r="B977" s="39" t="s">
        <v>1312</v>
      </c>
    </row>
    <row r="978" customHeight="1" spans="1:2">
      <c r="A978" s="38">
        <v>977</v>
      </c>
      <c r="B978" s="39" t="s">
        <v>1313</v>
      </c>
    </row>
    <row r="979" customHeight="1" spans="1:2">
      <c r="A979" s="38">
        <v>978</v>
      </c>
      <c r="B979" s="39" t="s">
        <v>1314</v>
      </c>
    </row>
    <row r="980" customHeight="1" spans="1:2">
      <c r="A980" s="38">
        <v>979</v>
      </c>
      <c r="B980" s="39" t="s">
        <v>1315</v>
      </c>
    </row>
    <row r="981" customHeight="1" spans="1:2">
      <c r="A981" s="38">
        <v>980</v>
      </c>
      <c r="B981" s="39" t="s">
        <v>1316</v>
      </c>
    </row>
    <row r="982" customHeight="1" spans="1:2">
      <c r="A982" s="38">
        <v>981</v>
      </c>
      <c r="B982" s="39" t="s">
        <v>1317</v>
      </c>
    </row>
    <row r="983" customHeight="1" spans="1:2">
      <c r="A983" s="38">
        <v>982</v>
      </c>
      <c r="B983" s="39" t="s">
        <v>1318</v>
      </c>
    </row>
    <row r="984" customHeight="1" spans="1:2">
      <c r="A984" s="38">
        <v>983</v>
      </c>
      <c r="B984" s="39" t="s">
        <v>1319</v>
      </c>
    </row>
    <row r="985" customHeight="1" spans="1:2">
      <c r="A985" s="38">
        <v>984</v>
      </c>
      <c r="B985" s="39" t="s">
        <v>1320</v>
      </c>
    </row>
    <row r="986" customHeight="1" spans="1:3">
      <c r="A986" s="38">
        <v>985</v>
      </c>
      <c r="B986" s="39" t="s">
        <v>222</v>
      </c>
      <c r="C986" s="3">
        <v>1</v>
      </c>
    </row>
    <row r="987" customHeight="1" spans="1:2">
      <c r="A987" s="38">
        <v>986</v>
      </c>
      <c r="B987" s="39" t="s">
        <v>1321</v>
      </c>
    </row>
    <row r="988" customHeight="1" spans="1:2">
      <c r="A988" s="38">
        <v>987</v>
      </c>
      <c r="B988" s="39" t="s">
        <v>1322</v>
      </c>
    </row>
    <row r="989" customHeight="1" spans="1:2">
      <c r="A989" s="38">
        <v>988</v>
      </c>
      <c r="B989" s="39" t="s">
        <v>1323</v>
      </c>
    </row>
    <row r="990" customHeight="1" spans="1:2">
      <c r="A990" s="38">
        <v>989</v>
      </c>
      <c r="B990" s="39" t="s">
        <v>1324</v>
      </c>
    </row>
    <row r="991" customHeight="1" spans="1:2">
      <c r="A991" s="38">
        <v>990</v>
      </c>
      <c r="B991" s="39" t="s">
        <v>1325</v>
      </c>
    </row>
    <row r="992" customHeight="1" spans="1:2">
      <c r="A992" s="38">
        <v>991</v>
      </c>
      <c r="B992" s="39" t="s">
        <v>1326</v>
      </c>
    </row>
    <row r="993" customHeight="1" spans="1:2">
      <c r="A993" s="38">
        <v>992</v>
      </c>
      <c r="B993" s="39" t="s">
        <v>1327</v>
      </c>
    </row>
    <row r="994" customHeight="1" spans="1:2">
      <c r="A994" s="38">
        <v>993</v>
      </c>
      <c r="B994" s="39" t="s">
        <v>1328</v>
      </c>
    </row>
    <row r="995" customHeight="1" spans="1:2">
      <c r="A995" s="38">
        <v>994</v>
      </c>
      <c r="B995" s="39" t="s">
        <v>1329</v>
      </c>
    </row>
    <row r="996" customHeight="1" spans="1:2">
      <c r="A996" s="38">
        <v>995</v>
      </c>
      <c r="B996" s="39" t="s">
        <v>1330</v>
      </c>
    </row>
    <row r="997" customHeight="1" spans="1:2">
      <c r="A997" s="38">
        <v>996</v>
      </c>
      <c r="B997" s="39" t="s">
        <v>1331</v>
      </c>
    </row>
    <row r="998" customHeight="1" spans="1:2">
      <c r="A998" s="38">
        <v>997</v>
      </c>
      <c r="B998" s="39" t="s">
        <v>1332</v>
      </c>
    </row>
    <row r="999" customHeight="1" spans="1:2">
      <c r="A999" s="38">
        <v>998</v>
      </c>
      <c r="B999" s="39" t="s">
        <v>1333</v>
      </c>
    </row>
    <row r="1000" customHeight="1" spans="1:2">
      <c r="A1000" s="38">
        <v>999</v>
      </c>
      <c r="B1000" s="39" t="s">
        <v>1334</v>
      </c>
    </row>
    <row r="1001" customHeight="1" spans="1:2">
      <c r="A1001" s="38">
        <v>1000</v>
      </c>
      <c r="B1001" s="39" t="s">
        <v>1335</v>
      </c>
    </row>
    <row r="1002" customHeight="1" spans="1:2">
      <c r="A1002" s="38">
        <v>1001</v>
      </c>
      <c r="B1002" s="39" t="s">
        <v>1336</v>
      </c>
    </row>
    <row r="1003" customHeight="1" spans="1:2">
      <c r="A1003" s="38">
        <v>1002</v>
      </c>
      <c r="B1003" s="39" t="s">
        <v>1337</v>
      </c>
    </row>
    <row r="1004" customHeight="1" spans="1:2">
      <c r="A1004" s="38">
        <v>1003</v>
      </c>
      <c r="B1004" s="39" t="s">
        <v>1338</v>
      </c>
    </row>
    <row r="1005" customHeight="1" spans="1:2">
      <c r="A1005" s="38">
        <v>1004</v>
      </c>
      <c r="B1005" s="39" t="s">
        <v>1339</v>
      </c>
    </row>
    <row r="1006" customHeight="1" spans="1:2">
      <c r="A1006" s="38">
        <v>1005</v>
      </c>
      <c r="B1006" s="39" t="s">
        <v>1340</v>
      </c>
    </row>
    <row r="1007" customHeight="1" spans="1:2">
      <c r="A1007" s="38">
        <v>1006</v>
      </c>
      <c r="B1007" s="39" t="s">
        <v>1341</v>
      </c>
    </row>
    <row r="1008" customHeight="1" spans="1:2">
      <c r="A1008" s="38">
        <v>1007</v>
      </c>
      <c r="B1008" s="39" t="s">
        <v>1342</v>
      </c>
    </row>
    <row r="1009" customHeight="1" spans="1:2">
      <c r="A1009" s="38">
        <v>1008</v>
      </c>
      <c r="B1009" s="39" t="s">
        <v>1343</v>
      </c>
    </row>
    <row r="1010" customHeight="1" spans="1:2">
      <c r="A1010" s="38">
        <v>1009</v>
      </c>
      <c r="B1010" s="39" t="s">
        <v>1344</v>
      </c>
    </row>
    <row r="1011" customHeight="1" spans="1:2">
      <c r="A1011" s="38">
        <v>1010</v>
      </c>
      <c r="B1011" s="39" t="s">
        <v>1345</v>
      </c>
    </row>
    <row r="1012" customHeight="1" spans="1:2">
      <c r="A1012" s="38">
        <v>1011</v>
      </c>
      <c r="B1012" s="39" t="s">
        <v>1346</v>
      </c>
    </row>
    <row r="1013" customHeight="1" spans="1:2">
      <c r="A1013" s="38">
        <v>1012</v>
      </c>
      <c r="B1013" s="39" t="s">
        <v>1347</v>
      </c>
    </row>
    <row r="1014" customHeight="1" spans="1:2">
      <c r="A1014" s="38">
        <v>1013</v>
      </c>
      <c r="B1014" s="39" t="s">
        <v>1348</v>
      </c>
    </row>
    <row r="1015" customHeight="1" spans="1:2">
      <c r="A1015" s="38">
        <v>1014</v>
      </c>
      <c r="B1015" s="39" t="s">
        <v>1349</v>
      </c>
    </row>
    <row r="1016" customHeight="1" spans="1:2">
      <c r="A1016" s="38">
        <v>1015</v>
      </c>
      <c r="B1016" s="39" t="s">
        <v>1350</v>
      </c>
    </row>
    <row r="1017" customHeight="1" spans="1:2">
      <c r="A1017" s="38">
        <v>1016</v>
      </c>
      <c r="B1017" s="39" t="s">
        <v>1351</v>
      </c>
    </row>
    <row r="1018" customHeight="1" spans="1:2">
      <c r="A1018" s="38">
        <v>1017</v>
      </c>
      <c r="B1018" s="39" t="s">
        <v>1352</v>
      </c>
    </row>
    <row r="1019" customHeight="1" spans="1:2">
      <c r="A1019" s="38">
        <v>1018</v>
      </c>
      <c r="B1019" s="39" t="s">
        <v>1353</v>
      </c>
    </row>
    <row r="1020" customHeight="1" spans="1:2">
      <c r="A1020" s="38">
        <v>1019</v>
      </c>
      <c r="B1020" s="39" t="s">
        <v>1354</v>
      </c>
    </row>
    <row r="1021" customHeight="1" spans="1:2">
      <c r="A1021" s="38">
        <v>1020</v>
      </c>
      <c r="B1021" s="39" t="s">
        <v>1355</v>
      </c>
    </row>
    <row r="1022" customHeight="1" spans="1:2">
      <c r="A1022" s="38">
        <v>1021</v>
      </c>
      <c r="B1022" s="39" t="s">
        <v>1356</v>
      </c>
    </row>
    <row r="1023" customHeight="1" spans="1:2">
      <c r="A1023" s="38">
        <v>1022</v>
      </c>
      <c r="B1023" s="39" t="s">
        <v>1357</v>
      </c>
    </row>
    <row r="1024" customHeight="1" spans="1:2">
      <c r="A1024" s="38">
        <v>1023</v>
      </c>
      <c r="B1024" s="39" t="s">
        <v>1358</v>
      </c>
    </row>
    <row r="1025" customHeight="1" spans="1:2">
      <c r="A1025" s="38">
        <v>1024</v>
      </c>
      <c r="B1025" s="39" t="s">
        <v>1359</v>
      </c>
    </row>
    <row r="1026" customHeight="1" spans="1:2">
      <c r="A1026" s="38">
        <v>1025</v>
      </c>
      <c r="B1026" s="39" t="s">
        <v>1360</v>
      </c>
    </row>
    <row r="1027" customHeight="1" spans="1:2">
      <c r="A1027" s="38">
        <v>1026</v>
      </c>
      <c r="B1027" s="39" t="s">
        <v>1361</v>
      </c>
    </row>
    <row r="1028" customHeight="1" spans="1:2">
      <c r="A1028" s="38">
        <v>1027</v>
      </c>
      <c r="B1028" s="39" t="s">
        <v>1362</v>
      </c>
    </row>
    <row r="1029" customHeight="1" spans="1:2">
      <c r="A1029" s="38">
        <v>1028</v>
      </c>
      <c r="B1029" s="39" t="s">
        <v>1363</v>
      </c>
    </row>
    <row r="1030" customHeight="1" spans="1:2">
      <c r="A1030" s="38">
        <v>1029</v>
      </c>
      <c r="B1030" s="39" t="s">
        <v>1364</v>
      </c>
    </row>
    <row r="1031" customHeight="1" spans="1:2">
      <c r="A1031" s="38">
        <v>1030</v>
      </c>
      <c r="B1031" s="39" t="s">
        <v>1365</v>
      </c>
    </row>
    <row r="1032" customHeight="1" spans="1:2">
      <c r="A1032" s="38">
        <v>1031</v>
      </c>
      <c r="B1032" s="39" t="s">
        <v>1366</v>
      </c>
    </row>
    <row r="1033" customHeight="1" spans="1:2">
      <c r="A1033" s="38">
        <v>1032</v>
      </c>
      <c r="B1033" s="39" t="s">
        <v>1367</v>
      </c>
    </row>
    <row r="1034" customHeight="1" spans="1:2">
      <c r="A1034" s="38">
        <v>1033</v>
      </c>
      <c r="B1034" s="39" t="s">
        <v>1368</v>
      </c>
    </row>
    <row r="1035" customHeight="1" spans="1:2">
      <c r="A1035" s="38">
        <v>1034</v>
      </c>
      <c r="B1035" s="39" t="s">
        <v>1369</v>
      </c>
    </row>
    <row r="1036" customHeight="1" spans="1:2">
      <c r="A1036" s="38">
        <v>1035</v>
      </c>
      <c r="B1036" s="39" t="s">
        <v>1370</v>
      </c>
    </row>
    <row r="1037" customHeight="1" spans="1:2">
      <c r="A1037" s="38">
        <v>1036</v>
      </c>
      <c r="B1037" s="39" t="s">
        <v>1371</v>
      </c>
    </row>
    <row r="1038" customHeight="1" spans="1:2">
      <c r="A1038" s="38">
        <v>1037</v>
      </c>
      <c r="B1038" s="39" t="s">
        <v>1372</v>
      </c>
    </row>
    <row r="1039" customHeight="1" spans="1:2">
      <c r="A1039" s="38">
        <v>1038</v>
      </c>
      <c r="B1039" s="39" t="s">
        <v>1373</v>
      </c>
    </row>
    <row r="1040" customHeight="1" spans="1:2">
      <c r="A1040" s="38">
        <v>1039</v>
      </c>
      <c r="B1040" s="39" t="s">
        <v>1374</v>
      </c>
    </row>
    <row r="1041" customHeight="1" spans="1:2">
      <c r="A1041" s="38">
        <v>1040</v>
      </c>
      <c r="B1041" s="39" t="s">
        <v>1375</v>
      </c>
    </row>
    <row r="1042" customHeight="1" spans="1:2">
      <c r="A1042" s="38">
        <v>1041</v>
      </c>
      <c r="B1042" s="39" t="s">
        <v>1376</v>
      </c>
    </row>
    <row r="1043" customHeight="1" spans="1:2">
      <c r="A1043" s="38">
        <v>1042</v>
      </c>
      <c r="B1043" s="39" t="s">
        <v>1377</v>
      </c>
    </row>
    <row r="1044" customHeight="1" spans="1:2">
      <c r="A1044" s="38">
        <v>1043</v>
      </c>
      <c r="B1044" s="39" t="s">
        <v>1378</v>
      </c>
    </row>
    <row r="1045" customHeight="1" spans="1:2">
      <c r="A1045" s="38">
        <v>1044</v>
      </c>
      <c r="B1045" s="39" t="s">
        <v>1379</v>
      </c>
    </row>
    <row r="1046" customHeight="1" spans="1:2">
      <c r="A1046" s="38">
        <v>1045</v>
      </c>
      <c r="B1046" s="39" t="s">
        <v>1380</v>
      </c>
    </row>
    <row r="1047" customHeight="1" spans="1:2">
      <c r="A1047" s="38">
        <v>1046</v>
      </c>
      <c r="B1047" s="39" t="s">
        <v>1381</v>
      </c>
    </row>
    <row r="1048" customHeight="1" spans="1:2">
      <c r="A1048" s="38">
        <v>1047</v>
      </c>
      <c r="B1048" s="39" t="s">
        <v>1382</v>
      </c>
    </row>
    <row r="1049" customHeight="1" spans="1:2">
      <c r="A1049" s="38">
        <v>1048</v>
      </c>
      <c r="B1049" s="39" t="s">
        <v>1383</v>
      </c>
    </row>
    <row r="1050" customHeight="1" spans="1:2">
      <c r="A1050" s="38">
        <v>1049</v>
      </c>
      <c r="B1050" s="39" t="s">
        <v>1384</v>
      </c>
    </row>
    <row r="1051" customHeight="1" spans="1:2">
      <c r="A1051" s="38">
        <v>1050</v>
      </c>
      <c r="B1051" s="39" t="s">
        <v>1385</v>
      </c>
    </row>
    <row r="1052" customHeight="1" spans="1:2">
      <c r="A1052" s="38">
        <v>1051</v>
      </c>
      <c r="B1052" s="39" t="s">
        <v>1386</v>
      </c>
    </row>
    <row r="1053" customHeight="1" spans="1:2">
      <c r="A1053" s="38">
        <v>1052</v>
      </c>
      <c r="B1053" s="39" t="s">
        <v>1387</v>
      </c>
    </row>
    <row r="1054" customHeight="1" spans="1:2">
      <c r="A1054" s="38">
        <v>1053</v>
      </c>
      <c r="B1054" s="39" t="s">
        <v>1388</v>
      </c>
    </row>
    <row r="1055" customHeight="1" spans="1:2">
      <c r="A1055" s="38">
        <v>1054</v>
      </c>
      <c r="B1055" s="39" t="s">
        <v>1389</v>
      </c>
    </row>
    <row r="1056" customHeight="1" spans="1:2">
      <c r="A1056" s="38">
        <v>1055</v>
      </c>
      <c r="B1056" s="39" t="s">
        <v>1390</v>
      </c>
    </row>
    <row r="1057" customHeight="1" spans="1:2">
      <c r="A1057" s="38">
        <v>1056</v>
      </c>
      <c r="B1057" s="39" t="s">
        <v>1391</v>
      </c>
    </row>
    <row r="1058" customHeight="1" spans="1:2">
      <c r="A1058" s="38">
        <v>1057</v>
      </c>
      <c r="B1058" s="39" t="s">
        <v>1392</v>
      </c>
    </row>
    <row r="1059" customHeight="1" spans="1:2">
      <c r="A1059" s="38">
        <v>1058</v>
      </c>
      <c r="B1059" s="39" t="s">
        <v>1393</v>
      </c>
    </row>
    <row r="1060" customHeight="1" spans="1:2">
      <c r="A1060" s="38">
        <v>1059</v>
      </c>
      <c r="B1060" s="39" t="s">
        <v>1394</v>
      </c>
    </row>
    <row r="1061" customHeight="1" spans="1:2">
      <c r="A1061" s="38">
        <v>1060</v>
      </c>
      <c r="B1061" s="39" t="s">
        <v>1395</v>
      </c>
    </row>
    <row r="1062" customHeight="1" spans="1:2">
      <c r="A1062" s="38">
        <v>1061</v>
      </c>
      <c r="B1062" s="39" t="s">
        <v>1396</v>
      </c>
    </row>
    <row r="1063" customHeight="1" spans="1:2">
      <c r="A1063" s="38">
        <v>1062</v>
      </c>
      <c r="B1063" s="39" t="s">
        <v>1397</v>
      </c>
    </row>
    <row r="1064" customHeight="1" spans="1:2">
      <c r="A1064" s="38">
        <v>1063</v>
      </c>
      <c r="B1064" s="39" t="s">
        <v>1398</v>
      </c>
    </row>
    <row r="1065" customHeight="1" spans="1:2">
      <c r="A1065" s="38">
        <v>1064</v>
      </c>
      <c r="B1065" s="39" t="s">
        <v>1399</v>
      </c>
    </row>
    <row r="1066" customHeight="1" spans="1:2">
      <c r="A1066" s="38">
        <v>1065</v>
      </c>
      <c r="B1066" s="39" t="s">
        <v>1400</v>
      </c>
    </row>
    <row r="1067" customHeight="1" spans="1:2">
      <c r="A1067" s="38">
        <v>1066</v>
      </c>
      <c r="B1067" s="39" t="s">
        <v>1401</v>
      </c>
    </row>
    <row r="1068" customHeight="1" spans="1:2">
      <c r="A1068" s="38">
        <v>1067</v>
      </c>
      <c r="B1068" s="39" t="s">
        <v>1402</v>
      </c>
    </row>
    <row r="1069" customHeight="1" spans="1:2">
      <c r="A1069" s="38">
        <v>1068</v>
      </c>
      <c r="B1069" s="39" t="s">
        <v>1403</v>
      </c>
    </row>
    <row r="1070" customHeight="1" spans="1:2">
      <c r="A1070" s="38">
        <v>1069</v>
      </c>
      <c r="B1070" s="39" t="s">
        <v>1404</v>
      </c>
    </row>
    <row r="1071" customHeight="1" spans="1:2">
      <c r="A1071" s="38">
        <v>1070</v>
      </c>
      <c r="B1071" s="39" t="s">
        <v>1405</v>
      </c>
    </row>
    <row r="1072" customHeight="1" spans="1:2">
      <c r="A1072" s="38">
        <v>1071</v>
      </c>
      <c r="B1072" s="39" t="s">
        <v>1406</v>
      </c>
    </row>
    <row r="1073" customHeight="1" spans="1:2">
      <c r="A1073" s="38">
        <v>1072</v>
      </c>
      <c r="B1073" s="39" t="s">
        <v>1407</v>
      </c>
    </row>
    <row r="1074" customHeight="1" spans="1:2">
      <c r="A1074" s="38">
        <v>1073</v>
      </c>
      <c r="B1074" s="39" t="s">
        <v>1408</v>
      </c>
    </row>
    <row r="1075" customHeight="1" spans="1:2">
      <c r="A1075" s="38">
        <v>1074</v>
      </c>
      <c r="B1075" s="39" t="s">
        <v>1409</v>
      </c>
    </row>
    <row r="1076" customHeight="1" spans="1:2">
      <c r="A1076" s="38">
        <v>1075</v>
      </c>
      <c r="B1076" s="39" t="s">
        <v>1410</v>
      </c>
    </row>
    <row r="1077" customHeight="1" spans="1:2">
      <c r="A1077" s="38">
        <v>1076</v>
      </c>
      <c r="B1077" s="39" t="s">
        <v>1411</v>
      </c>
    </row>
    <row r="1078" customHeight="1" spans="1:2">
      <c r="A1078" s="38">
        <v>1077</v>
      </c>
      <c r="B1078" s="39" t="s">
        <v>1412</v>
      </c>
    </row>
    <row r="1079" customHeight="1" spans="1:2">
      <c r="A1079" s="38">
        <v>1078</v>
      </c>
      <c r="B1079" s="39" t="s">
        <v>1413</v>
      </c>
    </row>
    <row r="1080" customHeight="1" spans="1:2">
      <c r="A1080" s="38">
        <v>1079</v>
      </c>
      <c r="B1080" s="39" t="s">
        <v>1414</v>
      </c>
    </row>
    <row r="1081" customHeight="1" spans="1:2">
      <c r="A1081" s="38">
        <v>1080</v>
      </c>
      <c r="B1081" s="39" t="s">
        <v>1415</v>
      </c>
    </row>
    <row r="1082" customHeight="1" spans="1:2">
      <c r="A1082" s="38">
        <v>1081</v>
      </c>
      <c r="B1082" s="39" t="s">
        <v>1416</v>
      </c>
    </row>
    <row r="1083" customHeight="1" spans="1:2">
      <c r="A1083" s="38">
        <v>1082</v>
      </c>
      <c r="B1083" s="39" t="s">
        <v>1417</v>
      </c>
    </row>
    <row r="1084" customHeight="1" spans="1:2">
      <c r="A1084" s="38">
        <v>1083</v>
      </c>
      <c r="B1084" s="39" t="s">
        <v>1418</v>
      </c>
    </row>
    <row r="1085" customHeight="1" spans="1:2">
      <c r="A1085" s="38">
        <v>1084</v>
      </c>
      <c r="B1085" s="39" t="s">
        <v>1419</v>
      </c>
    </row>
    <row r="1086" customHeight="1" spans="1:2">
      <c r="A1086" s="38">
        <v>1085</v>
      </c>
      <c r="B1086" s="39" t="s">
        <v>1420</v>
      </c>
    </row>
    <row r="1087" customHeight="1" spans="1:2">
      <c r="A1087" s="38">
        <v>1086</v>
      </c>
      <c r="B1087" s="39" t="s">
        <v>1421</v>
      </c>
    </row>
    <row r="1088" customHeight="1" spans="1:2">
      <c r="A1088" s="38">
        <v>1087</v>
      </c>
      <c r="B1088" s="39" t="s">
        <v>1422</v>
      </c>
    </row>
    <row r="1089" customHeight="1" spans="1:2">
      <c r="A1089" s="38">
        <v>1088</v>
      </c>
      <c r="B1089" s="39" t="s">
        <v>1423</v>
      </c>
    </row>
    <row r="1090" customHeight="1" spans="1:2">
      <c r="A1090" s="38">
        <v>1089</v>
      </c>
      <c r="B1090" s="39" t="s">
        <v>1424</v>
      </c>
    </row>
    <row r="1091" customHeight="1" spans="1:2">
      <c r="A1091" s="38">
        <v>1090</v>
      </c>
      <c r="B1091" s="39" t="s">
        <v>1425</v>
      </c>
    </row>
    <row r="1092" customHeight="1" spans="1:2">
      <c r="A1092" s="38">
        <v>1091</v>
      </c>
      <c r="B1092" s="39" t="s">
        <v>1426</v>
      </c>
    </row>
    <row r="1093" customHeight="1" spans="1:2">
      <c r="A1093" s="38">
        <v>1092</v>
      </c>
      <c r="B1093" s="39" t="s">
        <v>1427</v>
      </c>
    </row>
    <row r="1094" customHeight="1" spans="1:2">
      <c r="A1094" s="38">
        <v>1093</v>
      </c>
      <c r="B1094" s="39" t="s">
        <v>1428</v>
      </c>
    </row>
    <row r="1095" customHeight="1" spans="1:2">
      <c r="A1095" s="38">
        <v>1094</v>
      </c>
      <c r="B1095" s="39" t="s">
        <v>1429</v>
      </c>
    </row>
    <row r="1096" customHeight="1" spans="1:2">
      <c r="A1096" s="38">
        <v>1095</v>
      </c>
      <c r="B1096" s="39" t="s">
        <v>236</v>
      </c>
    </row>
    <row r="1097" customHeight="1" spans="1:2">
      <c r="A1097" s="38">
        <v>1096</v>
      </c>
      <c r="B1097" s="39" t="s">
        <v>1430</v>
      </c>
    </row>
    <row r="1098" customHeight="1" spans="1:2">
      <c r="A1098" s="38">
        <v>1097</v>
      </c>
      <c r="B1098" s="39" t="s">
        <v>1431</v>
      </c>
    </row>
    <row r="1099" customHeight="1" spans="1:2">
      <c r="A1099" s="38">
        <v>1098</v>
      </c>
      <c r="B1099" s="39" t="s">
        <v>1432</v>
      </c>
    </row>
    <row r="1100" customHeight="1" spans="1:2">
      <c r="A1100" s="38">
        <v>1099</v>
      </c>
      <c r="B1100" s="39" t="s">
        <v>1433</v>
      </c>
    </row>
    <row r="1101" customHeight="1" spans="1:2">
      <c r="A1101" s="38">
        <v>1100</v>
      </c>
      <c r="B1101" s="39" t="s">
        <v>1434</v>
      </c>
    </row>
    <row r="1102" customHeight="1" spans="1:2">
      <c r="A1102" s="38">
        <v>1101</v>
      </c>
      <c r="B1102" s="39" t="s">
        <v>1435</v>
      </c>
    </row>
    <row r="1103" customHeight="1" spans="1:2">
      <c r="A1103" s="38">
        <v>1102</v>
      </c>
      <c r="B1103" s="39" t="s">
        <v>1436</v>
      </c>
    </row>
    <row r="1104" customHeight="1" spans="1:2">
      <c r="A1104" s="38">
        <v>1103</v>
      </c>
      <c r="B1104" s="39" t="s">
        <v>1437</v>
      </c>
    </row>
    <row r="1105" customHeight="1" spans="1:2">
      <c r="A1105" s="38">
        <v>1104</v>
      </c>
      <c r="B1105" s="39" t="s">
        <v>1438</v>
      </c>
    </row>
    <row r="1106" customHeight="1" spans="1:2">
      <c r="A1106" s="38">
        <v>1105</v>
      </c>
      <c r="B1106" s="39" t="s">
        <v>1439</v>
      </c>
    </row>
    <row r="1107" customHeight="1" spans="1:2">
      <c r="A1107" s="38">
        <v>1106</v>
      </c>
      <c r="B1107" s="39" t="s">
        <v>1440</v>
      </c>
    </row>
    <row r="1108" customHeight="1" spans="1:2">
      <c r="A1108" s="38">
        <v>1107</v>
      </c>
      <c r="B1108" s="39" t="s">
        <v>1441</v>
      </c>
    </row>
    <row r="1109" customHeight="1" spans="1:2">
      <c r="A1109" s="38">
        <v>1108</v>
      </c>
      <c r="B1109" s="39" t="s">
        <v>1442</v>
      </c>
    </row>
    <row r="1110" customHeight="1" spans="1:2">
      <c r="A1110" s="38">
        <v>1109</v>
      </c>
      <c r="B1110" s="39" t="s">
        <v>1443</v>
      </c>
    </row>
    <row r="1111" customHeight="1" spans="1:2">
      <c r="A1111" s="38">
        <v>1110</v>
      </c>
      <c r="B1111" s="38" t="s">
        <v>1444</v>
      </c>
    </row>
    <row r="1112" customHeight="1" spans="1:2">
      <c r="A1112" s="38">
        <v>1111</v>
      </c>
      <c r="B1112" s="39" t="s">
        <v>1445</v>
      </c>
    </row>
    <row r="1113" customHeight="1" spans="1:2">
      <c r="A1113" s="38">
        <v>1112</v>
      </c>
      <c r="B1113" s="39" t="s">
        <v>1446</v>
      </c>
    </row>
    <row r="1114" customHeight="1" spans="1:2">
      <c r="A1114" s="38">
        <v>1113</v>
      </c>
      <c r="B1114" s="39" t="s">
        <v>1447</v>
      </c>
    </row>
    <row r="1115" customHeight="1" spans="1:2">
      <c r="A1115" s="38">
        <v>1114</v>
      </c>
      <c r="B1115" s="39" t="s">
        <v>1448</v>
      </c>
    </row>
    <row r="1116" customHeight="1" spans="1:2">
      <c r="A1116" s="38">
        <v>1115</v>
      </c>
      <c r="B1116" s="39" t="s">
        <v>1449</v>
      </c>
    </row>
    <row r="1117" customHeight="1" spans="1:2">
      <c r="A1117" s="38">
        <v>1116</v>
      </c>
      <c r="B1117" s="39" t="s">
        <v>1450</v>
      </c>
    </row>
    <row r="1118" customHeight="1" spans="1:2">
      <c r="A1118" s="38">
        <v>1117</v>
      </c>
      <c r="B1118" s="39" t="s">
        <v>1451</v>
      </c>
    </row>
    <row r="1119" customHeight="1" spans="1:2">
      <c r="A1119" s="38">
        <v>1118</v>
      </c>
      <c r="B1119" s="39" t="s">
        <v>1452</v>
      </c>
    </row>
    <row r="1120" customHeight="1" spans="1:2">
      <c r="A1120" s="38">
        <v>1119</v>
      </c>
      <c r="B1120" s="39" t="s">
        <v>1453</v>
      </c>
    </row>
    <row r="1121" customHeight="1" spans="1:2">
      <c r="A1121" s="38">
        <v>1120</v>
      </c>
      <c r="B1121" s="39" t="s">
        <v>243</v>
      </c>
    </row>
    <row r="1122" customHeight="1" spans="1:2">
      <c r="A1122" s="38">
        <v>1121</v>
      </c>
      <c r="B1122" s="39" t="s">
        <v>1454</v>
      </c>
    </row>
    <row r="1123" customHeight="1" spans="1:2">
      <c r="A1123" s="38">
        <v>1122</v>
      </c>
      <c r="B1123" s="39" t="s">
        <v>1455</v>
      </c>
    </row>
    <row r="1124" customHeight="1" spans="1:2">
      <c r="A1124" s="38">
        <v>1123</v>
      </c>
      <c r="B1124" s="39" t="s">
        <v>1456</v>
      </c>
    </row>
    <row r="1125" customHeight="1" spans="1:2">
      <c r="A1125" s="38">
        <v>1124</v>
      </c>
      <c r="B1125" s="39" t="s">
        <v>1457</v>
      </c>
    </row>
    <row r="1126" customHeight="1" spans="1:2">
      <c r="A1126" s="38">
        <v>1125</v>
      </c>
      <c r="B1126" s="39" t="s">
        <v>1458</v>
      </c>
    </row>
    <row r="1127" customHeight="1" spans="1:2">
      <c r="A1127" s="38">
        <v>1126</v>
      </c>
      <c r="B1127" s="39" t="s">
        <v>1459</v>
      </c>
    </row>
    <row r="1128" customHeight="1" spans="1:2">
      <c r="A1128" s="38">
        <v>1127</v>
      </c>
      <c r="B1128" s="39" t="s">
        <v>1460</v>
      </c>
    </row>
    <row r="1129" customHeight="1" spans="1:2">
      <c r="A1129" s="38">
        <v>1128</v>
      </c>
      <c r="B1129" s="39" t="s">
        <v>1461</v>
      </c>
    </row>
    <row r="1130" customHeight="1" spans="1:2">
      <c r="A1130" s="38">
        <v>1129</v>
      </c>
      <c r="B1130" s="39" t="s">
        <v>250</v>
      </c>
    </row>
    <row r="1131" customHeight="1" spans="1:2">
      <c r="A1131" s="38">
        <v>1130</v>
      </c>
      <c r="B1131" s="39" t="s">
        <v>1462</v>
      </c>
    </row>
    <row r="1132" customHeight="1" spans="1:2">
      <c r="A1132" s="38">
        <v>1131</v>
      </c>
      <c r="B1132" s="39" t="s">
        <v>1463</v>
      </c>
    </row>
    <row r="1133" customHeight="1" spans="1:2">
      <c r="A1133" s="38">
        <v>1132</v>
      </c>
      <c r="B1133" s="39" t="s">
        <v>1464</v>
      </c>
    </row>
    <row r="1134" customHeight="1" spans="1:2">
      <c r="A1134" s="38">
        <v>1133</v>
      </c>
      <c r="B1134" s="39" t="s">
        <v>1465</v>
      </c>
    </row>
    <row r="1135" customHeight="1" spans="1:2">
      <c r="A1135" s="38">
        <v>1134</v>
      </c>
      <c r="B1135" s="39" t="s">
        <v>1466</v>
      </c>
    </row>
    <row r="1136" customHeight="1" spans="1:2">
      <c r="A1136" s="38">
        <v>1135</v>
      </c>
      <c r="B1136" s="39" t="s">
        <v>1467</v>
      </c>
    </row>
    <row r="1137" customHeight="1" spans="1:2">
      <c r="A1137" s="38">
        <v>1136</v>
      </c>
      <c r="B1137" s="39" t="s">
        <v>1468</v>
      </c>
    </row>
    <row r="1138" customHeight="1" spans="1:2">
      <c r="A1138" s="38">
        <v>1137</v>
      </c>
      <c r="B1138" s="39" t="s">
        <v>1469</v>
      </c>
    </row>
    <row r="1139" customHeight="1" spans="1:2">
      <c r="A1139" s="38">
        <v>1138</v>
      </c>
      <c r="B1139" s="39" t="s">
        <v>1470</v>
      </c>
    </row>
    <row r="1140" customHeight="1" spans="1:2">
      <c r="A1140" s="38">
        <v>1139</v>
      </c>
      <c r="B1140" s="39" t="s">
        <v>1471</v>
      </c>
    </row>
    <row r="1141" customHeight="1" spans="1:2">
      <c r="A1141" s="38">
        <v>1140</v>
      </c>
      <c r="B1141" s="39" t="s">
        <v>1472</v>
      </c>
    </row>
    <row r="1142" customHeight="1" spans="1:2">
      <c r="A1142" s="38">
        <v>1141</v>
      </c>
      <c r="B1142" s="39" t="s">
        <v>1473</v>
      </c>
    </row>
    <row r="1143" customHeight="1" spans="1:2">
      <c r="A1143" s="38">
        <v>1142</v>
      </c>
      <c r="B1143" s="39" t="s">
        <v>1474</v>
      </c>
    </row>
    <row r="1144" customHeight="1" spans="1:2">
      <c r="A1144" s="38">
        <v>1143</v>
      </c>
      <c r="B1144" s="39" t="s">
        <v>1475</v>
      </c>
    </row>
    <row r="1145" customHeight="1" spans="1:2">
      <c r="A1145" s="38">
        <v>1144</v>
      </c>
      <c r="B1145" s="39" t="s">
        <v>1476</v>
      </c>
    </row>
    <row r="1146" customHeight="1" spans="1:2">
      <c r="A1146" s="38">
        <v>1145</v>
      </c>
      <c r="B1146" s="39" t="s">
        <v>1477</v>
      </c>
    </row>
    <row r="1147" customHeight="1" spans="1:2">
      <c r="A1147" s="38">
        <v>1146</v>
      </c>
      <c r="B1147" s="39" t="s">
        <v>1478</v>
      </c>
    </row>
    <row r="1148" customHeight="1" spans="1:2">
      <c r="A1148" s="38">
        <v>1147</v>
      </c>
      <c r="B1148" s="39" t="s">
        <v>257</v>
      </c>
    </row>
    <row r="1149" customHeight="1" spans="1:2">
      <c r="A1149" s="38">
        <v>1148</v>
      </c>
      <c r="B1149" s="39" t="s">
        <v>1479</v>
      </c>
    </row>
    <row r="1150" customHeight="1" spans="1:2">
      <c r="A1150" s="38">
        <v>1149</v>
      </c>
      <c r="B1150" s="39" t="s">
        <v>1480</v>
      </c>
    </row>
    <row r="1151" customHeight="1" spans="1:2">
      <c r="A1151" s="38">
        <v>1150</v>
      </c>
      <c r="B1151" s="39" t="s">
        <v>1481</v>
      </c>
    </row>
    <row r="1152" customHeight="1" spans="1:2">
      <c r="A1152" s="38">
        <v>1151</v>
      </c>
      <c r="B1152" s="39" t="s">
        <v>1482</v>
      </c>
    </row>
    <row r="1153" customHeight="1" spans="1:2">
      <c r="A1153" s="38">
        <v>1152</v>
      </c>
      <c r="B1153" s="39" t="s">
        <v>1483</v>
      </c>
    </row>
    <row r="1154" customHeight="1" spans="1:2">
      <c r="A1154" s="38">
        <v>1153</v>
      </c>
      <c r="B1154" s="39" t="s">
        <v>1484</v>
      </c>
    </row>
    <row r="1155" customHeight="1" spans="1:2">
      <c r="A1155" s="38">
        <v>1154</v>
      </c>
      <c r="B1155" s="39" t="s">
        <v>1485</v>
      </c>
    </row>
    <row r="1156" customHeight="1" spans="1:2">
      <c r="A1156" s="38">
        <v>1155</v>
      </c>
      <c r="B1156" s="39" t="s">
        <v>1486</v>
      </c>
    </row>
    <row r="1157" customHeight="1" spans="1:2">
      <c r="A1157" s="38">
        <v>1156</v>
      </c>
      <c r="B1157" s="39" t="s">
        <v>1487</v>
      </c>
    </row>
    <row r="1158" customHeight="1" spans="1:2">
      <c r="A1158" s="38">
        <v>1157</v>
      </c>
      <c r="B1158" s="39" t="s">
        <v>1488</v>
      </c>
    </row>
    <row r="1159" customHeight="1" spans="1:2">
      <c r="A1159" s="38">
        <v>1158</v>
      </c>
      <c r="B1159" s="39" t="s">
        <v>1489</v>
      </c>
    </row>
    <row r="1160" customHeight="1" spans="1:2">
      <c r="A1160" s="38">
        <v>1159</v>
      </c>
      <c r="B1160" s="39" t="s">
        <v>1490</v>
      </c>
    </row>
    <row r="1161" customHeight="1" spans="1:2">
      <c r="A1161" s="38">
        <v>1160</v>
      </c>
      <c r="B1161" s="39" t="s">
        <v>1491</v>
      </c>
    </row>
    <row r="1162" customHeight="1" spans="1:2">
      <c r="A1162" s="38">
        <v>1161</v>
      </c>
      <c r="B1162" s="39" t="s">
        <v>1492</v>
      </c>
    </row>
    <row r="1163" customHeight="1" spans="1:2">
      <c r="A1163" s="38">
        <v>1162</v>
      </c>
      <c r="B1163" s="39" t="s">
        <v>1493</v>
      </c>
    </row>
    <row r="1164" customHeight="1" spans="1:2">
      <c r="A1164" s="38">
        <v>1163</v>
      </c>
      <c r="B1164" s="39" t="s">
        <v>1494</v>
      </c>
    </row>
    <row r="1165" customHeight="1" spans="1:2">
      <c r="A1165" s="38">
        <v>1164</v>
      </c>
      <c r="B1165" s="39" t="s">
        <v>1495</v>
      </c>
    </row>
    <row r="1166" customHeight="1" spans="1:2">
      <c r="A1166" s="38">
        <v>1165</v>
      </c>
      <c r="B1166" s="39" t="s">
        <v>1496</v>
      </c>
    </row>
    <row r="1167" customHeight="1" spans="1:2">
      <c r="A1167" s="38">
        <v>1166</v>
      </c>
      <c r="B1167" s="39" t="s">
        <v>1497</v>
      </c>
    </row>
    <row r="1168" customHeight="1" spans="1:2">
      <c r="A1168" s="38">
        <v>1167</v>
      </c>
      <c r="B1168" s="39" t="s">
        <v>1498</v>
      </c>
    </row>
    <row r="1169" customHeight="1" spans="1:2">
      <c r="A1169" s="38">
        <v>1168</v>
      </c>
      <c r="B1169" s="39" t="s">
        <v>1499</v>
      </c>
    </row>
    <row r="1170" customHeight="1" spans="1:2">
      <c r="A1170" s="38">
        <v>1169</v>
      </c>
      <c r="B1170" s="39" t="s">
        <v>1500</v>
      </c>
    </row>
    <row r="1171" customHeight="1" spans="1:2">
      <c r="A1171" s="38">
        <v>1170</v>
      </c>
      <c r="B1171" s="38" t="s">
        <v>1501</v>
      </c>
    </row>
    <row r="1172" customHeight="1" spans="1:2">
      <c r="A1172" s="38">
        <v>1171</v>
      </c>
      <c r="B1172" s="39" t="s">
        <v>1502</v>
      </c>
    </row>
    <row r="1173" customHeight="1" spans="1:2">
      <c r="A1173" s="38">
        <v>1172</v>
      </c>
      <c r="B1173" s="39" t="s">
        <v>1503</v>
      </c>
    </row>
    <row r="1174" customHeight="1" spans="1:2">
      <c r="A1174" s="38">
        <v>1173</v>
      </c>
      <c r="B1174" s="39" t="s">
        <v>1504</v>
      </c>
    </row>
    <row r="1175" customHeight="1" spans="1:2">
      <c r="A1175" s="38">
        <v>1174</v>
      </c>
      <c r="B1175" s="39" t="s">
        <v>1505</v>
      </c>
    </row>
    <row r="1176" customHeight="1" spans="1:2">
      <c r="A1176" s="38">
        <v>1175</v>
      </c>
      <c r="B1176" s="39" t="s">
        <v>1506</v>
      </c>
    </row>
    <row r="1177" customHeight="1" spans="1:2">
      <c r="A1177" s="38">
        <v>1176</v>
      </c>
      <c r="B1177" s="39" t="s">
        <v>1507</v>
      </c>
    </row>
    <row r="1178" customHeight="1" spans="1:2">
      <c r="A1178" s="38">
        <v>1177</v>
      </c>
      <c r="B1178" s="39" t="s">
        <v>1508</v>
      </c>
    </row>
    <row r="1179" customHeight="1" spans="1:2">
      <c r="A1179" s="38">
        <v>1178</v>
      </c>
      <c r="B1179" s="39" t="s">
        <v>1509</v>
      </c>
    </row>
    <row r="1180" customHeight="1" spans="1:2">
      <c r="A1180" s="38">
        <v>1179</v>
      </c>
      <c r="B1180" s="39" t="s">
        <v>1510</v>
      </c>
    </row>
    <row r="1181" customHeight="1" spans="1:2">
      <c r="A1181" s="38">
        <v>1180</v>
      </c>
      <c r="B1181" s="39" t="s">
        <v>1511</v>
      </c>
    </row>
    <row r="1182" customHeight="1" spans="1:2">
      <c r="A1182" s="38">
        <v>1181</v>
      </c>
      <c r="B1182" s="39" t="s">
        <v>1512</v>
      </c>
    </row>
    <row r="1183" customHeight="1" spans="1:2">
      <c r="A1183" s="38">
        <v>1182</v>
      </c>
      <c r="B1183" s="39" t="s">
        <v>1513</v>
      </c>
    </row>
    <row r="1184" customHeight="1" spans="1:2">
      <c r="A1184" s="38">
        <v>1183</v>
      </c>
      <c r="B1184" s="39" t="s">
        <v>1514</v>
      </c>
    </row>
    <row r="1185" customHeight="1" spans="1:2">
      <c r="A1185" s="38">
        <v>1184</v>
      </c>
      <c r="B1185" s="39" t="s">
        <v>1515</v>
      </c>
    </row>
    <row r="1186" customHeight="1" spans="1:2">
      <c r="A1186" s="38">
        <v>1185</v>
      </c>
      <c r="B1186" s="39" t="s">
        <v>1516</v>
      </c>
    </row>
    <row r="1187" customHeight="1" spans="1:2">
      <c r="A1187" s="38">
        <v>1186</v>
      </c>
      <c r="B1187" s="39" t="s">
        <v>1517</v>
      </c>
    </row>
    <row r="1188" customHeight="1" spans="1:2">
      <c r="A1188" s="38">
        <v>1187</v>
      </c>
      <c r="B1188" s="39" t="s">
        <v>1518</v>
      </c>
    </row>
    <row r="1189" customHeight="1" spans="1:2">
      <c r="A1189" s="38">
        <v>1188</v>
      </c>
      <c r="B1189" s="39" t="s">
        <v>1519</v>
      </c>
    </row>
    <row r="1190" customHeight="1" spans="1:2">
      <c r="A1190" s="38">
        <v>1189</v>
      </c>
      <c r="B1190" s="39" t="s">
        <v>1520</v>
      </c>
    </row>
    <row r="1191" customHeight="1" spans="1:2">
      <c r="A1191" s="38">
        <v>1190</v>
      </c>
      <c r="B1191" s="39" t="s">
        <v>1521</v>
      </c>
    </row>
    <row r="1192" customHeight="1" spans="1:2">
      <c r="A1192" s="38">
        <v>1191</v>
      </c>
      <c r="B1192" s="39" t="s">
        <v>1522</v>
      </c>
    </row>
    <row r="1193" customHeight="1" spans="1:2">
      <c r="A1193" s="38">
        <v>1192</v>
      </c>
      <c r="B1193" s="39" t="s">
        <v>1523</v>
      </c>
    </row>
    <row r="1194" customHeight="1" spans="1:2">
      <c r="A1194" s="38">
        <v>1193</v>
      </c>
      <c r="B1194" s="39" t="s">
        <v>1524</v>
      </c>
    </row>
    <row r="1195" customHeight="1" spans="1:2">
      <c r="A1195" s="38">
        <v>1194</v>
      </c>
      <c r="B1195" s="39" t="s">
        <v>1525</v>
      </c>
    </row>
    <row r="1196" customHeight="1" spans="1:2">
      <c r="A1196" s="38">
        <v>1195</v>
      </c>
      <c r="B1196" s="39" t="s">
        <v>1526</v>
      </c>
    </row>
    <row r="1197" customHeight="1" spans="1:2">
      <c r="A1197" s="38">
        <v>1196</v>
      </c>
      <c r="B1197" s="39" t="s">
        <v>1527</v>
      </c>
    </row>
    <row r="1198" customHeight="1" spans="1:2">
      <c r="A1198" s="38">
        <v>1197</v>
      </c>
      <c r="B1198" s="39" t="s">
        <v>1528</v>
      </c>
    </row>
    <row r="1199" customHeight="1" spans="1:2">
      <c r="A1199" s="38">
        <v>1198</v>
      </c>
      <c r="B1199" s="39" t="s">
        <v>1529</v>
      </c>
    </row>
    <row r="1200" customHeight="1" spans="1:2">
      <c r="A1200" s="38">
        <v>1199</v>
      </c>
      <c r="B1200" s="39" t="s">
        <v>1530</v>
      </c>
    </row>
    <row r="1201" customHeight="1" spans="1:2">
      <c r="A1201" s="38">
        <v>1200</v>
      </c>
      <c r="B1201" s="39" t="s">
        <v>1531</v>
      </c>
    </row>
    <row r="1202" customHeight="1" spans="1:2">
      <c r="A1202" s="38">
        <v>1201</v>
      </c>
      <c r="B1202" s="39" t="s">
        <v>1532</v>
      </c>
    </row>
    <row r="1203" customHeight="1" spans="1:2">
      <c r="A1203" s="38">
        <v>1202</v>
      </c>
      <c r="B1203" s="39" t="s">
        <v>1533</v>
      </c>
    </row>
    <row r="1204" customHeight="1" spans="1:2">
      <c r="A1204" s="38">
        <v>1203</v>
      </c>
      <c r="B1204" s="39" t="s">
        <v>1534</v>
      </c>
    </row>
    <row r="1205" customHeight="1" spans="1:2">
      <c r="A1205" s="38">
        <v>1204</v>
      </c>
      <c r="B1205" s="39" t="s">
        <v>1535</v>
      </c>
    </row>
    <row r="1206" customHeight="1" spans="1:2">
      <c r="A1206" s="38">
        <v>1205</v>
      </c>
      <c r="B1206" s="39" t="s">
        <v>1536</v>
      </c>
    </row>
    <row r="1207" customHeight="1" spans="1:2">
      <c r="A1207" s="38">
        <v>1206</v>
      </c>
      <c r="B1207" s="39" t="s">
        <v>1537</v>
      </c>
    </row>
    <row r="1208" customHeight="1" spans="1:2">
      <c r="A1208" s="38">
        <v>1207</v>
      </c>
      <c r="B1208" s="39" t="s">
        <v>1538</v>
      </c>
    </row>
    <row r="1209" customHeight="1" spans="1:2">
      <c r="A1209" s="38">
        <v>1208</v>
      </c>
      <c r="B1209" s="39" t="s">
        <v>1539</v>
      </c>
    </row>
    <row r="1210" customHeight="1" spans="1:2">
      <c r="A1210" s="38">
        <v>1209</v>
      </c>
      <c r="B1210" s="39" t="s">
        <v>1540</v>
      </c>
    </row>
    <row r="1211" customHeight="1" spans="1:2">
      <c r="A1211" s="38">
        <v>1210</v>
      </c>
      <c r="B1211" s="39" t="s">
        <v>1541</v>
      </c>
    </row>
    <row r="1212" customHeight="1" spans="1:2">
      <c r="A1212" s="38">
        <v>1211</v>
      </c>
      <c r="B1212" s="39" t="s">
        <v>1542</v>
      </c>
    </row>
    <row r="1213" customHeight="1" spans="1:2">
      <c r="A1213" s="38">
        <v>1212</v>
      </c>
      <c r="B1213" s="39" t="s">
        <v>1543</v>
      </c>
    </row>
    <row r="1214" customHeight="1" spans="1:2">
      <c r="A1214" s="38">
        <v>1213</v>
      </c>
      <c r="B1214" s="39" t="s">
        <v>1544</v>
      </c>
    </row>
    <row r="1215" customHeight="1" spans="1:2">
      <c r="A1215" s="38">
        <v>1214</v>
      </c>
      <c r="B1215" s="39" t="s">
        <v>1545</v>
      </c>
    </row>
    <row r="1216" customHeight="1" spans="1:2">
      <c r="A1216" s="38">
        <v>1215</v>
      </c>
      <c r="B1216" s="39" t="s">
        <v>1546</v>
      </c>
    </row>
    <row r="1217" customHeight="1" spans="1:2">
      <c r="A1217" s="38">
        <v>1216</v>
      </c>
      <c r="B1217" s="39" t="s">
        <v>1547</v>
      </c>
    </row>
    <row r="1218" customHeight="1" spans="1:2">
      <c r="A1218" s="38">
        <v>1217</v>
      </c>
      <c r="B1218" s="39" t="s">
        <v>1548</v>
      </c>
    </row>
    <row r="1219" customHeight="1" spans="1:2">
      <c r="A1219" s="38">
        <v>1218</v>
      </c>
      <c r="B1219" s="39" t="s">
        <v>1549</v>
      </c>
    </row>
    <row r="1220" customHeight="1" spans="1:2">
      <c r="A1220" s="38">
        <v>1219</v>
      </c>
      <c r="B1220" s="39" t="s">
        <v>1550</v>
      </c>
    </row>
    <row r="1221" customHeight="1" spans="1:2">
      <c r="A1221" s="38">
        <v>1220</v>
      </c>
      <c r="B1221" s="39" t="s">
        <v>1551</v>
      </c>
    </row>
    <row r="1222" customHeight="1" spans="1:2">
      <c r="A1222" s="38">
        <v>1221</v>
      </c>
      <c r="B1222" s="39" t="s">
        <v>1552</v>
      </c>
    </row>
    <row r="1223" customHeight="1" spans="1:2">
      <c r="A1223" s="38">
        <v>1222</v>
      </c>
      <c r="B1223" s="39" t="s">
        <v>1553</v>
      </c>
    </row>
    <row r="1224" customHeight="1" spans="1:2">
      <c r="A1224" s="38">
        <v>1223</v>
      </c>
      <c r="B1224" s="39" t="s">
        <v>1554</v>
      </c>
    </row>
    <row r="1225" customHeight="1" spans="1:2">
      <c r="A1225" s="38">
        <v>1224</v>
      </c>
      <c r="B1225" s="39" t="s">
        <v>1555</v>
      </c>
    </row>
    <row r="1226" customHeight="1" spans="1:2">
      <c r="A1226" s="38">
        <v>1225</v>
      </c>
      <c r="B1226" s="39" t="s">
        <v>1556</v>
      </c>
    </row>
    <row r="1227" customHeight="1" spans="1:2">
      <c r="A1227" s="38">
        <v>1226</v>
      </c>
      <c r="B1227" s="39" t="s">
        <v>1557</v>
      </c>
    </row>
    <row r="1228" customHeight="1" spans="1:2">
      <c r="A1228" s="38">
        <v>1227</v>
      </c>
      <c r="B1228" s="39" t="s">
        <v>1558</v>
      </c>
    </row>
    <row r="1229" customHeight="1" spans="1:2">
      <c r="A1229" s="38">
        <v>1228</v>
      </c>
      <c r="B1229" s="39" t="s">
        <v>1559</v>
      </c>
    </row>
    <row r="1230" customHeight="1" spans="1:2">
      <c r="A1230" s="38">
        <v>1229</v>
      </c>
      <c r="B1230" s="39" t="s">
        <v>1560</v>
      </c>
    </row>
    <row r="1231" customHeight="1" spans="1:2">
      <c r="A1231" s="38">
        <v>1230</v>
      </c>
      <c r="B1231" s="39" t="s">
        <v>1561</v>
      </c>
    </row>
    <row r="1232" customHeight="1" spans="1:2">
      <c r="A1232" s="38">
        <v>1231</v>
      </c>
      <c r="B1232" s="39" t="s">
        <v>1562</v>
      </c>
    </row>
    <row r="1233" customHeight="1" spans="1:2">
      <c r="A1233" s="38">
        <v>1232</v>
      </c>
      <c r="B1233" s="39" t="s">
        <v>1563</v>
      </c>
    </row>
    <row r="1234" customHeight="1" spans="1:2">
      <c r="A1234" s="38">
        <v>1233</v>
      </c>
      <c r="B1234" s="39" t="s">
        <v>1564</v>
      </c>
    </row>
    <row r="1235" customHeight="1" spans="1:2">
      <c r="A1235" s="38">
        <v>1234</v>
      </c>
      <c r="B1235" s="39" t="s">
        <v>1565</v>
      </c>
    </row>
    <row r="1236" customHeight="1" spans="1:2">
      <c r="A1236" s="38">
        <v>1235</v>
      </c>
      <c r="B1236" s="39" t="s">
        <v>1566</v>
      </c>
    </row>
    <row r="1237" customHeight="1" spans="1:2">
      <c r="A1237" s="38">
        <v>1236</v>
      </c>
      <c r="B1237" s="39" t="s">
        <v>1567</v>
      </c>
    </row>
    <row r="1238" customHeight="1" spans="1:2">
      <c r="A1238" s="38">
        <v>1237</v>
      </c>
      <c r="B1238" s="39" t="s">
        <v>1568</v>
      </c>
    </row>
    <row r="1239" customHeight="1" spans="1:2">
      <c r="A1239" s="38">
        <v>1238</v>
      </c>
      <c r="B1239" s="39" t="s">
        <v>1569</v>
      </c>
    </row>
    <row r="1240" customHeight="1" spans="1:2">
      <c r="A1240" s="38">
        <v>1239</v>
      </c>
      <c r="B1240" s="39" t="s">
        <v>1570</v>
      </c>
    </row>
    <row r="1241" customHeight="1" spans="1:2">
      <c r="A1241" s="38">
        <v>1240</v>
      </c>
      <c r="B1241" s="39" t="s">
        <v>1571</v>
      </c>
    </row>
    <row r="1242" customHeight="1" spans="1:2">
      <c r="A1242" s="38">
        <v>1241</v>
      </c>
      <c r="B1242" s="39" t="s">
        <v>1572</v>
      </c>
    </row>
    <row r="1243" customHeight="1" spans="1:2">
      <c r="A1243" s="38">
        <v>1242</v>
      </c>
      <c r="B1243" s="39" t="s">
        <v>1573</v>
      </c>
    </row>
    <row r="1244" customHeight="1" spans="1:2">
      <c r="A1244" s="38">
        <v>1243</v>
      </c>
      <c r="B1244" s="39" t="s">
        <v>1574</v>
      </c>
    </row>
    <row r="1245" customHeight="1" spans="1:2">
      <c r="A1245" s="38">
        <v>1244</v>
      </c>
      <c r="B1245" s="39" t="s">
        <v>1575</v>
      </c>
    </row>
    <row r="1246" customHeight="1" spans="1:2">
      <c r="A1246" s="38">
        <v>1245</v>
      </c>
      <c r="B1246" s="39" t="s">
        <v>1576</v>
      </c>
    </row>
    <row r="1247" customHeight="1" spans="1:2">
      <c r="A1247" s="38">
        <v>1246</v>
      </c>
      <c r="B1247" s="39" t="s">
        <v>1577</v>
      </c>
    </row>
    <row r="1248" customHeight="1" spans="1:2">
      <c r="A1248" s="38">
        <v>1247</v>
      </c>
      <c r="B1248" s="38" t="s">
        <v>1578</v>
      </c>
    </row>
    <row r="1249" customHeight="1" spans="1:2">
      <c r="A1249" s="38">
        <v>1248</v>
      </c>
      <c r="B1249" s="39" t="s">
        <v>1579</v>
      </c>
    </row>
    <row r="1250" customHeight="1" spans="1:2">
      <c r="A1250" s="38">
        <v>1249</v>
      </c>
      <c r="B1250" s="39" t="s">
        <v>1580</v>
      </c>
    </row>
    <row r="1251" customHeight="1" spans="1:2">
      <c r="A1251" s="38">
        <v>1250</v>
      </c>
      <c r="B1251" s="39" t="s">
        <v>1581</v>
      </c>
    </row>
    <row r="1252" customHeight="1" spans="1:2">
      <c r="A1252" s="38">
        <v>1251</v>
      </c>
      <c r="B1252" s="39" t="s">
        <v>1582</v>
      </c>
    </row>
    <row r="1253" customHeight="1" spans="1:2">
      <c r="A1253" s="38">
        <v>1252</v>
      </c>
      <c r="B1253" s="39" t="s">
        <v>1583</v>
      </c>
    </row>
    <row r="1254" customHeight="1" spans="1:2">
      <c r="A1254" s="38">
        <v>1253</v>
      </c>
      <c r="B1254" s="39" t="s">
        <v>1584</v>
      </c>
    </row>
    <row r="1255" customHeight="1" spans="1:2">
      <c r="A1255" s="38">
        <v>1254</v>
      </c>
      <c r="B1255" s="39" t="s">
        <v>1585</v>
      </c>
    </row>
    <row r="1256" customHeight="1" spans="1:2">
      <c r="A1256" s="38">
        <v>1255</v>
      </c>
      <c r="B1256" s="39" t="s">
        <v>1586</v>
      </c>
    </row>
    <row r="1257" customHeight="1" spans="1:2">
      <c r="A1257" s="38">
        <v>1256</v>
      </c>
      <c r="B1257" s="39" t="s">
        <v>1587</v>
      </c>
    </row>
    <row r="1258" customHeight="1" spans="1:2">
      <c r="A1258" s="38">
        <v>1257</v>
      </c>
      <c r="B1258" s="39" t="s">
        <v>1588</v>
      </c>
    </row>
    <row r="1259" customHeight="1" spans="1:2">
      <c r="A1259" s="38">
        <v>1258</v>
      </c>
      <c r="B1259" s="39" t="s">
        <v>1589</v>
      </c>
    </row>
    <row r="1260" customHeight="1" spans="1:2">
      <c r="A1260" s="38">
        <v>1259</v>
      </c>
      <c r="B1260" s="39" t="s">
        <v>1590</v>
      </c>
    </row>
    <row r="1261" customHeight="1" spans="1:2">
      <c r="A1261" s="38">
        <v>1260</v>
      </c>
      <c r="B1261" s="39" t="s">
        <v>1591</v>
      </c>
    </row>
    <row r="1262" customHeight="1" spans="1:2">
      <c r="A1262" s="38">
        <v>1261</v>
      </c>
      <c r="B1262" s="39" t="s">
        <v>1592</v>
      </c>
    </row>
    <row r="1263" customHeight="1" spans="1:2">
      <c r="A1263" s="38">
        <v>1262</v>
      </c>
      <c r="B1263" s="39" t="s">
        <v>1593</v>
      </c>
    </row>
    <row r="1264" customHeight="1" spans="1:2">
      <c r="A1264" s="38">
        <v>1263</v>
      </c>
      <c r="B1264" s="39" t="s">
        <v>1594</v>
      </c>
    </row>
    <row r="1265" customHeight="1" spans="1:2">
      <c r="A1265" s="38">
        <v>1264</v>
      </c>
      <c r="B1265" s="39" t="s">
        <v>1595</v>
      </c>
    </row>
    <row r="1266" customHeight="1" spans="1:2">
      <c r="A1266" s="38">
        <v>1265</v>
      </c>
      <c r="B1266" s="38" t="s">
        <v>1596</v>
      </c>
    </row>
    <row r="1267" customHeight="1" spans="1:2">
      <c r="A1267" s="38">
        <v>1266</v>
      </c>
      <c r="B1267" s="39" t="s">
        <v>1597</v>
      </c>
    </row>
    <row r="1268" customHeight="1" spans="1:2">
      <c r="A1268" s="38">
        <v>1267</v>
      </c>
      <c r="B1268" s="39" t="s">
        <v>1598</v>
      </c>
    </row>
    <row r="1269" customHeight="1" spans="1:2">
      <c r="A1269" s="38">
        <v>1268</v>
      </c>
      <c r="B1269" s="39" t="s">
        <v>1599</v>
      </c>
    </row>
    <row r="1270" customHeight="1" spans="1:2">
      <c r="A1270" s="38">
        <v>1269</v>
      </c>
      <c r="B1270" s="39" t="s">
        <v>1600</v>
      </c>
    </row>
    <row r="1271" customHeight="1" spans="1:2">
      <c r="A1271" s="38">
        <v>1270</v>
      </c>
      <c r="B1271" s="39" t="s">
        <v>1601</v>
      </c>
    </row>
    <row r="1272" customHeight="1" spans="1:2">
      <c r="A1272" s="38">
        <v>1271</v>
      </c>
      <c r="B1272" s="39" t="s">
        <v>1602</v>
      </c>
    </row>
    <row r="1273" customHeight="1" spans="1:2">
      <c r="A1273" s="38">
        <v>1272</v>
      </c>
      <c r="B1273" s="39" t="s">
        <v>1603</v>
      </c>
    </row>
    <row r="1274" customHeight="1" spans="1:2">
      <c r="A1274" s="38">
        <v>1273</v>
      </c>
      <c r="B1274" s="39" t="s">
        <v>1604</v>
      </c>
    </row>
    <row r="1275" customHeight="1" spans="1:2">
      <c r="A1275" s="38">
        <v>1274</v>
      </c>
      <c r="B1275" s="39" t="s">
        <v>1605</v>
      </c>
    </row>
    <row r="1276" customHeight="1" spans="1:2">
      <c r="A1276" s="38">
        <v>1275</v>
      </c>
      <c r="B1276" s="39" t="s">
        <v>1606</v>
      </c>
    </row>
    <row r="1277" customHeight="1" spans="1:2">
      <c r="A1277" s="38">
        <v>1276</v>
      </c>
      <c r="B1277" s="39" t="s">
        <v>1607</v>
      </c>
    </row>
    <row r="1278" customHeight="1" spans="1:2">
      <c r="A1278" s="38">
        <v>1277</v>
      </c>
      <c r="B1278" s="39" t="s">
        <v>1608</v>
      </c>
    </row>
    <row r="1279" customHeight="1" spans="1:2">
      <c r="A1279" s="38">
        <v>1278</v>
      </c>
      <c r="B1279" s="39" t="s">
        <v>1609</v>
      </c>
    </row>
    <row r="1280" customHeight="1" spans="1:2">
      <c r="A1280" s="38">
        <v>1279</v>
      </c>
      <c r="B1280" s="39" t="s">
        <v>1610</v>
      </c>
    </row>
    <row r="1281" customHeight="1" spans="1:2">
      <c r="A1281" s="38">
        <v>1280</v>
      </c>
      <c r="B1281" s="39" t="s">
        <v>1611</v>
      </c>
    </row>
    <row r="1282" customHeight="1" spans="1:2">
      <c r="A1282" s="38">
        <v>1281</v>
      </c>
      <c r="B1282" s="39" t="s">
        <v>1612</v>
      </c>
    </row>
    <row r="1283" customHeight="1" spans="1:2">
      <c r="A1283" s="38">
        <v>1282</v>
      </c>
      <c r="B1283" s="39" t="s">
        <v>1613</v>
      </c>
    </row>
    <row r="1284" customHeight="1" spans="1:2">
      <c r="A1284" s="38">
        <v>1283</v>
      </c>
      <c r="B1284" s="39" t="s">
        <v>1614</v>
      </c>
    </row>
    <row r="1285" customHeight="1" spans="1:2">
      <c r="A1285" s="38">
        <v>1284</v>
      </c>
      <c r="B1285" s="39" t="s">
        <v>1615</v>
      </c>
    </row>
    <row r="1286" customHeight="1" spans="1:2">
      <c r="A1286" s="38">
        <v>1285</v>
      </c>
      <c r="B1286" s="39" t="s">
        <v>1616</v>
      </c>
    </row>
    <row r="1287" customHeight="1" spans="1:2">
      <c r="A1287" s="38">
        <v>1286</v>
      </c>
      <c r="B1287" s="39" t="s">
        <v>1617</v>
      </c>
    </row>
    <row r="1288" customHeight="1" spans="1:2">
      <c r="A1288" s="38">
        <v>1287</v>
      </c>
      <c r="B1288" s="39" t="s">
        <v>1618</v>
      </c>
    </row>
    <row r="1289" customHeight="1" spans="1:2">
      <c r="A1289" s="38">
        <v>1288</v>
      </c>
      <c r="B1289" s="39" t="s">
        <v>1619</v>
      </c>
    </row>
    <row r="1290" customHeight="1" spans="1:2">
      <c r="A1290" s="38">
        <v>1289</v>
      </c>
      <c r="B1290" s="39" t="s">
        <v>1620</v>
      </c>
    </row>
    <row r="1291" customHeight="1" spans="1:2">
      <c r="A1291" s="38">
        <v>1290</v>
      </c>
      <c r="B1291" s="39" t="s">
        <v>1621</v>
      </c>
    </row>
    <row r="1292" customHeight="1" spans="1:2">
      <c r="A1292" s="38">
        <v>1291</v>
      </c>
      <c r="B1292" s="39" t="s">
        <v>1622</v>
      </c>
    </row>
    <row r="1293" customHeight="1" spans="1:2">
      <c r="A1293" s="38">
        <v>1292</v>
      </c>
      <c r="B1293" s="39" t="s">
        <v>1623</v>
      </c>
    </row>
    <row r="1294" customHeight="1" spans="1:2">
      <c r="A1294" s="38">
        <v>1293</v>
      </c>
      <c r="B1294" s="39" t="s">
        <v>1624</v>
      </c>
    </row>
    <row r="1295" customHeight="1" spans="1:2">
      <c r="A1295" s="38">
        <v>1294</v>
      </c>
      <c r="B1295" s="39" t="s">
        <v>1625</v>
      </c>
    </row>
    <row r="1296" customHeight="1" spans="1:2">
      <c r="A1296" s="38">
        <v>1295</v>
      </c>
      <c r="B1296" s="39" t="s">
        <v>1626</v>
      </c>
    </row>
    <row r="1297" customHeight="1" spans="1:2">
      <c r="A1297" s="38">
        <v>1296</v>
      </c>
      <c r="B1297" s="39" t="s">
        <v>1627</v>
      </c>
    </row>
    <row r="1298" customHeight="1" spans="1:2">
      <c r="A1298" s="38">
        <v>1297</v>
      </c>
      <c r="B1298" s="39" t="s">
        <v>1628</v>
      </c>
    </row>
    <row r="1299" customHeight="1" spans="1:2">
      <c r="A1299" s="38">
        <v>1298</v>
      </c>
      <c r="B1299" s="39" t="s">
        <v>1629</v>
      </c>
    </row>
    <row r="1300" customHeight="1" spans="1:3">
      <c r="A1300" s="38">
        <v>1299</v>
      </c>
      <c r="B1300" s="39" t="s">
        <v>1630</v>
      </c>
      <c r="C1300" s="3">
        <v>1</v>
      </c>
    </row>
    <row r="1301" customHeight="1" spans="1:3">
      <c r="A1301" s="38">
        <v>1300</v>
      </c>
      <c r="B1301" s="39" t="s">
        <v>1631</v>
      </c>
      <c r="C1301" s="3">
        <v>1</v>
      </c>
    </row>
    <row r="1302" customHeight="1" spans="1:2">
      <c r="A1302" s="38">
        <v>1301</v>
      </c>
      <c r="B1302" s="39" t="s">
        <v>1632</v>
      </c>
    </row>
    <row r="1303" customHeight="1" spans="1:2">
      <c r="A1303" s="38">
        <v>1302</v>
      </c>
      <c r="B1303" s="39" t="s">
        <v>1633</v>
      </c>
    </row>
    <row r="1304" customHeight="1" spans="1:2">
      <c r="A1304" s="38">
        <v>1303</v>
      </c>
      <c r="B1304" s="39" t="s">
        <v>1634</v>
      </c>
    </row>
    <row r="1305" customHeight="1" spans="1:2">
      <c r="A1305" s="38">
        <v>1304</v>
      </c>
      <c r="B1305" s="39" t="s">
        <v>1635</v>
      </c>
    </row>
    <row r="1306" customHeight="1" spans="1:2">
      <c r="A1306" s="38">
        <v>1305</v>
      </c>
      <c r="B1306" s="39" t="s">
        <v>1636</v>
      </c>
    </row>
    <row r="1307" customHeight="1" spans="1:2">
      <c r="A1307" s="38">
        <v>1306</v>
      </c>
      <c r="B1307" s="39" t="s">
        <v>1637</v>
      </c>
    </row>
    <row r="1308" customHeight="1" spans="1:2">
      <c r="A1308" s="38">
        <v>1307</v>
      </c>
      <c r="B1308" s="39" t="s">
        <v>1638</v>
      </c>
    </row>
    <row r="1309" customHeight="1" spans="1:3">
      <c r="A1309" s="38">
        <v>1308</v>
      </c>
      <c r="B1309" s="39" t="s">
        <v>1639</v>
      </c>
      <c r="C1309" s="3">
        <v>2</v>
      </c>
    </row>
    <row r="1310" customHeight="1" spans="1:2">
      <c r="A1310" s="38">
        <v>1309</v>
      </c>
      <c r="B1310" s="39" t="s">
        <v>1640</v>
      </c>
    </row>
    <row r="1311" customHeight="1" spans="1:3">
      <c r="A1311" s="38">
        <v>1310</v>
      </c>
      <c r="B1311" s="39" t="s">
        <v>1641</v>
      </c>
      <c r="C1311" s="3">
        <v>2</v>
      </c>
    </row>
    <row r="1312" customHeight="1" spans="1:2">
      <c r="A1312" s="38">
        <v>1311</v>
      </c>
      <c r="B1312" s="39" t="s">
        <v>1642</v>
      </c>
    </row>
    <row r="1313" customHeight="1" spans="1:2">
      <c r="A1313" s="38">
        <v>1312</v>
      </c>
      <c r="B1313" s="39" t="s">
        <v>1643</v>
      </c>
    </row>
    <row r="1314" customHeight="1" spans="1:2">
      <c r="A1314" s="38">
        <v>1313</v>
      </c>
      <c r="B1314" s="39" t="s">
        <v>1644</v>
      </c>
    </row>
    <row r="1315" customHeight="1" spans="1:2">
      <c r="A1315" s="38">
        <v>1314</v>
      </c>
      <c r="B1315" s="39" t="s">
        <v>1645</v>
      </c>
    </row>
    <row r="1316" customHeight="1" spans="1:2">
      <c r="A1316" s="38">
        <v>1315</v>
      </c>
      <c r="B1316" s="39" t="s">
        <v>1646</v>
      </c>
    </row>
    <row r="1317" customHeight="1" spans="1:2">
      <c r="A1317" s="38">
        <v>1316</v>
      </c>
      <c r="B1317" s="39" t="s">
        <v>1647</v>
      </c>
    </row>
    <row r="1318" customHeight="1" spans="1:2">
      <c r="A1318" s="38">
        <v>1317</v>
      </c>
      <c r="B1318" s="39" t="s">
        <v>1648</v>
      </c>
    </row>
    <row r="1319" customHeight="1" spans="1:2">
      <c r="A1319" s="38">
        <v>1318</v>
      </c>
      <c r="B1319" s="39" t="s">
        <v>1649</v>
      </c>
    </row>
    <row r="1320" customHeight="1" spans="1:2">
      <c r="A1320" s="38">
        <v>1319</v>
      </c>
      <c r="B1320" s="39" t="s">
        <v>1650</v>
      </c>
    </row>
    <row r="1321" customHeight="1" spans="1:2">
      <c r="A1321" s="38">
        <v>1320</v>
      </c>
      <c r="B1321" s="39" t="s">
        <v>1651</v>
      </c>
    </row>
    <row r="1322" customHeight="1" spans="1:2">
      <c r="A1322" s="38">
        <v>1321</v>
      </c>
      <c r="B1322" s="39" t="s">
        <v>1652</v>
      </c>
    </row>
    <row r="1323" customHeight="1" spans="1:3">
      <c r="A1323" s="38">
        <v>1322</v>
      </c>
      <c r="B1323" s="39" t="s">
        <v>1653</v>
      </c>
      <c r="C1323" s="3">
        <v>1</v>
      </c>
    </row>
    <row r="1324" customHeight="1" spans="1:2">
      <c r="A1324" s="38">
        <v>1323</v>
      </c>
      <c r="B1324" s="39" t="s">
        <v>1654</v>
      </c>
    </row>
    <row r="1325" customHeight="1" spans="1:3">
      <c r="A1325" s="38">
        <v>1324</v>
      </c>
      <c r="B1325" s="39" t="s">
        <v>1655</v>
      </c>
      <c r="C1325" s="3">
        <v>2</v>
      </c>
    </row>
    <row r="1326" customHeight="1" spans="1:2">
      <c r="A1326" s="38">
        <v>1325</v>
      </c>
      <c r="B1326" s="39" t="s">
        <v>1656</v>
      </c>
    </row>
    <row r="1327" customHeight="1" spans="1:2">
      <c r="A1327" s="38">
        <v>1326</v>
      </c>
      <c r="B1327" s="39" t="s">
        <v>1657</v>
      </c>
    </row>
    <row r="1328" customHeight="1" spans="1:2">
      <c r="A1328" s="38">
        <v>1327</v>
      </c>
      <c r="B1328" s="39" t="s">
        <v>1658</v>
      </c>
    </row>
    <row r="1329" customHeight="1" spans="1:2">
      <c r="A1329" s="38">
        <v>1328</v>
      </c>
      <c r="B1329" s="39" t="s">
        <v>1659</v>
      </c>
    </row>
    <row r="1330" customHeight="1" spans="1:3">
      <c r="A1330" s="38">
        <v>1329</v>
      </c>
      <c r="B1330" s="39" t="s">
        <v>1660</v>
      </c>
      <c r="C1330" s="3">
        <v>2</v>
      </c>
    </row>
    <row r="1331" customHeight="1" spans="1:2">
      <c r="A1331" s="38">
        <v>1330</v>
      </c>
      <c r="B1331" s="39" t="s">
        <v>1661</v>
      </c>
    </row>
    <row r="1332" customHeight="1" spans="1:2">
      <c r="A1332" s="38">
        <v>1331</v>
      </c>
      <c r="B1332" s="39" t="s">
        <v>1662</v>
      </c>
    </row>
    <row r="1333" customHeight="1" spans="1:2">
      <c r="A1333" s="38">
        <v>1332</v>
      </c>
      <c r="B1333" s="39" t="s">
        <v>1663</v>
      </c>
    </row>
    <row r="1334" customHeight="1" spans="1:2">
      <c r="A1334" s="38">
        <v>1333</v>
      </c>
      <c r="B1334" s="39" t="s">
        <v>1664</v>
      </c>
    </row>
    <row r="1335" customHeight="1" spans="1:2">
      <c r="A1335" s="38">
        <v>1334</v>
      </c>
      <c r="B1335" s="39" t="s">
        <v>1665</v>
      </c>
    </row>
    <row r="1336" customHeight="1" spans="1:2">
      <c r="A1336" s="38">
        <v>1335</v>
      </c>
      <c r="B1336" s="39" t="s">
        <v>1666</v>
      </c>
    </row>
    <row r="1337" customHeight="1" spans="1:2">
      <c r="A1337" s="38">
        <v>1336</v>
      </c>
      <c r="B1337" s="39" t="s">
        <v>1667</v>
      </c>
    </row>
    <row r="1338" customHeight="1" spans="1:2">
      <c r="A1338" s="38">
        <v>1337</v>
      </c>
      <c r="B1338" s="39" t="s">
        <v>1668</v>
      </c>
    </row>
    <row r="1339" customHeight="1" spans="1:2">
      <c r="A1339" s="38">
        <v>1338</v>
      </c>
      <c r="B1339" s="39" t="s">
        <v>1669</v>
      </c>
    </row>
    <row r="1340" customHeight="1" spans="1:2">
      <c r="A1340" s="38">
        <v>1339</v>
      </c>
      <c r="B1340" s="39" t="s">
        <v>1670</v>
      </c>
    </row>
    <row r="1341" customHeight="1" spans="1:2">
      <c r="A1341" s="38">
        <v>1340</v>
      </c>
      <c r="B1341" s="39" t="s">
        <v>1671</v>
      </c>
    </row>
    <row r="1342" customHeight="1" spans="1:2">
      <c r="A1342" s="38">
        <v>1341</v>
      </c>
      <c r="B1342" s="39" t="s">
        <v>1672</v>
      </c>
    </row>
    <row r="1343" customHeight="1" spans="1:2">
      <c r="A1343" s="38">
        <v>1342</v>
      </c>
      <c r="B1343" s="39" t="s">
        <v>1673</v>
      </c>
    </row>
    <row r="1344" customHeight="1" spans="1:2">
      <c r="A1344" s="38">
        <v>1343</v>
      </c>
      <c r="B1344" s="39" t="s">
        <v>1674</v>
      </c>
    </row>
    <row r="1345" customHeight="1" spans="1:2">
      <c r="A1345" s="38">
        <v>1344</v>
      </c>
      <c r="B1345" s="39" t="s">
        <v>1675</v>
      </c>
    </row>
    <row r="1346" customHeight="1" spans="1:2">
      <c r="A1346" s="38">
        <v>1345</v>
      </c>
      <c r="B1346" s="39" t="s">
        <v>1676</v>
      </c>
    </row>
    <row r="1347" customHeight="1" spans="1:2">
      <c r="A1347" s="38">
        <v>1346</v>
      </c>
      <c r="B1347" s="39" t="s">
        <v>1677</v>
      </c>
    </row>
    <row r="1348" customHeight="1" spans="1:2">
      <c r="A1348" s="38">
        <v>1347</v>
      </c>
      <c r="B1348" s="39" t="s">
        <v>1678</v>
      </c>
    </row>
    <row r="1349" customHeight="1" spans="1:2">
      <c r="A1349" s="38">
        <v>1348</v>
      </c>
      <c r="B1349" s="39" t="s">
        <v>1679</v>
      </c>
    </row>
    <row r="1350" customHeight="1" spans="1:2">
      <c r="A1350" s="38">
        <v>1349</v>
      </c>
      <c r="B1350" s="39" t="s">
        <v>1680</v>
      </c>
    </row>
    <row r="1351" customHeight="1" spans="1:2">
      <c r="A1351" s="38">
        <v>1350</v>
      </c>
      <c r="B1351" s="39" t="s">
        <v>1681</v>
      </c>
    </row>
    <row r="1352" customHeight="1" spans="1:2">
      <c r="A1352" s="38">
        <v>1351</v>
      </c>
      <c r="B1352" s="39" t="s">
        <v>1682</v>
      </c>
    </row>
    <row r="1353" customHeight="1" spans="1:2">
      <c r="A1353" s="38">
        <v>1352</v>
      </c>
      <c r="B1353" s="39" t="s">
        <v>1683</v>
      </c>
    </row>
    <row r="1354" customHeight="1" spans="1:2">
      <c r="A1354" s="38">
        <v>1353</v>
      </c>
      <c r="B1354" s="39" t="s">
        <v>1684</v>
      </c>
    </row>
    <row r="1355" customHeight="1" spans="1:2">
      <c r="A1355" s="38">
        <v>1354</v>
      </c>
      <c r="B1355" s="39" t="s">
        <v>1685</v>
      </c>
    </row>
    <row r="1356" customHeight="1" spans="1:2">
      <c r="A1356" s="38">
        <v>1355</v>
      </c>
      <c r="B1356" s="39" t="s">
        <v>1686</v>
      </c>
    </row>
    <row r="1357" customHeight="1" spans="1:2">
      <c r="A1357" s="38">
        <v>1356</v>
      </c>
      <c r="B1357" s="39" t="s">
        <v>1687</v>
      </c>
    </row>
    <row r="1358" customHeight="1" spans="1:2">
      <c r="A1358" s="38">
        <v>1357</v>
      </c>
      <c r="B1358" s="39" t="s">
        <v>1688</v>
      </c>
    </row>
    <row r="1359" customHeight="1" spans="1:2">
      <c r="A1359" s="38">
        <v>1358</v>
      </c>
      <c r="B1359" s="39" t="s">
        <v>1689</v>
      </c>
    </row>
    <row r="1360" customHeight="1" spans="1:2">
      <c r="A1360" s="38">
        <v>1359</v>
      </c>
      <c r="B1360" s="39" t="s">
        <v>1690</v>
      </c>
    </row>
    <row r="1361" customHeight="1" spans="1:2">
      <c r="A1361" s="38">
        <v>1360</v>
      </c>
      <c r="B1361" s="39" t="s">
        <v>1691</v>
      </c>
    </row>
    <row r="1362" customHeight="1" spans="1:2">
      <c r="A1362" s="38">
        <v>1361</v>
      </c>
      <c r="B1362" s="39" t="s">
        <v>1692</v>
      </c>
    </row>
    <row r="1363" customHeight="1" spans="1:2">
      <c r="A1363" s="38">
        <v>1362</v>
      </c>
      <c r="B1363" s="39" t="s">
        <v>1693</v>
      </c>
    </row>
    <row r="1364" customHeight="1" spans="1:2">
      <c r="A1364" s="38">
        <v>1363</v>
      </c>
      <c r="B1364" s="39" t="s">
        <v>1694</v>
      </c>
    </row>
    <row r="1365" customHeight="1" spans="1:2">
      <c r="A1365" s="38">
        <v>1364</v>
      </c>
      <c r="B1365" s="39" t="s">
        <v>1695</v>
      </c>
    </row>
    <row r="1366" customHeight="1" spans="1:2">
      <c r="A1366" s="38">
        <v>1365</v>
      </c>
      <c r="B1366" s="39" t="s">
        <v>1696</v>
      </c>
    </row>
    <row r="1367" customHeight="1" spans="1:2">
      <c r="A1367" s="38">
        <v>1366</v>
      </c>
      <c r="B1367" s="39" t="s">
        <v>1697</v>
      </c>
    </row>
    <row r="1368" customHeight="1" spans="1:2">
      <c r="A1368" s="38">
        <v>1367</v>
      </c>
      <c r="B1368" s="39" t="s">
        <v>1698</v>
      </c>
    </row>
    <row r="1369" customHeight="1" spans="1:2">
      <c r="A1369" s="38">
        <v>1368</v>
      </c>
      <c r="B1369" s="39" t="s">
        <v>1699</v>
      </c>
    </row>
    <row r="1370" customHeight="1" spans="1:2">
      <c r="A1370" s="38">
        <v>1369</v>
      </c>
      <c r="B1370" s="39" t="s">
        <v>1700</v>
      </c>
    </row>
    <row r="1371" customHeight="1" spans="1:2">
      <c r="A1371" s="38">
        <v>1370</v>
      </c>
      <c r="B1371" s="39" t="s">
        <v>1701</v>
      </c>
    </row>
    <row r="1372" customHeight="1" spans="1:2">
      <c r="A1372" s="38">
        <v>1371</v>
      </c>
      <c r="B1372" s="39" t="s">
        <v>1702</v>
      </c>
    </row>
    <row r="1373" customHeight="1" spans="1:2">
      <c r="A1373" s="38">
        <v>1372</v>
      </c>
      <c r="B1373" s="39" t="s">
        <v>1703</v>
      </c>
    </row>
    <row r="1374" customHeight="1" spans="1:2">
      <c r="A1374" s="38">
        <v>1373</v>
      </c>
      <c r="B1374" s="39" t="s">
        <v>1704</v>
      </c>
    </row>
    <row r="1375" customHeight="1" spans="1:2">
      <c r="A1375" s="38">
        <v>1374</v>
      </c>
      <c r="B1375" s="39" t="s">
        <v>1705</v>
      </c>
    </row>
    <row r="1376" customHeight="1" spans="1:2">
      <c r="A1376" s="38">
        <v>1375</v>
      </c>
      <c r="B1376" s="39" t="s">
        <v>1706</v>
      </c>
    </row>
    <row r="1377" customHeight="1" spans="1:2">
      <c r="A1377" s="38">
        <v>1376</v>
      </c>
      <c r="B1377" s="39" t="s">
        <v>1707</v>
      </c>
    </row>
    <row r="1378" customHeight="1" spans="1:2">
      <c r="A1378" s="38">
        <v>1377</v>
      </c>
      <c r="B1378" s="39" t="s">
        <v>1708</v>
      </c>
    </row>
    <row r="1379" customHeight="1" spans="1:2">
      <c r="A1379" s="38">
        <v>1378</v>
      </c>
      <c r="B1379" s="39" t="s">
        <v>1709</v>
      </c>
    </row>
    <row r="1380" customHeight="1" spans="1:2">
      <c r="A1380" s="38">
        <v>1379</v>
      </c>
      <c r="B1380" s="39" t="s">
        <v>1710</v>
      </c>
    </row>
    <row r="1381" customHeight="1" spans="1:3">
      <c r="A1381" s="38">
        <v>1380</v>
      </c>
      <c r="B1381" s="39" t="s">
        <v>1711</v>
      </c>
      <c r="C1381" s="3">
        <v>1</v>
      </c>
    </row>
    <row r="1382" customHeight="1" spans="1:2">
      <c r="A1382" s="38">
        <v>1381</v>
      </c>
      <c r="B1382" s="39" t="s">
        <v>1712</v>
      </c>
    </row>
    <row r="1383" customHeight="1" spans="1:2">
      <c r="A1383" s="38">
        <v>1382</v>
      </c>
      <c r="B1383" s="39" t="s">
        <v>1713</v>
      </c>
    </row>
    <row r="1384" customHeight="1" spans="1:2">
      <c r="A1384" s="38">
        <v>1383</v>
      </c>
      <c r="B1384" s="39" t="s">
        <v>1714</v>
      </c>
    </row>
    <row r="1385" customHeight="1" spans="1:2">
      <c r="A1385" s="38">
        <v>1384</v>
      </c>
      <c r="B1385" s="39" t="s">
        <v>1715</v>
      </c>
    </row>
    <row r="1386" customHeight="1" spans="1:2">
      <c r="A1386" s="38">
        <v>1385</v>
      </c>
      <c r="B1386" s="39" t="s">
        <v>1716</v>
      </c>
    </row>
    <row r="1387" customHeight="1" spans="1:2">
      <c r="A1387" s="38">
        <v>1386</v>
      </c>
      <c r="B1387" s="39" t="s">
        <v>1717</v>
      </c>
    </row>
    <row r="1388" customHeight="1" spans="1:2">
      <c r="A1388" s="38">
        <v>1387</v>
      </c>
      <c r="B1388" s="39" t="s">
        <v>1718</v>
      </c>
    </row>
    <row r="1389" customHeight="1" spans="1:2">
      <c r="A1389" s="38">
        <v>1388</v>
      </c>
      <c r="B1389" s="39" t="s">
        <v>1719</v>
      </c>
    </row>
    <row r="1390" customHeight="1" spans="1:2">
      <c r="A1390" s="38">
        <v>1389</v>
      </c>
      <c r="B1390" s="39" t="s">
        <v>1720</v>
      </c>
    </row>
    <row r="1391" customHeight="1" spans="1:2">
      <c r="A1391" s="38">
        <v>1390</v>
      </c>
      <c r="B1391" s="39" t="s">
        <v>1721</v>
      </c>
    </row>
    <row r="1392" customHeight="1" spans="1:2">
      <c r="A1392" s="38">
        <v>1391</v>
      </c>
      <c r="B1392" s="39" t="s">
        <v>1722</v>
      </c>
    </row>
    <row r="1393" customHeight="1" spans="1:3">
      <c r="A1393" s="38">
        <v>1392</v>
      </c>
      <c r="B1393" s="39" t="s">
        <v>1723</v>
      </c>
      <c r="C1393" s="3">
        <v>1</v>
      </c>
    </row>
    <row r="1394" customHeight="1" spans="1:3">
      <c r="A1394" s="38">
        <v>1393</v>
      </c>
      <c r="B1394" s="39" t="s">
        <v>1724</v>
      </c>
      <c r="C1394" s="3">
        <v>1</v>
      </c>
    </row>
    <row r="1395" customHeight="1" spans="1:2">
      <c r="A1395" s="38">
        <v>1394</v>
      </c>
      <c r="B1395" s="39" t="s">
        <v>1725</v>
      </c>
    </row>
    <row r="1396" customHeight="1" spans="1:3">
      <c r="A1396" s="38">
        <v>1395</v>
      </c>
      <c r="B1396" s="39" t="s">
        <v>1726</v>
      </c>
      <c r="C1396" s="3">
        <v>2</v>
      </c>
    </row>
    <row r="1397" customHeight="1" spans="1:2">
      <c r="A1397" s="38">
        <v>1396</v>
      </c>
      <c r="B1397" s="39" t="s">
        <v>1727</v>
      </c>
    </row>
    <row r="1398" customHeight="1" spans="1:2">
      <c r="A1398" s="38">
        <v>1397</v>
      </c>
      <c r="B1398" s="39" t="s">
        <v>1728</v>
      </c>
    </row>
    <row r="1399" customHeight="1" spans="1:2">
      <c r="A1399" s="38">
        <v>1398</v>
      </c>
      <c r="B1399" s="39" t="s">
        <v>1729</v>
      </c>
    </row>
    <row r="1400" customHeight="1" spans="1:2">
      <c r="A1400" s="38">
        <v>1399</v>
      </c>
      <c r="B1400" s="39" t="s">
        <v>1730</v>
      </c>
    </row>
    <row r="1401" customHeight="1" spans="1:2">
      <c r="A1401" s="38">
        <v>1400</v>
      </c>
      <c r="B1401" s="39" t="s">
        <v>1731</v>
      </c>
    </row>
    <row r="1402" customHeight="1" spans="1:2">
      <c r="A1402" s="38">
        <v>1401</v>
      </c>
      <c r="B1402" s="39" t="s">
        <v>1732</v>
      </c>
    </row>
    <row r="1403" customHeight="1" spans="1:2">
      <c r="A1403" s="38">
        <v>1402</v>
      </c>
      <c r="B1403" s="38" t="s">
        <v>1733</v>
      </c>
    </row>
    <row r="1404" customHeight="1" spans="1:2">
      <c r="A1404" s="38">
        <v>1403</v>
      </c>
      <c r="B1404" s="39" t="s">
        <v>1734</v>
      </c>
    </row>
    <row r="1405" customHeight="1" spans="1:2">
      <c r="A1405" s="38">
        <v>1404</v>
      </c>
      <c r="B1405" s="39" t="s">
        <v>1735</v>
      </c>
    </row>
    <row r="1406" customHeight="1" spans="1:2">
      <c r="A1406" s="38">
        <v>1405</v>
      </c>
      <c r="B1406" s="39" t="s">
        <v>1736</v>
      </c>
    </row>
    <row r="1407" customHeight="1" spans="1:2">
      <c r="A1407" s="38">
        <v>1406</v>
      </c>
      <c r="B1407" s="39" t="s">
        <v>1737</v>
      </c>
    </row>
    <row r="1408" customHeight="1" spans="1:2">
      <c r="A1408" s="38">
        <v>1407</v>
      </c>
      <c r="B1408" s="39" t="s">
        <v>1738</v>
      </c>
    </row>
    <row r="1409" customHeight="1" spans="1:2">
      <c r="A1409" s="38">
        <v>1408</v>
      </c>
      <c r="B1409" s="39" t="s">
        <v>1739</v>
      </c>
    </row>
    <row r="1410" customHeight="1" spans="1:2">
      <c r="A1410" s="38">
        <v>1409</v>
      </c>
      <c r="B1410" s="39" t="s">
        <v>1740</v>
      </c>
    </row>
    <row r="1411" customHeight="1" spans="1:2">
      <c r="A1411" s="38">
        <v>1410</v>
      </c>
      <c r="B1411" s="39" t="s">
        <v>1741</v>
      </c>
    </row>
    <row r="1412" customHeight="1" spans="1:2">
      <c r="A1412" s="38">
        <v>1411</v>
      </c>
      <c r="B1412" s="39" t="s">
        <v>1742</v>
      </c>
    </row>
    <row r="1413" customHeight="1" spans="1:2">
      <c r="A1413" s="38">
        <v>1412</v>
      </c>
      <c r="B1413" s="39" t="s">
        <v>1743</v>
      </c>
    </row>
    <row r="1414" customHeight="1" spans="1:2">
      <c r="A1414" s="38">
        <v>1413</v>
      </c>
      <c r="B1414" s="39" t="s">
        <v>1744</v>
      </c>
    </row>
    <row r="1415" customHeight="1" spans="1:2">
      <c r="A1415" s="38">
        <v>1414</v>
      </c>
      <c r="B1415" s="39" t="s">
        <v>1745</v>
      </c>
    </row>
    <row r="1416" customHeight="1" spans="1:2">
      <c r="A1416" s="38">
        <v>1415</v>
      </c>
      <c r="B1416" s="39" t="s">
        <v>1746</v>
      </c>
    </row>
    <row r="1417" customHeight="1" spans="1:2">
      <c r="A1417" s="38">
        <v>1416</v>
      </c>
      <c r="B1417" s="39" t="s">
        <v>1747</v>
      </c>
    </row>
    <row r="1418" customHeight="1" spans="1:3">
      <c r="A1418" s="38">
        <v>1417</v>
      </c>
      <c r="B1418" s="39" t="s">
        <v>1748</v>
      </c>
      <c r="C1418" s="3">
        <v>1</v>
      </c>
    </row>
    <row r="1419" customHeight="1" spans="1:2">
      <c r="A1419" s="38">
        <v>1418</v>
      </c>
      <c r="B1419" s="39" t="s">
        <v>1749</v>
      </c>
    </row>
    <row r="1420" customHeight="1" spans="1:2">
      <c r="A1420" s="38">
        <v>1419</v>
      </c>
      <c r="B1420" s="39" t="s">
        <v>1750</v>
      </c>
    </row>
    <row r="1421" customHeight="1" spans="1:2">
      <c r="A1421" s="38">
        <v>1420</v>
      </c>
      <c r="B1421" s="39" t="s">
        <v>1751</v>
      </c>
    </row>
    <row r="1422" customHeight="1" spans="1:2">
      <c r="A1422" s="38">
        <v>1421</v>
      </c>
      <c r="B1422" s="39" t="s">
        <v>1752</v>
      </c>
    </row>
    <row r="1423" customHeight="1" spans="1:2">
      <c r="A1423" s="38">
        <v>1422</v>
      </c>
      <c r="B1423" s="39" t="s">
        <v>1753</v>
      </c>
    </row>
    <row r="1424" customHeight="1" spans="1:2">
      <c r="A1424" s="38">
        <v>1423</v>
      </c>
      <c r="B1424" s="39" t="s">
        <v>1754</v>
      </c>
    </row>
    <row r="1425" customHeight="1" spans="1:2">
      <c r="A1425" s="38">
        <v>1424</v>
      </c>
      <c r="B1425" s="39" t="s">
        <v>1755</v>
      </c>
    </row>
    <row r="1426" customHeight="1" spans="1:3">
      <c r="A1426" s="38">
        <v>1425</v>
      </c>
      <c r="B1426" s="39" t="s">
        <v>271</v>
      </c>
      <c r="C1426" s="3">
        <v>1</v>
      </c>
    </row>
    <row r="1427" customHeight="1" spans="1:2">
      <c r="A1427" s="38">
        <v>1426</v>
      </c>
      <c r="B1427" s="39" t="s">
        <v>1756</v>
      </c>
    </row>
    <row r="1428" customHeight="1" spans="1:3">
      <c r="A1428" s="38">
        <v>1427</v>
      </c>
      <c r="B1428" s="39" t="s">
        <v>277</v>
      </c>
      <c r="C1428" s="3">
        <v>1</v>
      </c>
    </row>
    <row r="1429" customHeight="1" spans="1:2">
      <c r="A1429" s="38">
        <v>1428</v>
      </c>
      <c r="B1429" s="39" t="s">
        <v>1757</v>
      </c>
    </row>
    <row r="1430" customHeight="1" spans="1:2">
      <c r="A1430" s="38">
        <v>1429</v>
      </c>
      <c r="B1430" s="39" t="s">
        <v>1758</v>
      </c>
    </row>
    <row r="1431" customHeight="1" spans="1:2">
      <c r="A1431" s="38">
        <v>1430</v>
      </c>
      <c r="B1431" s="39" t="s">
        <v>1759</v>
      </c>
    </row>
    <row r="1432" customHeight="1" spans="1:2">
      <c r="A1432" s="38">
        <v>1431</v>
      </c>
      <c r="B1432" s="39" t="s">
        <v>1760</v>
      </c>
    </row>
    <row r="1433" customHeight="1" spans="1:2">
      <c r="A1433" s="38">
        <v>1432</v>
      </c>
      <c r="B1433" s="39" t="s">
        <v>1761</v>
      </c>
    </row>
    <row r="1434" customHeight="1" spans="1:2">
      <c r="A1434" s="38">
        <v>1433</v>
      </c>
      <c r="B1434" s="39" t="s">
        <v>1762</v>
      </c>
    </row>
    <row r="1435" customHeight="1" spans="1:3">
      <c r="A1435" s="38">
        <v>1434</v>
      </c>
      <c r="B1435" s="39" t="s">
        <v>284</v>
      </c>
      <c r="C1435" s="3">
        <v>1</v>
      </c>
    </row>
    <row r="1436" customHeight="1" spans="1:2">
      <c r="A1436" s="38">
        <v>1435</v>
      </c>
      <c r="B1436" s="39" t="s">
        <v>1763</v>
      </c>
    </row>
    <row r="1437" customHeight="1" spans="1:2">
      <c r="A1437" s="38">
        <v>1436</v>
      </c>
      <c r="B1437" s="39" t="s">
        <v>1764</v>
      </c>
    </row>
    <row r="1438" customHeight="1" spans="1:2">
      <c r="A1438" s="38">
        <v>1437</v>
      </c>
      <c r="B1438" s="39" t="s">
        <v>1765</v>
      </c>
    </row>
    <row r="1439" customHeight="1" spans="1:2">
      <c r="A1439" s="38">
        <v>1438</v>
      </c>
      <c r="B1439" s="39" t="s">
        <v>1766</v>
      </c>
    </row>
    <row r="1440" customHeight="1" spans="1:2">
      <c r="A1440" s="38">
        <v>1439</v>
      </c>
      <c r="B1440" s="39" t="s">
        <v>1767</v>
      </c>
    </row>
    <row r="1441" customHeight="1" spans="1:3">
      <c r="A1441" s="38">
        <v>1440</v>
      </c>
      <c r="B1441" s="39" t="s">
        <v>1768</v>
      </c>
      <c r="C1441" s="3">
        <v>2</v>
      </c>
    </row>
    <row r="1442" customHeight="1" spans="1:3">
      <c r="A1442" s="38">
        <v>1441</v>
      </c>
      <c r="B1442" s="38" t="s">
        <v>1769</v>
      </c>
      <c r="C1442" s="3">
        <v>2</v>
      </c>
    </row>
    <row r="1443" customHeight="1" spans="1:3">
      <c r="A1443" s="38">
        <v>1442</v>
      </c>
      <c r="B1443" s="39" t="s">
        <v>1770</v>
      </c>
      <c r="C1443" s="3">
        <v>2</v>
      </c>
    </row>
    <row r="1444" customHeight="1" spans="1:2">
      <c r="A1444" s="38">
        <v>1443</v>
      </c>
      <c r="B1444" s="38" t="s">
        <v>1771</v>
      </c>
    </row>
    <row r="1445" customHeight="1" spans="1:2">
      <c r="A1445" s="38">
        <v>1444</v>
      </c>
      <c r="B1445" s="38" t="s">
        <v>1772</v>
      </c>
    </row>
    <row r="1446" customHeight="1" spans="1:2">
      <c r="A1446" s="38">
        <v>1445</v>
      </c>
      <c r="B1446" s="39" t="s">
        <v>1773</v>
      </c>
    </row>
    <row r="1447" customHeight="1" spans="1:2">
      <c r="A1447" s="38">
        <v>1446</v>
      </c>
      <c r="B1447" s="39" t="s">
        <v>1774</v>
      </c>
    </row>
    <row r="1448" customHeight="1" spans="1:2">
      <c r="A1448" s="38">
        <v>1447</v>
      </c>
      <c r="B1448" s="38" t="s">
        <v>1775</v>
      </c>
    </row>
    <row r="1449" customHeight="1" spans="1:2">
      <c r="A1449" s="38">
        <v>1448</v>
      </c>
      <c r="B1449" s="39" t="s">
        <v>1776</v>
      </c>
    </row>
    <row r="1450" customHeight="1" spans="1:2">
      <c r="A1450" s="38">
        <v>1449</v>
      </c>
      <c r="B1450" s="39" t="s">
        <v>1777</v>
      </c>
    </row>
    <row r="1451" customHeight="1" spans="1:2">
      <c r="A1451" s="38">
        <v>1450</v>
      </c>
      <c r="B1451" s="39" t="s">
        <v>1778</v>
      </c>
    </row>
    <row r="1452" customHeight="1" spans="1:2">
      <c r="A1452" s="38">
        <v>1451</v>
      </c>
      <c r="B1452" s="39" t="s">
        <v>1779</v>
      </c>
    </row>
    <row r="1453" customHeight="1" spans="1:2">
      <c r="A1453" s="38">
        <v>1452</v>
      </c>
      <c r="B1453" s="39" t="s">
        <v>1780</v>
      </c>
    </row>
    <row r="1454" customHeight="1" spans="1:2">
      <c r="A1454" s="38">
        <v>1453</v>
      </c>
      <c r="B1454" s="39" t="s">
        <v>1781</v>
      </c>
    </row>
    <row r="1455" customHeight="1" spans="1:2">
      <c r="A1455" s="38">
        <v>1454</v>
      </c>
      <c r="B1455" s="39" t="s">
        <v>1782</v>
      </c>
    </row>
    <row r="1456" customHeight="1" spans="1:2">
      <c r="A1456" s="38">
        <v>1455</v>
      </c>
      <c r="B1456" s="39" t="s">
        <v>1783</v>
      </c>
    </row>
    <row r="1457" customHeight="1" spans="1:2">
      <c r="A1457" s="38">
        <v>1456</v>
      </c>
      <c r="B1457" s="39" t="s">
        <v>1784</v>
      </c>
    </row>
    <row r="1458" customHeight="1" spans="1:2">
      <c r="A1458" s="38">
        <v>1457</v>
      </c>
      <c r="B1458" s="39" t="s">
        <v>1785</v>
      </c>
    </row>
    <row r="1459" customHeight="1" spans="1:3">
      <c r="A1459" s="38">
        <v>1458</v>
      </c>
      <c r="B1459" s="39" t="s">
        <v>1786</v>
      </c>
      <c r="C1459" s="3">
        <v>1</v>
      </c>
    </row>
    <row r="1460" customHeight="1" spans="1:2">
      <c r="A1460" s="38">
        <v>1459</v>
      </c>
      <c r="B1460" s="39" t="s">
        <v>1787</v>
      </c>
    </row>
    <row r="1461" customHeight="1" spans="1:2">
      <c r="A1461" s="38">
        <v>1460</v>
      </c>
      <c r="B1461" s="38" t="s">
        <v>1788</v>
      </c>
    </row>
    <row r="1462" customHeight="1" spans="1:2">
      <c r="A1462" s="38">
        <v>1461</v>
      </c>
      <c r="B1462" s="38" t="s">
        <v>1789</v>
      </c>
    </row>
    <row r="1463" customHeight="1" spans="1:2">
      <c r="A1463" s="38">
        <v>1462</v>
      </c>
      <c r="B1463" s="38" t="s">
        <v>1790</v>
      </c>
    </row>
    <row r="1464" customHeight="1" spans="1:2">
      <c r="A1464" s="38">
        <v>1463</v>
      </c>
      <c r="B1464" s="39" t="s">
        <v>1791</v>
      </c>
    </row>
    <row r="1465" customHeight="1" spans="1:2">
      <c r="A1465" s="38">
        <v>1464</v>
      </c>
      <c r="B1465" s="39" t="s">
        <v>1792</v>
      </c>
    </row>
    <row r="1466" customHeight="1" spans="1:2">
      <c r="A1466" s="38">
        <v>1465</v>
      </c>
      <c r="B1466" s="39" t="s">
        <v>1793</v>
      </c>
    </row>
    <row r="1467" customHeight="1" spans="1:2">
      <c r="A1467" s="38">
        <v>1466</v>
      </c>
      <c r="B1467" s="39" t="s">
        <v>1794</v>
      </c>
    </row>
    <row r="1468" customHeight="1" spans="1:3">
      <c r="A1468" s="38">
        <v>1467</v>
      </c>
      <c r="B1468" s="39" t="s">
        <v>1795</v>
      </c>
      <c r="C1468" s="3">
        <v>2</v>
      </c>
    </row>
    <row r="1469" customHeight="1" spans="1:2">
      <c r="A1469" s="38">
        <v>1468</v>
      </c>
      <c r="B1469" s="39" t="s">
        <v>1796</v>
      </c>
    </row>
    <row r="1470" customHeight="1" spans="1:2">
      <c r="A1470" s="38">
        <v>1469</v>
      </c>
      <c r="B1470" s="38" t="s">
        <v>1797</v>
      </c>
    </row>
    <row r="1471" customHeight="1" spans="1:2">
      <c r="A1471" s="38">
        <v>1470</v>
      </c>
      <c r="B1471" s="39" t="s">
        <v>1798</v>
      </c>
    </row>
    <row r="1472" customHeight="1" spans="1:2">
      <c r="A1472" s="38">
        <v>1471</v>
      </c>
      <c r="B1472" s="38" t="s">
        <v>1799</v>
      </c>
    </row>
    <row r="1473" customHeight="1" spans="1:2">
      <c r="A1473" s="38">
        <v>1472</v>
      </c>
      <c r="B1473" s="38" t="s">
        <v>1800</v>
      </c>
    </row>
    <row r="1474" customHeight="1" spans="1:2">
      <c r="A1474" s="38">
        <v>1473</v>
      </c>
      <c r="B1474" s="38" t="s">
        <v>1801</v>
      </c>
    </row>
    <row r="1475" customHeight="1" spans="1:2">
      <c r="A1475" s="38">
        <v>1474</v>
      </c>
      <c r="B1475" s="39" t="s">
        <v>1802</v>
      </c>
    </row>
    <row r="1476" customHeight="1" spans="1:2">
      <c r="A1476" s="38">
        <v>1475</v>
      </c>
      <c r="B1476" s="39" t="s">
        <v>1803</v>
      </c>
    </row>
    <row r="1477" customHeight="1" spans="1:2">
      <c r="A1477" s="38">
        <v>1476</v>
      </c>
      <c r="B1477" s="38" t="s">
        <v>1804</v>
      </c>
    </row>
    <row r="1478" customHeight="1" spans="1:2">
      <c r="A1478" s="38">
        <v>1477</v>
      </c>
      <c r="B1478" s="39" t="s">
        <v>1805</v>
      </c>
    </row>
    <row r="1479" customHeight="1" spans="1:2">
      <c r="A1479" s="38">
        <v>1478</v>
      </c>
      <c r="B1479" s="39" t="s">
        <v>1806</v>
      </c>
    </row>
    <row r="1480" customHeight="1" spans="1:2">
      <c r="A1480" s="38">
        <v>1479</v>
      </c>
      <c r="B1480" s="39" t="s">
        <v>1807</v>
      </c>
    </row>
    <row r="1481" customHeight="1" spans="1:2">
      <c r="A1481" s="38">
        <v>1480</v>
      </c>
      <c r="B1481" s="39" t="s">
        <v>1808</v>
      </c>
    </row>
    <row r="1482" customHeight="1" spans="1:2">
      <c r="A1482" s="38">
        <v>1481</v>
      </c>
      <c r="B1482" s="39" t="s">
        <v>1809</v>
      </c>
    </row>
    <row r="1483" customHeight="1" spans="1:2">
      <c r="A1483" s="38">
        <v>1482</v>
      </c>
      <c r="B1483" s="39" t="s">
        <v>1810</v>
      </c>
    </row>
    <row r="1484" customHeight="1" spans="1:2">
      <c r="A1484" s="38">
        <v>1483</v>
      </c>
      <c r="B1484" s="39" t="s">
        <v>1811</v>
      </c>
    </row>
    <row r="1485" customHeight="1" spans="1:2">
      <c r="A1485" s="38">
        <v>1484</v>
      </c>
      <c r="B1485" s="39" t="s">
        <v>1812</v>
      </c>
    </row>
    <row r="1486" customHeight="1" spans="1:2">
      <c r="A1486" s="38">
        <v>1485</v>
      </c>
      <c r="B1486" s="39" t="s">
        <v>1813</v>
      </c>
    </row>
    <row r="1487" customHeight="1" spans="1:2">
      <c r="A1487" s="38">
        <v>1486</v>
      </c>
      <c r="B1487" s="39" t="s">
        <v>1814</v>
      </c>
    </row>
    <row r="1488" customHeight="1" spans="1:2">
      <c r="A1488" s="38">
        <v>1487</v>
      </c>
      <c r="B1488" s="39" t="s">
        <v>1815</v>
      </c>
    </row>
    <row r="1489" customHeight="1" spans="1:2">
      <c r="A1489" s="38">
        <v>1488</v>
      </c>
      <c r="B1489" s="39" t="s">
        <v>1816</v>
      </c>
    </row>
    <row r="1490" customHeight="1" spans="1:2">
      <c r="A1490" s="38">
        <v>1489</v>
      </c>
      <c r="B1490" s="39" t="s">
        <v>1817</v>
      </c>
    </row>
    <row r="1491" customHeight="1" spans="1:2">
      <c r="A1491" s="38">
        <v>1490</v>
      </c>
      <c r="B1491" s="39" t="s">
        <v>1818</v>
      </c>
    </row>
    <row r="1492" customHeight="1" spans="1:2">
      <c r="A1492" s="38">
        <v>1491</v>
      </c>
      <c r="B1492" s="39" t="s">
        <v>1819</v>
      </c>
    </row>
    <row r="1493" customHeight="1" spans="1:2">
      <c r="A1493" s="38">
        <v>1492</v>
      </c>
      <c r="B1493" s="39" t="s">
        <v>1820</v>
      </c>
    </row>
    <row r="1494" customHeight="1" spans="1:2">
      <c r="A1494" s="38">
        <v>1493</v>
      </c>
      <c r="B1494" s="39" t="s">
        <v>1821</v>
      </c>
    </row>
    <row r="1495" customHeight="1" spans="1:2">
      <c r="A1495" s="38">
        <v>1494</v>
      </c>
      <c r="B1495" s="39" t="s">
        <v>1822</v>
      </c>
    </row>
    <row r="1496" customHeight="1" spans="1:2">
      <c r="A1496" s="38">
        <v>1495</v>
      </c>
      <c r="B1496" s="39" t="s">
        <v>1823</v>
      </c>
    </row>
    <row r="1497" customHeight="1" spans="1:2">
      <c r="A1497" s="38">
        <v>1496</v>
      </c>
      <c r="B1497" s="39" t="s">
        <v>1824</v>
      </c>
    </row>
    <row r="1498" customHeight="1" spans="1:2">
      <c r="A1498" s="38">
        <v>1497</v>
      </c>
      <c r="B1498" s="39" t="s">
        <v>1825</v>
      </c>
    </row>
    <row r="1499" customHeight="1" spans="1:2">
      <c r="A1499" s="38">
        <v>1498</v>
      </c>
      <c r="B1499" s="39" t="s">
        <v>1826</v>
      </c>
    </row>
    <row r="1500" customHeight="1" spans="1:3">
      <c r="A1500" s="38">
        <v>1499</v>
      </c>
      <c r="B1500" s="39" t="s">
        <v>1827</v>
      </c>
      <c r="C1500" s="3">
        <v>1</v>
      </c>
    </row>
    <row r="1501" customHeight="1" spans="1:2">
      <c r="A1501" s="38">
        <v>1500</v>
      </c>
      <c r="B1501" s="39" t="s">
        <v>1828</v>
      </c>
    </row>
    <row r="1502" customHeight="1" spans="1:2">
      <c r="A1502" s="38">
        <v>1501</v>
      </c>
      <c r="B1502" s="39" t="s">
        <v>1829</v>
      </c>
    </row>
    <row r="1503" customHeight="1" spans="1:3">
      <c r="A1503" s="38">
        <v>1502</v>
      </c>
      <c r="B1503" s="39" t="s">
        <v>1830</v>
      </c>
      <c r="C1503" s="3">
        <v>2</v>
      </c>
    </row>
    <row r="1504" customHeight="1" spans="1:2">
      <c r="A1504" s="38">
        <v>1503</v>
      </c>
      <c r="B1504" s="39" t="s">
        <v>1831</v>
      </c>
    </row>
    <row r="1505" customHeight="1" spans="1:2">
      <c r="A1505" s="38">
        <v>1504</v>
      </c>
      <c r="B1505" s="39" t="s">
        <v>1832</v>
      </c>
    </row>
    <row r="1506" customHeight="1" spans="1:2">
      <c r="A1506" s="38">
        <v>1505</v>
      </c>
      <c r="B1506" s="39" t="s">
        <v>1833</v>
      </c>
    </row>
    <row r="1507" customHeight="1" spans="1:2">
      <c r="A1507" s="38">
        <v>1506</v>
      </c>
      <c r="B1507" s="39" t="s">
        <v>1834</v>
      </c>
    </row>
    <row r="1508" customHeight="1" spans="1:2">
      <c r="A1508" s="38">
        <v>1507</v>
      </c>
      <c r="B1508" s="39" t="s">
        <v>1835</v>
      </c>
    </row>
    <row r="1509" customHeight="1" spans="1:2">
      <c r="A1509" s="38">
        <v>1508</v>
      </c>
      <c r="B1509" s="39" t="s">
        <v>1836</v>
      </c>
    </row>
    <row r="1510" customHeight="1" spans="1:2">
      <c r="A1510" s="38">
        <v>1509</v>
      </c>
      <c r="B1510" s="39" t="s">
        <v>1837</v>
      </c>
    </row>
    <row r="1511" customHeight="1" spans="1:2">
      <c r="A1511" s="38">
        <v>1510</v>
      </c>
      <c r="B1511" s="39" t="s">
        <v>1838</v>
      </c>
    </row>
    <row r="1512" customHeight="1" spans="1:2">
      <c r="A1512" s="38">
        <v>1511</v>
      </c>
      <c r="B1512" s="39" t="s">
        <v>1839</v>
      </c>
    </row>
    <row r="1513" customHeight="1" spans="1:2">
      <c r="A1513" s="38">
        <v>1512</v>
      </c>
      <c r="B1513" s="39" t="s">
        <v>1840</v>
      </c>
    </row>
    <row r="1514" customHeight="1" spans="1:2">
      <c r="A1514" s="38">
        <v>1513</v>
      </c>
      <c r="B1514" s="39" t="s">
        <v>1841</v>
      </c>
    </row>
    <row r="1515" customHeight="1" spans="1:2">
      <c r="A1515" s="38">
        <v>1514</v>
      </c>
      <c r="B1515" s="39" t="s">
        <v>1842</v>
      </c>
    </row>
    <row r="1516" customHeight="1" spans="1:2">
      <c r="A1516" s="38">
        <v>1515</v>
      </c>
      <c r="B1516" s="39" t="s">
        <v>1843</v>
      </c>
    </row>
    <row r="1517" customHeight="1" spans="1:2">
      <c r="A1517" s="38">
        <v>1516</v>
      </c>
      <c r="B1517" s="39" t="s">
        <v>1844</v>
      </c>
    </row>
    <row r="1518" customHeight="1" spans="1:2">
      <c r="A1518" s="38">
        <v>1517</v>
      </c>
      <c r="B1518" s="39" t="s">
        <v>1845</v>
      </c>
    </row>
    <row r="1519" customHeight="1" spans="1:2">
      <c r="A1519" s="38">
        <v>1518</v>
      </c>
      <c r="B1519" s="39" t="s">
        <v>1846</v>
      </c>
    </row>
    <row r="1520" customHeight="1" spans="1:2">
      <c r="A1520" s="38">
        <v>1519</v>
      </c>
      <c r="B1520" s="39" t="s">
        <v>1847</v>
      </c>
    </row>
    <row r="1521" customHeight="1" spans="1:2">
      <c r="A1521" s="38">
        <v>1520</v>
      </c>
      <c r="B1521" s="39" t="s">
        <v>1848</v>
      </c>
    </row>
    <row r="1522" customHeight="1" spans="1:2">
      <c r="A1522" s="38">
        <v>1521</v>
      </c>
      <c r="B1522" s="39" t="s">
        <v>1849</v>
      </c>
    </row>
    <row r="1523" customHeight="1" spans="1:2">
      <c r="A1523" s="38">
        <v>1522</v>
      </c>
      <c r="B1523" s="39" t="s">
        <v>1850</v>
      </c>
    </row>
    <row r="1524" customHeight="1" spans="1:2">
      <c r="A1524" s="38">
        <v>1523</v>
      </c>
      <c r="B1524" s="39" t="s">
        <v>1851</v>
      </c>
    </row>
    <row r="1525" customHeight="1" spans="1:2">
      <c r="A1525" s="38">
        <v>1524</v>
      </c>
      <c r="B1525" s="39" t="s">
        <v>1852</v>
      </c>
    </row>
    <row r="1526" customHeight="1" spans="1:2">
      <c r="A1526" s="38">
        <v>1525</v>
      </c>
      <c r="B1526" s="39" t="s">
        <v>1853</v>
      </c>
    </row>
    <row r="1527" customHeight="1" spans="1:2">
      <c r="A1527" s="38">
        <v>1526</v>
      </c>
      <c r="B1527" s="39" t="s">
        <v>1854</v>
      </c>
    </row>
    <row r="1528" customHeight="1" spans="1:2">
      <c r="A1528" s="38">
        <v>1527</v>
      </c>
      <c r="B1528" s="39" t="s">
        <v>1855</v>
      </c>
    </row>
    <row r="1529" customHeight="1" spans="1:2">
      <c r="A1529" s="38">
        <v>1528</v>
      </c>
      <c r="B1529" s="39" t="s">
        <v>1856</v>
      </c>
    </row>
    <row r="1530" customHeight="1" spans="1:2">
      <c r="A1530" s="38">
        <v>1529</v>
      </c>
      <c r="B1530" s="39" t="s">
        <v>1857</v>
      </c>
    </row>
    <row r="1531" customHeight="1" spans="1:2">
      <c r="A1531" s="38">
        <v>1530</v>
      </c>
      <c r="B1531" s="39" t="s">
        <v>1858</v>
      </c>
    </row>
    <row r="1532" customHeight="1" spans="1:2">
      <c r="A1532" s="38">
        <v>1531</v>
      </c>
      <c r="B1532" s="39" t="s">
        <v>1859</v>
      </c>
    </row>
    <row r="1533" customHeight="1" spans="1:3">
      <c r="A1533" s="38">
        <v>1532</v>
      </c>
      <c r="B1533" s="39" t="s">
        <v>1860</v>
      </c>
      <c r="C1533" s="3">
        <v>1</v>
      </c>
    </row>
    <row r="1534" customHeight="1" spans="1:2">
      <c r="A1534" s="38">
        <v>1533</v>
      </c>
      <c r="B1534" s="39" t="s">
        <v>1861</v>
      </c>
    </row>
    <row r="1535" customHeight="1" spans="1:2">
      <c r="A1535" s="38">
        <v>1534</v>
      </c>
      <c r="B1535" s="39" t="s">
        <v>1862</v>
      </c>
    </row>
    <row r="1536" customHeight="1" spans="1:2">
      <c r="A1536" s="38">
        <v>1535</v>
      </c>
      <c r="B1536" s="39" t="s">
        <v>1863</v>
      </c>
    </row>
    <row r="1537" customHeight="1" spans="1:2">
      <c r="A1537" s="38">
        <v>1536</v>
      </c>
      <c r="B1537" s="39" t="s">
        <v>1864</v>
      </c>
    </row>
    <row r="1538" customHeight="1" spans="1:2">
      <c r="A1538" s="38">
        <v>1537</v>
      </c>
      <c r="B1538" s="39" t="s">
        <v>1865</v>
      </c>
    </row>
    <row r="1539" customHeight="1" spans="1:3">
      <c r="A1539" s="38">
        <v>1538</v>
      </c>
      <c r="B1539" s="39" t="s">
        <v>1866</v>
      </c>
      <c r="C1539" s="3">
        <v>1</v>
      </c>
    </row>
    <row r="1540" customHeight="1" spans="1:2">
      <c r="A1540" s="38">
        <v>1539</v>
      </c>
      <c r="B1540" s="39" t="s">
        <v>1867</v>
      </c>
    </row>
    <row r="1541" customHeight="1" spans="1:2">
      <c r="A1541" s="38">
        <v>1540</v>
      </c>
      <c r="B1541" s="39" t="s">
        <v>1869</v>
      </c>
    </row>
    <row r="1542" customHeight="1" spans="1:3">
      <c r="A1542" s="38">
        <v>1541</v>
      </c>
      <c r="B1542" s="39" t="s">
        <v>291</v>
      </c>
      <c r="C1542" s="3">
        <v>1</v>
      </c>
    </row>
    <row r="1543" customHeight="1" spans="1:3">
      <c r="A1543" s="38">
        <v>1542</v>
      </c>
      <c r="B1543" s="39" t="s">
        <v>1872</v>
      </c>
      <c r="C1543" s="3">
        <v>1</v>
      </c>
    </row>
    <row r="1544" customHeight="1" spans="1:3">
      <c r="A1544" s="38">
        <v>1543</v>
      </c>
      <c r="B1544" s="39" t="s">
        <v>1874</v>
      </c>
      <c r="C1544" s="3">
        <v>1</v>
      </c>
    </row>
    <row r="1545" customHeight="1" spans="1:3">
      <c r="A1545" s="38">
        <v>1544</v>
      </c>
      <c r="B1545" s="39" t="s">
        <v>1876</v>
      </c>
      <c r="C1545" s="3">
        <v>1</v>
      </c>
    </row>
  </sheetData>
  <autoFilter ref="B1:C1545">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42"/>
  <sheetViews>
    <sheetView workbookViewId="0">
      <selection activeCell="A1" sqref="A1"/>
    </sheetView>
  </sheetViews>
  <sheetFormatPr defaultColWidth="12.6296296296296" defaultRowHeight="15.75" customHeight="1"/>
  <cols>
    <col min="2" max="2" width="74.8796296296296" customWidth="1"/>
    <col min="6" max="6" width="9.25" customWidth="1"/>
  </cols>
  <sheetData>
    <row r="1" customHeight="1" spans="1:26">
      <c r="A1" s="33"/>
      <c r="B1" s="33" t="s">
        <v>2</v>
      </c>
      <c r="C1" s="33" t="s">
        <v>1880</v>
      </c>
      <c r="D1" s="33" t="s">
        <v>1881</v>
      </c>
      <c r="E1" s="33" t="s">
        <v>1882</v>
      </c>
      <c r="F1" s="33" t="s">
        <v>1883</v>
      </c>
      <c r="G1" s="33" t="s">
        <v>1884</v>
      </c>
      <c r="H1" s="2"/>
      <c r="I1" s="2"/>
      <c r="J1" s="2"/>
      <c r="K1" s="2"/>
      <c r="L1" s="2"/>
      <c r="M1" s="2"/>
      <c r="N1" s="2"/>
      <c r="O1" s="2"/>
      <c r="P1" s="2"/>
      <c r="Q1" s="2"/>
      <c r="R1" s="2"/>
      <c r="S1" s="2"/>
      <c r="T1" s="2"/>
      <c r="U1" s="2"/>
      <c r="V1" s="2"/>
      <c r="W1" s="2"/>
      <c r="X1" s="2"/>
      <c r="Y1" s="2"/>
      <c r="Z1" s="2"/>
    </row>
    <row r="2" customHeight="1" spans="1:7">
      <c r="A2" s="34" t="s">
        <v>8</v>
      </c>
      <c r="B2" s="34" t="s">
        <v>1885</v>
      </c>
      <c r="C2" s="34" t="s">
        <v>1886</v>
      </c>
      <c r="D2" s="34" t="s">
        <v>1887</v>
      </c>
      <c r="E2" s="34" t="s">
        <v>1888</v>
      </c>
      <c r="F2" s="35" t="s">
        <v>1889</v>
      </c>
      <c r="G2" s="34" t="s">
        <v>1890</v>
      </c>
    </row>
    <row r="3" customHeight="1" spans="1:7">
      <c r="A3" s="34" t="s">
        <v>371</v>
      </c>
      <c r="B3" s="34" t="s">
        <v>1891</v>
      </c>
      <c r="C3" s="34" t="s">
        <v>1892</v>
      </c>
      <c r="D3" s="34" t="s">
        <v>1893</v>
      </c>
      <c r="E3" s="34" t="s">
        <v>1894</v>
      </c>
      <c r="F3" s="35" t="s">
        <v>1895</v>
      </c>
      <c r="G3" s="34" t="s">
        <v>1896</v>
      </c>
    </row>
    <row r="4" customHeight="1" spans="1:7">
      <c r="A4" s="34" t="s">
        <v>372</v>
      </c>
      <c r="B4" s="34" t="s">
        <v>1897</v>
      </c>
      <c r="C4" s="34" t="s">
        <v>1898</v>
      </c>
      <c r="D4" s="34" t="s">
        <v>1899</v>
      </c>
      <c r="E4" s="34" t="s">
        <v>1900</v>
      </c>
      <c r="F4" s="35" t="s">
        <v>1901</v>
      </c>
      <c r="G4" s="34" t="s">
        <v>1902</v>
      </c>
    </row>
    <row r="5" customHeight="1" spans="1:7">
      <c r="A5" s="34" t="s">
        <v>373</v>
      </c>
      <c r="B5" s="34" t="s">
        <v>1903</v>
      </c>
      <c r="C5" s="34" t="s">
        <v>1904</v>
      </c>
      <c r="D5" s="34" t="s">
        <v>1905</v>
      </c>
      <c r="E5" s="34" t="s">
        <v>1906</v>
      </c>
      <c r="F5" s="35" t="s">
        <v>1907</v>
      </c>
      <c r="G5" s="34" t="s">
        <v>1908</v>
      </c>
    </row>
    <row r="6" customHeight="1" spans="1:7">
      <c r="A6" s="34" t="s">
        <v>374</v>
      </c>
      <c r="B6" s="34" t="s">
        <v>1909</v>
      </c>
      <c r="C6" s="34" t="s">
        <v>1910</v>
      </c>
      <c r="D6" s="34" t="s">
        <v>1911</v>
      </c>
      <c r="E6" s="34" t="s">
        <v>1912</v>
      </c>
      <c r="F6" s="35" t="s">
        <v>1913</v>
      </c>
      <c r="G6" s="34" t="s">
        <v>1914</v>
      </c>
    </row>
    <row r="7" customHeight="1" spans="1:7">
      <c r="A7" s="34" t="s">
        <v>375</v>
      </c>
      <c r="B7" s="34" t="s">
        <v>1915</v>
      </c>
      <c r="C7" s="34" t="s">
        <v>1916</v>
      </c>
      <c r="D7" s="34" t="s">
        <v>1917</v>
      </c>
      <c r="E7" s="34" t="s">
        <v>1918</v>
      </c>
      <c r="F7" s="35" t="s">
        <v>1919</v>
      </c>
      <c r="G7" s="34" t="s">
        <v>1920</v>
      </c>
    </row>
    <row r="8" customHeight="1" spans="1:7">
      <c r="A8" s="34" t="s">
        <v>376</v>
      </c>
      <c r="B8" s="34" t="s">
        <v>1921</v>
      </c>
      <c r="C8" s="34" t="s">
        <v>1922</v>
      </c>
      <c r="D8" s="34" t="s">
        <v>1923</v>
      </c>
      <c r="E8" s="34" t="s">
        <v>1924</v>
      </c>
      <c r="F8" s="35" t="s">
        <v>1925</v>
      </c>
      <c r="G8" s="34" t="s">
        <v>1926</v>
      </c>
    </row>
    <row r="9" customHeight="1" spans="1:7">
      <c r="A9" s="34" t="s">
        <v>377</v>
      </c>
      <c r="B9" s="34" t="s">
        <v>1927</v>
      </c>
      <c r="C9" s="34" t="s">
        <v>1928</v>
      </c>
      <c r="D9" s="34" t="s">
        <v>1929</v>
      </c>
      <c r="E9" s="34" t="s">
        <v>1930</v>
      </c>
      <c r="F9" s="35" t="s">
        <v>1931</v>
      </c>
      <c r="G9" s="34" t="s">
        <v>1932</v>
      </c>
    </row>
    <row r="10" customHeight="1" spans="1:7">
      <c r="A10" s="34" t="s">
        <v>378</v>
      </c>
      <c r="B10" s="34" t="s">
        <v>1933</v>
      </c>
      <c r="C10" s="34" t="s">
        <v>1934</v>
      </c>
      <c r="D10" s="34" t="s">
        <v>1935</v>
      </c>
      <c r="E10" s="34" t="s">
        <v>1936</v>
      </c>
      <c r="F10" s="35" t="s">
        <v>1937</v>
      </c>
      <c r="G10" s="34" t="s">
        <v>1938</v>
      </c>
    </row>
    <row r="11" customHeight="1" spans="1:7">
      <c r="A11" s="34" t="s">
        <v>379</v>
      </c>
      <c r="B11" s="34" t="s">
        <v>1939</v>
      </c>
      <c r="C11" s="34" t="s">
        <v>1940</v>
      </c>
      <c r="D11" s="34" t="s">
        <v>1941</v>
      </c>
      <c r="E11" s="34" t="s">
        <v>1942</v>
      </c>
      <c r="F11" s="35" t="s">
        <v>1943</v>
      </c>
      <c r="G11" s="34" t="s">
        <v>1944</v>
      </c>
    </row>
    <row r="12" customHeight="1" spans="1:7">
      <c r="A12" s="34" t="s">
        <v>16</v>
      </c>
      <c r="B12" s="34" t="s">
        <v>1945</v>
      </c>
      <c r="C12" s="34" t="s">
        <v>1946</v>
      </c>
      <c r="D12" s="34" t="s">
        <v>1947</v>
      </c>
      <c r="E12" s="34" t="s">
        <v>1948</v>
      </c>
      <c r="F12" s="35" t="s">
        <v>1949</v>
      </c>
      <c r="G12" s="34" t="s">
        <v>1950</v>
      </c>
    </row>
    <row r="13" customHeight="1" spans="1:7">
      <c r="A13" s="34" t="s">
        <v>24</v>
      </c>
      <c r="B13" s="34" t="s">
        <v>1951</v>
      </c>
      <c r="C13" s="34" t="s">
        <v>1952</v>
      </c>
      <c r="D13" s="34" t="s">
        <v>1953</v>
      </c>
      <c r="E13" s="34" t="s">
        <v>1954</v>
      </c>
      <c r="F13" s="35" t="s">
        <v>1955</v>
      </c>
      <c r="G13" s="34" t="s">
        <v>1956</v>
      </c>
    </row>
    <row r="14" customHeight="1" spans="1:7">
      <c r="A14" s="34" t="s">
        <v>32</v>
      </c>
      <c r="B14" s="34" t="s">
        <v>1957</v>
      </c>
      <c r="C14" s="34" t="s">
        <v>1958</v>
      </c>
      <c r="D14" s="34" t="s">
        <v>1959</v>
      </c>
      <c r="E14" s="34" t="s">
        <v>1960</v>
      </c>
      <c r="F14" s="35" t="s">
        <v>1961</v>
      </c>
      <c r="G14" s="34" t="s">
        <v>1962</v>
      </c>
    </row>
    <row r="15" customHeight="1" spans="1:7">
      <c r="A15" s="34" t="s">
        <v>380</v>
      </c>
      <c r="B15" s="34" t="s">
        <v>1963</v>
      </c>
      <c r="C15" s="34" t="s">
        <v>1964</v>
      </c>
      <c r="D15" s="34" t="s">
        <v>1965</v>
      </c>
      <c r="E15" s="34" t="s">
        <v>1966</v>
      </c>
      <c r="F15" s="35" t="s">
        <v>1967</v>
      </c>
      <c r="G15" s="34" t="s">
        <v>1968</v>
      </c>
    </row>
    <row r="16" customHeight="1" spans="1:7">
      <c r="A16" s="34" t="s">
        <v>381</v>
      </c>
      <c r="B16" s="34" t="s">
        <v>1969</v>
      </c>
      <c r="C16" s="34" t="s">
        <v>1970</v>
      </c>
      <c r="D16" s="34" t="s">
        <v>1971</v>
      </c>
      <c r="E16" s="34" t="s">
        <v>1972</v>
      </c>
      <c r="F16" s="35" t="s">
        <v>1973</v>
      </c>
      <c r="G16" s="34" t="s">
        <v>1974</v>
      </c>
    </row>
    <row r="17" customHeight="1" spans="1:7">
      <c r="A17" s="34" t="s">
        <v>382</v>
      </c>
      <c r="B17" s="34" t="s">
        <v>1975</v>
      </c>
      <c r="C17" s="34" t="s">
        <v>1976</v>
      </c>
      <c r="D17" s="34" t="s">
        <v>1977</v>
      </c>
      <c r="E17" s="34" t="s">
        <v>1978</v>
      </c>
      <c r="F17" s="35" t="s">
        <v>1979</v>
      </c>
      <c r="G17" s="34" t="s">
        <v>1980</v>
      </c>
    </row>
    <row r="18" customHeight="1" spans="1:7">
      <c r="A18" s="34" t="s">
        <v>383</v>
      </c>
      <c r="B18" s="34" t="s">
        <v>1981</v>
      </c>
      <c r="C18" s="34" t="s">
        <v>1982</v>
      </c>
      <c r="D18" s="34" t="s">
        <v>1983</v>
      </c>
      <c r="E18" s="34" t="s">
        <v>1984</v>
      </c>
      <c r="F18" s="35" t="s">
        <v>1985</v>
      </c>
      <c r="G18" s="34" t="s">
        <v>1986</v>
      </c>
    </row>
    <row r="19" customHeight="1" spans="1:7">
      <c r="A19" s="34" t="s">
        <v>384</v>
      </c>
      <c r="B19" s="34" t="s">
        <v>1987</v>
      </c>
      <c r="C19" s="34" t="s">
        <v>1988</v>
      </c>
      <c r="D19" s="34" t="s">
        <v>1989</v>
      </c>
      <c r="E19" s="34" t="s">
        <v>1990</v>
      </c>
      <c r="F19" s="35" t="s">
        <v>1991</v>
      </c>
      <c r="G19" s="34" t="s">
        <v>1992</v>
      </c>
    </row>
    <row r="20" customHeight="1" spans="1:7">
      <c r="A20" s="34" t="s">
        <v>39</v>
      </c>
      <c r="B20" s="34" t="s">
        <v>1993</v>
      </c>
      <c r="C20" s="34" t="s">
        <v>1994</v>
      </c>
      <c r="D20" s="34" t="s">
        <v>1995</v>
      </c>
      <c r="E20" s="34" t="s">
        <v>1996</v>
      </c>
      <c r="F20" s="35" t="s">
        <v>1997</v>
      </c>
      <c r="G20" s="34" t="s">
        <v>1998</v>
      </c>
    </row>
    <row r="21" customHeight="1" spans="1:7">
      <c r="A21" s="3" t="s">
        <v>46</v>
      </c>
      <c r="B21" s="3" t="s">
        <v>1999</v>
      </c>
      <c r="C21" s="3" t="s">
        <v>2000</v>
      </c>
      <c r="D21" s="3" t="s">
        <v>2001</v>
      </c>
      <c r="E21" s="3" t="s">
        <v>2002</v>
      </c>
      <c r="F21" s="36" t="s">
        <v>2003</v>
      </c>
      <c r="G21" s="3" t="s">
        <v>2004</v>
      </c>
    </row>
    <row r="22" customHeight="1" spans="1:7">
      <c r="A22" s="3" t="s">
        <v>385</v>
      </c>
      <c r="B22" s="3" t="s">
        <v>2005</v>
      </c>
      <c r="C22" s="3" t="s">
        <v>2006</v>
      </c>
      <c r="D22" s="3" t="s">
        <v>2007</v>
      </c>
      <c r="E22" s="3" t="s">
        <v>2008</v>
      </c>
      <c r="F22" s="36" t="s">
        <v>2009</v>
      </c>
      <c r="G22" s="3" t="s">
        <v>2010</v>
      </c>
    </row>
    <row r="23" customHeight="1" spans="1:7">
      <c r="A23" s="3" t="s">
        <v>386</v>
      </c>
      <c r="B23" s="3" t="s">
        <v>2011</v>
      </c>
      <c r="C23" s="3" t="s">
        <v>2012</v>
      </c>
      <c r="D23" s="3" t="s">
        <v>2013</v>
      </c>
      <c r="E23" s="3" t="s">
        <v>2014</v>
      </c>
      <c r="F23" s="36" t="s">
        <v>2015</v>
      </c>
      <c r="G23" s="3" t="s">
        <v>2016</v>
      </c>
    </row>
    <row r="24" customHeight="1" spans="1:7">
      <c r="A24" s="3" t="s">
        <v>387</v>
      </c>
      <c r="B24" s="3" t="s">
        <v>2017</v>
      </c>
      <c r="C24" s="3" t="s">
        <v>2018</v>
      </c>
      <c r="D24" s="3" t="s">
        <v>2019</v>
      </c>
      <c r="E24" s="3" t="s">
        <v>2020</v>
      </c>
      <c r="F24" s="36" t="s">
        <v>2021</v>
      </c>
      <c r="G24" s="3" t="s">
        <v>2022</v>
      </c>
    </row>
    <row r="25" customHeight="1" spans="1:7">
      <c r="A25" s="3" t="s">
        <v>298</v>
      </c>
      <c r="B25" s="3" t="s">
        <v>2023</v>
      </c>
      <c r="C25" s="3" t="s">
        <v>2024</v>
      </c>
      <c r="D25" s="3" t="s">
        <v>2025</v>
      </c>
      <c r="E25" s="3" t="s">
        <v>2026</v>
      </c>
      <c r="F25" s="36" t="s">
        <v>2027</v>
      </c>
      <c r="G25" s="3" t="s">
        <v>2028</v>
      </c>
    </row>
    <row r="26" customHeight="1" spans="1:7">
      <c r="A26" s="3" t="s">
        <v>306</v>
      </c>
      <c r="B26" s="3" t="s">
        <v>2029</v>
      </c>
      <c r="C26" s="3" t="s">
        <v>2030</v>
      </c>
      <c r="D26" s="3" t="s">
        <v>2031</v>
      </c>
      <c r="E26" s="3" t="s">
        <v>2032</v>
      </c>
      <c r="F26" s="36" t="s">
        <v>2033</v>
      </c>
      <c r="G26" s="3" t="s">
        <v>2034</v>
      </c>
    </row>
    <row r="27" customHeight="1" spans="1:7">
      <c r="A27" s="3" t="s">
        <v>388</v>
      </c>
      <c r="B27" s="3" t="s">
        <v>2035</v>
      </c>
      <c r="C27" s="3" t="s">
        <v>2036</v>
      </c>
      <c r="D27" s="3" t="s">
        <v>2037</v>
      </c>
      <c r="E27" s="3" t="s">
        <v>2038</v>
      </c>
      <c r="F27" s="36" t="s">
        <v>2039</v>
      </c>
      <c r="G27" s="3" t="s">
        <v>2040</v>
      </c>
    </row>
    <row r="28" customHeight="1" spans="1:7">
      <c r="A28" s="3" t="s">
        <v>389</v>
      </c>
      <c r="B28" s="3" t="s">
        <v>2041</v>
      </c>
      <c r="C28" s="3" t="s">
        <v>2042</v>
      </c>
      <c r="D28" s="3" t="s">
        <v>2043</v>
      </c>
      <c r="E28" s="3" t="s">
        <v>2044</v>
      </c>
      <c r="F28" s="36" t="s">
        <v>2045</v>
      </c>
      <c r="G28" s="3" t="s">
        <v>2046</v>
      </c>
    </row>
    <row r="29" customHeight="1" spans="1:7">
      <c r="A29" s="3" t="s">
        <v>313</v>
      </c>
      <c r="B29" s="3" t="s">
        <v>2047</v>
      </c>
      <c r="C29" s="3" t="s">
        <v>2048</v>
      </c>
      <c r="D29" s="3" t="s">
        <v>2049</v>
      </c>
      <c r="E29" s="3" t="s">
        <v>2050</v>
      </c>
      <c r="F29" s="36" t="s">
        <v>2051</v>
      </c>
      <c r="G29" s="3" t="s">
        <v>2052</v>
      </c>
    </row>
    <row r="30" customHeight="1" spans="1:7">
      <c r="A30" s="3" t="s">
        <v>390</v>
      </c>
      <c r="B30" s="3" t="s">
        <v>2053</v>
      </c>
      <c r="C30" s="3" t="s">
        <v>2054</v>
      </c>
      <c r="D30" s="3" t="s">
        <v>2055</v>
      </c>
      <c r="E30" s="3" t="s">
        <v>2056</v>
      </c>
      <c r="F30" s="36" t="s">
        <v>2057</v>
      </c>
      <c r="G30" s="3" t="s">
        <v>2058</v>
      </c>
    </row>
    <row r="31" customHeight="1" spans="1:7">
      <c r="A31" s="34" t="s">
        <v>320</v>
      </c>
      <c r="B31" s="34" t="s">
        <v>2059</v>
      </c>
      <c r="C31" s="34" t="s">
        <v>2060</v>
      </c>
      <c r="D31" s="34" t="s">
        <v>2061</v>
      </c>
      <c r="E31" s="34" t="s">
        <v>2062</v>
      </c>
      <c r="F31" s="35" t="s">
        <v>2063</v>
      </c>
      <c r="G31" s="34" t="s">
        <v>2064</v>
      </c>
    </row>
    <row r="32" customHeight="1" spans="1:7">
      <c r="A32" s="34" t="s">
        <v>327</v>
      </c>
      <c r="B32" s="34" t="s">
        <v>2065</v>
      </c>
      <c r="C32" s="34" t="s">
        <v>2066</v>
      </c>
      <c r="D32" s="34" t="s">
        <v>2067</v>
      </c>
      <c r="E32" s="34" t="s">
        <v>2068</v>
      </c>
      <c r="F32" s="35" t="s">
        <v>2069</v>
      </c>
      <c r="G32" s="34" t="s">
        <v>2070</v>
      </c>
    </row>
    <row r="33" customHeight="1" spans="1:7">
      <c r="A33" s="34" t="s">
        <v>334</v>
      </c>
      <c r="B33" s="34" t="s">
        <v>2071</v>
      </c>
      <c r="C33" s="34" t="s">
        <v>2072</v>
      </c>
      <c r="D33" s="34" t="s">
        <v>2073</v>
      </c>
      <c r="E33" s="34" t="s">
        <v>2074</v>
      </c>
      <c r="F33" s="35" t="s">
        <v>2075</v>
      </c>
      <c r="G33" s="34" t="s">
        <v>2076</v>
      </c>
    </row>
    <row r="34" customHeight="1" spans="1:7">
      <c r="A34" s="34" t="s">
        <v>391</v>
      </c>
      <c r="B34" s="34" t="s">
        <v>2077</v>
      </c>
      <c r="C34" s="34" t="s">
        <v>2078</v>
      </c>
      <c r="D34" s="34" t="s">
        <v>2079</v>
      </c>
      <c r="E34" s="34" t="s">
        <v>2080</v>
      </c>
      <c r="F34" s="35" t="s">
        <v>2081</v>
      </c>
      <c r="G34" s="34" t="s">
        <v>2082</v>
      </c>
    </row>
    <row r="35" customHeight="1" spans="1:7">
      <c r="A35" s="34" t="s">
        <v>392</v>
      </c>
      <c r="B35" s="34" t="s">
        <v>2083</v>
      </c>
      <c r="C35" s="34" t="s">
        <v>2084</v>
      </c>
      <c r="D35" s="34" t="s">
        <v>2085</v>
      </c>
      <c r="E35" s="34" t="s">
        <v>2086</v>
      </c>
      <c r="F35" s="35" t="s">
        <v>2087</v>
      </c>
      <c r="G35" s="34" t="s">
        <v>2088</v>
      </c>
    </row>
    <row r="36" customHeight="1" spans="1:7">
      <c r="A36" s="34" t="s">
        <v>2089</v>
      </c>
      <c r="B36" s="34" t="s">
        <v>2090</v>
      </c>
      <c r="C36" s="34" t="s">
        <v>2091</v>
      </c>
      <c r="D36" s="34" t="s">
        <v>2092</v>
      </c>
      <c r="E36" s="34" t="s">
        <v>2093</v>
      </c>
      <c r="F36" s="35" t="s">
        <v>2094</v>
      </c>
      <c r="G36" s="34" t="s">
        <v>2095</v>
      </c>
    </row>
    <row r="37" customHeight="1" spans="1:7">
      <c r="A37" s="34" t="s">
        <v>394</v>
      </c>
      <c r="B37" s="34" t="s">
        <v>2096</v>
      </c>
      <c r="C37" s="34" t="s">
        <v>2097</v>
      </c>
      <c r="D37" s="34" t="s">
        <v>2098</v>
      </c>
      <c r="E37" s="34" t="s">
        <v>2099</v>
      </c>
      <c r="F37" s="35" t="s">
        <v>2100</v>
      </c>
      <c r="G37" s="34" t="s">
        <v>2101</v>
      </c>
    </row>
    <row r="38" customHeight="1" spans="1:7">
      <c r="A38" s="34" t="s">
        <v>341</v>
      </c>
      <c r="B38" s="34" t="s">
        <v>2102</v>
      </c>
      <c r="C38" s="34" t="s">
        <v>2103</v>
      </c>
      <c r="D38" s="34" t="s">
        <v>2104</v>
      </c>
      <c r="E38" s="34" t="s">
        <v>2105</v>
      </c>
      <c r="F38" s="35" t="s">
        <v>2106</v>
      </c>
      <c r="G38" s="34" t="s">
        <v>2107</v>
      </c>
    </row>
    <row r="39" customHeight="1" spans="1:7">
      <c r="A39" s="34" t="s">
        <v>348</v>
      </c>
      <c r="B39" s="34" t="s">
        <v>2108</v>
      </c>
      <c r="C39" s="34" t="s">
        <v>2109</v>
      </c>
      <c r="D39" s="34" t="s">
        <v>2110</v>
      </c>
      <c r="E39" s="34" t="s">
        <v>2111</v>
      </c>
      <c r="F39" s="35" t="s">
        <v>2112</v>
      </c>
      <c r="G39" s="34" t="s">
        <v>2113</v>
      </c>
    </row>
    <row r="40" customHeight="1" spans="1:7">
      <c r="A40" s="3" t="s">
        <v>395</v>
      </c>
      <c r="B40" s="3" t="s">
        <v>2114</v>
      </c>
      <c r="C40" s="3" t="s">
        <v>2115</v>
      </c>
      <c r="D40" s="3" t="s">
        <v>2116</v>
      </c>
      <c r="E40" s="3" t="s">
        <v>2117</v>
      </c>
      <c r="F40" s="36" t="s">
        <v>2118</v>
      </c>
      <c r="G40" s="3" t="s">
        <v>2119</v>
      </c>
    </row>
    <row r="41" customHeight="1" spans="1:7">
      <c r="A41" s="3" t="s">
        <v>396</v>
      </c>
      <c r="B41" s="3" t="s">
        <v>2120</v>
      </c>
      <c r="C41" s="3" t="s">
        <v>2121</v>
      </c>
      <c r="D41" s="3" t="s">
        <v>2122</v>
      </c>
      <c r="E41" s="3" t="s">
        <v>2123</v>
      </c>
      <c r="F41" s="36" t="s">
        <v>2124</v>
      </c>
      <c r="G41" s="3" t="s">
        <v>2125</v>
      </c>
    </row>
    <row r="42" customHeight="1" spans="1:7">
      <c r="A42" s="3" t="s">
        <v>397</v>
      </c>
      <c r="B42" s="3" t="s">
        <v>2126</v>
      </c>
      <c r="C42" s="3" t="s">
        <v>2127</v>
      </c>
      <c r="D42" s="3" t="s">
        <v>2128</v>
      </c>
      <c r="E42" s="3" t="s">
        <v>2129</v>
      </c>
      <c r="F42" s="36" t="s">
        <v>2130</v>
      </c>
      <c r="G42" s="3" t="s">
        <v>2131</v>
      </c>
    </row>
    <row r="43" customHeight="1" spans="1:7">
      <c r="A43" s="3" t="s">
        <v>355</v>
      </c>
      <c r="B43" s="3" t="s">
        <v>2132</v>
      </c>
      <c r="C43" s="3" t="s">
        <v>2133</v>
      </c>
      <c r="D43" s="3" t="s">
        <v>2134</v>
      </c>
      <c r="E43" s="3" t="s">
        <v>2135</v>
      </c>
      <c r="F43" s="36" t="s">
        <v>2136</v>
      </c>
      <c r="G43" s="3" t="s">
        <v>2137</v>
      </c>
    </row>
    <row r="44" customHeight="1" spans="1:7">
      <c r="A44" s="3" t="s">
        <v>363</v>
      </c>
      <c r="B44" s="3" t="s">
        <v>2138</v>
      </c>
      <c r="C44" s="3" t="s">
        <v>2139</v>
      </c>
      <c r="D44" s="3" t="s">
        <v>2140</v>
      </c>
      <c r="E44" s="3" t="s">
        <v>2141</v>
      </c>
      <c r="F44" s="36" t="s">
        <v>2142</v>
      </c>
      <c r="G44" s="3" t="s">
        <v>2143</v>
      </c>
    </row>
    <row r="45" customHeight="1" spans="1:7">
      <c r="A45" s="3" t="s">
        <v>398</v>
      </c>
      <c r="B45" s="3" t="s">
        <v>2144</v>
      </c>
      <c r="C45" s="3" t="s">
        <v>2145</v>
      </c>
      <c r="D45" s="3" t="s">
        <v>2146</v>
      </c>
      <c r="E45" s="3" t="s">
        <v>2147</v>
      </c>
      <c r="F45" s="36" t="s">
        <v>2148</v>
      </c>
      <c r="G45" s="3" t="s">
        <v>2149</v>
      </c>
    </row>
    <row r="46" customHeight="1" spans="1:7">
      <c r="A46" s="3" t="s">
        <v>399</v>
      </c>
      <c r="B46" s="3" t="s">
        <v>2150</v>
      </c>
      <c r="C46" s="3" t="s">
        <v>2151</v>
      </c>
      <c r="D46" s="3" t="s">
        <v>2152</v>
      </c>
      <c r="E46" s="3" t="s">
        <v>2153</v>
      </c>
      <c r="F46" s="36" t="s">
        <v>2154</v>
      </c>
      <c r="G46" s="3" t="s">
        <v>2155</v>
      </c>
    </row>
    <row r="47" customHeight="1" spans="1:7">
      <c r="A47" s="3" t="s">
        <v>400</v>
      </c>
      <c r="B47" s="3" t="s">
        <v>2156</v>
      </c>
      <c r="C47" s="3" t="s">
        <v>2157</v>
      </c>
      <c r="D47" s="3" t="s">
        <v>2158</v>
      </c>
      <c r="E47" s="3" t="s">
        <v>2159</v>
      </c>
      <c r="F47" s="36" t="s">
        <v>2160</v>
      </c>
      <c r="G47" s="3" t="s">
        <v>2161</v>
      </c>
    </row>
    <row r="48" customHeight="1" spans="1:7">
      <c r="A48" s="3" t="s">
        <v>401</v>
      </c>
      <c r="B48" s="3" t="s">
        <v>2162</v>
      </c>
      <c r="C48" s="3" t="s">
        <v>2163</v>
      </c>
      <c r="D48" s="3" t="s">
        <v>2164</v>
      </c>
      <c r="E48" s="3" t="s">
        <v>2165</v>
      </c>
      <c r="F48" s="36" t="s">
        <v>2166</v>
      </c>
      <c r="G48" s="3" t="s">
        <v>2167</v>
      </c>
    </row>
    <row r="49" customHeight="1" spans="1:7">
      <c r="A49" s="3" t="s">
        <v>402</v>
      </c>
      <c r="B49" s="3" t="s">
        <v>2168</v>
      </c>
      <c r="C49" s="3" t="s">
        <v>2169</v>
      </c>
      <c r="D49" s="3" t="s">
        <v>2170</v>
      </c>
      <c r="E49" s="3" t="s">
        <v>2171</v>
      </c>
      <c r="F49" s="36" t="s">
        <v>2172</v>
      </c>
      <c r="G49" s="3" t="s">
        <v>2173</v>
      </c>
    </row>
    <row r="50" customHeight="1" spans="1:7">
      <c r="A50" s="3" t="s">
        <v>403</v>
      </c>
      <c r="B50" s="3" t="s">
        <v>2174</v>
      </c>
      <c r="C50" s="3" t="s">
        <v>2175</v>
      </c>
      <c r="D50" s="3" t="s">
        <v>2176</v>
      </c>
      <c r="E50" s="3" t="s">
        <v>2177</v>
      </c>
      <c r="F50" s="36" t="s">
        <v>2178</v>
      </c>
      <c r="G50" s="3" t="s">
        <v>2179</v>
      </c>
    </row>
    <row r="51" customHeight="1" spans="1:7">
      <c r="A51" s="3" t="s">
        <v>404</v>
      </c>
      <c r="B51" s="3" t="s">
        <v>2180</v>
      </c>
      <c r="C51" s="3" t="s">
        <v>2181</v>
      </c>
      <c r="D51" s="3" t="s">
        <v>2182</v>
      </c>
      <c r="E51" s="3" t="s">
        <v>2183</v>
      </c>
      <c r="F51" s="36" t="s">
        <v>2184</v>
      </c>
      <c r="G51" s="3" t="s">
        <v>2185</v>
      </c>
    </row>
    <row r="52" customHeight="1" spans="1:7">
      <c r="A52" s="3" t="s">
        <v>405</v>
      </c>
      <c r="B52" s="3" t="s">
        <v>2186</v>
      </c>
      <c r="C52" s="3" t="s">
        <v>2187</v>
      </c>
      <c r="D52" s="3" t="s">
        <v>2188</v>
      </c>
      <c r="E52" s="3" t="s">
        <v>2189</v>
      </c>
      <c r="F52" s="36" t="s">
        <v>2190</v>
      </c>
      <c r="G52" s="3" t="s">
        <v>2191</v>
      </c>
    </row>
    <row r="53" customHeight="1" spans="1:7">
      <c r="A53" s="3" t="s">
        <v>406</v>
      </c>
      <c r="B53" s="3" t="s">
        <v>2192</v>
      </c>
      <c r="C53" s="3" t="s">
        <v>2193</v>
      </c>
      <c r="D53" s="3" t="s">
        <v>2194</v>
      </c>
      <c r="E53" s="3" t="s">
        <v>2195</v>
      </c>
      <c r="F53" s="36" t="s">
        <v>2196</v>
      </c>
      <c r="G53" s="3" t="s">
        <v>2197</v>
      </c>
    </row>
    <row r="54" customHeight="1" spans="1:7">
      <c r="A54" s="3" t="s">
        <v>407</v>
      </c>
      <c r="B54" s="3" t="s">
        <v>2198</v>
      </c>
      <c r="C54" s="3" t="s">
        <v>2199</v>
      </c>
      <c r="D54" s="3" t="s">
        <v>2200</v>
      </c>
      <c r="E54" s="3" t="s">
        <v>2201</v>
      </c>
      <c r="F54" s="36" t="s">
        <v>2202</v>
      </c>
      <c r="G54" s="3" t="s">
        <v>2203</v>
      </c>
    </row>
    <row r="55" customHeight="1" spans="1:7">
      <c r="A55" s="3" t="s">
        <v>53</v>
      </c>
      <c r="B55" s="3" t="s">
        <v>2204</v>
      </c>
      <c r="C55" s="3" t="s">
        <v>2205</v>
      </c>
      <c r="D55" s="3" t="s">
        <v>2206</v>
      </c>
      <c r="E55" s="3" t="s">
        <v>2207</v>
      </c>
      <c r="F55" s="36" t="s">
        <v>2208</v>
      </c>
      <c r="G55" s="3" t="s">
        <v>2209</v>
      </c>
    </row>
    <row r="56" customHeight="1" spans="1:7">
      <c r="A56" s="3" t="s">
        <v>408</v>
      </c>
      <c r="B56" s="3" t="s">
        <v>2210</v>
      </c>
      <c r="C56" s="3" t="s">
        <v>2211</v>
      </c>
      <c r="D56" s="3" t="s">
        <v>2212</v>
      </c>
      <c r="E56" s="3" t="s">
        <v>2213</v>
      </c>
      <c r="F56" s="36" t="s">
        <v>2214</v>
      </c>
      <c r="G56" s="3" t="s">
        <v>2215</v>
      </c>
    </row>
    <row r="57" customHeight="1" spans="1:7">
      <c r="A57" s="3" t="s">
        <v>409</v>
      </c>
      <c r="B57" s="3" t="s">
        <v>2216</v>
      </c>
      <c r="C57" s="3" t="s">
        <v>2217</v>
      </c>
      <c r="D57" s="3" t="s">
        <v>2218</v>
      </c>
      <c r="E57" s="3" t="s">
        <v>2219</v>
      </c>
      <c r="F57" s="36" t="s">
        <v>2220</v>
      </c>
      <c r="G57" s="3" t="s">
        <v>2221</v>
      </c>
    </row>
    <row r="58" customHeight="1" spans="1:7">
      <c r="A58" s="3" t="s">
        <v>410</v>
      </c>
      <c r="B58" s="3" t="s">
        <v>2222</v>
      </c>
      <c r="C58" s="3" t="s">
        <v>2223</v>
      </c>
      <c r="D58" s="3" t="s">
        <v>2224</v>
      </c>
      <c r="E58" s="3" t="s">
        <v>2225</v>
      </c>
      <c r="F58" s="36" t="s">
        <v>2226</v>
      </c>
      <c r="G58" s="3" t="s">
        <v>2227</v>
      </c>
    </row>
    <row r="59" customHeight="1" spans="1:7">
      <c r="A59" s="3" t="s">
        <v>411</v>
      </c>
      <c r="B59" s="3" t="s">
        <v>2228</v>
      </c>
      <c r="C59" s="3" t="s">
        <v>2229</v>
      </c>
      <c r="D59" s="3" t="s">
        <v>2230</v>
      </c>
      <c r="E59" s="3" t="s">
        <v>2231</v>
      </c>
      <c r="F59" s="36" t="s">
        <v>2232</v>
      </c>
      <c r="G59" s="3" t="s">
        <v>2233</v>
      </c>
    </row>
    <row r="60" customHeight="1" spans="1:7">
      <c r="A60" s="3" t="s">
        <v>412</v>
      </c>
      <c r="B60" s="3" t="s">
        <v>2234</v>
      </c>
      <c r="C60" s="3" t="s">
        <v>2235</v>
      </c>
      <c r="D60" s="3" t="s">
        <v>2236</v>
      </c>
      <c r="E60" s="3" t="s">
        <v>2237</v>
      </c>
      <c r="F60" s="36" t="s">
        <v>2238</v>
      </c>
      <c r="G60" s="3" t="s">
        <v>2239</v>
      </c>
    </row>
    <row r="61" customHeight="1" spans="1:7">
      <c r="A61" s="3" t="s">
        <v>413</v>
      </c>
      <c r="B61" s="3" t="s">
        <v>2240</v>
      </c>
      <c r="C61" s="3" t="s">
        <v>2241</v>
      </c>
      <c r="D61" s="3" t="s">
        <v>2242</v>
      </c>
      <c r="E61" s="3" t="s">
        <v>2243</v>
      </c>
      <c r="F61" s="3" t="s">
        <v>2244</v>
      </c>
      <c r="G61" s="3" t="s">
        <v>2245</v>
      </c>
    </row>
    <row r="62" customHeight="1" spans="1:7">
      <c r="A62" s="3" t="s">
        <v>414</v>
      </c>
      <c r="B62" s="3" t="s">
        <v>2246</v>
      </c>
      <c r="C62" s="3" t="s">
        <v>2247</v>
      </c>
      <c r="D62" s="3" t="s">
        <v>2248</v>
      </c>
      <c r="E62" s="3" t="s">
        <v>2249</v>
      </c>
      <c r="F62" s="3" t="s">
        <v>2250</v>
      </c>
      <c r="G62" s="3" t="s">
        <v>2251</v>
      </c>
    </row>
    <row r="63" customHeight="1" spans="1:7">
      <c r="A63" s="3" t="s">
        <v>415</v>
      </c>
      <c r="B63" s="3" t="s">
        <v>2252</v>
      </c>
      <c r="C63" s="3" t="s">
        <v>2253</v>
      </c>
      <c r="D63" s="3" t="s">
        <v>2254</v>
      </c>
      <c r="E63" s="3" t="s">
        <v>2255</v>
      </c>
      <c r="F63" s="3" t="s">
        <v>2256</v>
      </c>
      <c r="G63" s="3" t="s">
        <v>2257</v>
      </c>
    </row>
    <row r="64" customHeight="1" spans="1:7">
      <c r="A64" s="3" t="s">
        <v>416</v>
      </c>
      <c r="B64" s="3" t="s">
        <v>2258</v>
      </c>
      <c r="C64" s="3" t="s">
        <v>2259</v>
      </c>
      <c r="D64" s="3" t="s">
        <v>2260</v>
      </c>
      <c r="E64" s="3" t="s">
        <v>2261</v>
      </c>
      <c r="F64" s="3" t="s">
        <v>1997</v>
      </c>
      <c r="G64" s="3" t="s">
        <v>2262</v>
      </c>
    </row>
    <row r="65" customHeight="1" spans="1:7">
      <c r="A65" s="3" t="s">
        <v>417</v>
      </c>
      <c r="B65" s="3" t="s">
        <v>2263</v>
      </c>
      <c r="C65" s="3" t="s">
        <v>2264</v>
      </c>
      <c r="D65" s="3" t="s">
        <v>2265</v>
      </c>
      <c r="E65" s="3" t="s">
        <v>2266</v>
      </c>
      <c r="F65" s="3" t="s">
        <v>2267</v>
      </c>
      <c r="G65" s="3" t="s">
        <v>2268</v>
      </c>
    </row>
    <row r="66" customHeight="1" spans="1:7">
      <c r="A66" s="3" t="s">
        <v>418</v>
      </c>
      <c r="B66" s="3" t="s">
        <v>2269</v>
      </c>
      <c r="C66" s="3" t="s">
        <v>2270</v>
      </c>
      <c r="D66" s="3" t="s">
        <v>2271</v>
      </c>
      <c r="E66" s="3" t="s">
        <v>2272</v>
      </c>
      <c r="F66" s="3" t="s">
        <v>2273</v>
      </c>
      <c r="G66" s="3" t="s">
        <v>2274</v>
      </c>
    </row>
    <row r="67" customHeight="1" spans="1:7">
      <c r="A67" s="3" t="s">
        <v>419</v>
      </c>
      <c r="B67" s="3" t="s">
        <v>2192</v>
      </c>
      <c r="C67" s="3" t="s">
        <v>2275</v>
      </c>
      <c r="D67" s="3" t="s">
        <v>2276</v>
      </c>
      <c r="E67" s="3" t="s">
        <v>2277</v>
      </c>
      <c r="F67" s="3" t="s">
        <v>2278</v>
      </c>
      <c r="G67" s="3" t="s">
        <v>2279</v>
      </c>
    </row>
    <row r="68" customHeight="1" spans="1:7">
      <c r="A68" s="3" t="s">
        <v>420</v>
      </c>
      <c r="B68" s="3" t="s">
        <v>2280</v>
      </c>
      <c r="C68" s="3" t="s">
        <v>2281</v>
      </c>
      <c r="D68" s="3" t="s">
        <v>2282</v>
      </c>
      <c r="E68" s="3" t="s">
        <v>2283</v>
      </c>
      <c r="F68" s="3" t="s">
        <v>2284</v>
      </c>
      <c r="G68" s="3" t="s">
        <v>2285</v>
      </c>
    </row>
    <row r="69" customHeight="1" spans="1:7">
      <c r="A69" s="3" t="s">
        <v>421</v>
      </c>
      <c r="B69" s="3" t="s">
        <v>2286</v>
      </c>
      <c r="C69" s="3" t="s">
        <v>2287</v>
      </c>
      <c r="D69" s="3" t="s">
        <v>2288</v>
      </c>
      <c r="E69" s="3" t="s">
        <v>2289</v>
      </c>
      <c r="F69" s="3" t="s">
        <v>2290</v>
      </c>
      <c r="G69" s="3" t="s">
        <v>2291</v>
      </c>
    </row>
    <row r="70" customHeight="1" spans="1:7">
      <c r="A70" s="3" t="s">
        <v>422</v>
      </c>
      <c r="B70" s="3" t="s">
        <v>2292</v>
      </c>
      <c r="C70" s="3" t="s">
        <v>2293</v>
      </c>
      <c r="D70" s="3" t="s">
        <v>2294</v>
      </c>
      <c r="E70" s="3" t="s">
        <v>2295</v>
      </c>
      <c r="F70" s="36" t="s">
        <v>2296</v>
      </c>
      <c r="G70" s="3" t="s">
        <v>2297</v>
      </c>
    </row>
    <row r="71" customHeight="1" spans="1:7">
      <c r="A71" s="3" t="s">
        <v>423</v>
      </c>
      <c r="B71" s="3" t="s">
        <v>2298</v>
      </c>
      <c r="C71" s="3" t="s">
        <v>2299</v>
      </c>
      <c r="D71" s="3" t="s">
        <v>2300</v>
      </c>
      <c r="E71" s="3" t="s">
        <v>2301</v>
      </c>
      <c r="F71" s="36" t="s">
        <v>2302</v>
      </c>
      <c r="G71" s="3" t="s">
        <v>2303</v>
      </c>
    </row>
    <row r="72" customHeight="1" spans="1:7">
      <c r="A72" s="3" t="s">
        <v>424</v>
      </c>
      <c r="B72" s="3" t="s">
        <v>2304</v>
      </c>
      <c r="C72" s="3" t="s">
        <v>2305</v>
      </c>
      <c r="D72" s="3" t="s">
        <v>2306</v>
      </c>
      <c r="E72" s="3" t="s">
        <v>2307</v>
      </c>
      <c r="F72" s="36" t="s">
        <v>2308</v>
      </c>
      <c r="G72" s="3" t="s">
        <v>2309</v>
      </c>
    </row>
    <row r="73" customHeight="1" spans="1:7">
      <c r="A73" s="3" t="s">
        <v>61</v>
      </c>
      <c r="B73" s="3" t="s">
        <v>2310</v>
      </c>
      <c r="C73" s="3" t="s">
        <v>2311</v>
      </c>
      <c r="D73" s="3" t="s">
        <v>2312</v>
      </c>
      <c r="E73" s="3" t="s">
        <v>2313</v>
      </c>
      <c r="F73" s="36" t="s">
        <v>2314</v>
      </c>
      <c r="G73" s="3" t="s">
        <v>2315</v>
      </c>
    </row>
    <row r="74" customHeight="1" spans="1:7">
      <c r="A74" s="3" t="s">
        <v>425</v>
      </c>
      <c r="B74" s="3" t="s">
        <v>2316</v>
      </c>
      <c r="C74" s="3" t="s">
        <v>2317</v>
      </c>
      <c r="D74" s="3" t="s">
        <v>2318</v>
      </c>
      <c r="E74" s="3" t="s">
        <v>2319</v>
      </c>
      <c r="F74" s="36" t="s">
        <v>2320</v>
      </c>
      <c r="G74" s="3" t="s">
        <v>2321</v>
      </c>
    </row>
    <row r="75" customHeight="1" spans="1:7">
      <c r="A75" s="3" t="s">
        <v>426</v>
      </c>
      <c r="B75" s="3" t="s">
        <v>2322</v>
      </c>
      <c r="C75" s="3" t="s">
        <v>2323</v>
      </c>
      <c r="D75" s="3" t="s">
        <v>2324</v>
      </c>
      <c r="E75" s="3" t="s">
        <v>2325</v>
      </c>
      <c r="F75" s="36" t="s">
        <v>2326</v>
      </c>
      <c r="G75" s="3" t="s">
        <v>2327</v>
      </c>
    </row>
    <row r="76" customHeight="1" spans="1:7">
      <c r="A76" s="3" t="s">
        <v>427</v>
      </c>
      <c r="B76" s="3" t="s">
        <v>2328</v>
      </c>
      <c r="C76" s="3" t="s">
        <v>2329</v>
      </c>
      <c r="D76" s="3" t="s">
        <v>2330</v>
      </c>
      <c r="E76" s="3" t="s">
        <v>2331</v>
      </c>
      <c r="F76" s="36" t="s">
        <v>2332</v>
      </c>
      <c r="G76" s="3" t="s">
        <v>2333</v>
      </c>
    </row>
    <row r="77" customHeight="1" spans="1:7">
      <c r="A77" s="3" t="s">
        <v>428</v>
      </c>
      <c r="B77" s="3" t="s">
        <v>2334</v>
      </c>
      <c r="C77" s="3" t="s">
        <v>2335</v>
      </c>
      <c r="D77" s="3" t="s">
        <v>2336</v>
      </c>
      <c r="E77" s="3" t="s">
        <v>2337</v>
      </c>
      <c r="F77" s="36" t="s">
        <v>2338</v>
      </c>
      <c r="G77" s="3" t="s">
        <v>2339</v>
      </c>
    </row>
    <row r="78" customHeight="1" spans="1:7">
      <c r="A78" s="3" t="s">
        <v>429</v>
      </c>
      <c r="B78" s="3" t="s">
        <v>2340</v>
      </c>
      <c r="C78" s="3" t="s">
        <v>2341</v>
      </c>
      <c r="D78" s="3" t="s">
        <v>2342</v>
      </c>
      <c r="E78" s="3" t="s">
        <v>2337</v>
      </c>
      <c r="F78" s="36" t="s">
        <v>2343</v>
      </c>
      <c r="G78" s="3" t="s">
        <v>2344</v>
      </c>
    </row>
    <row r="79" customHeight="1" spans="1:7">
      <c r="A79" s="3" t="s">
        <v>430</v>
      </c>
      <c r="B79" s="3" t="s">
        <v>2345</v>
      </c>
      <c r="C79" s="3" t="s">
        <v>2346</v>
      </c>
      <c r="D79" s="3" t="s">
        <v>2347</v>
      </c>
      <c r="E79" s="3" t="s">
        <v>2348</v>
      </c>
      <c r="F79" s="3" t="s">
        <v>2349</v>
      </c>
      <c r="G79" s="3" t="s">
        <v>2350</v>
      </c>
    </row>
    <row r="80" customHeight="1" spans="1:7">
      <c r="A80" s="3" t="s">
        <v>431</v>
      </c>
      <c r="B80" s="3" t="s">
        <v>2351</v>
      </c>
      <c r="C80" s="3" t="s">
        <v>2352</v>
      </c>
      <c r="D80" s="3" t="s">
        <v>2353</v>
      </c>
      <c r="E80" s="3" t="s">
        <v>1900</v>
      </c>
      <c r="F80" s="3" t="s">
        <v>2354</v>
      </c>
      <c r="G80" s="3" t="s">
        <v>2355</v>
      </c>
    </row>
    <row r="81" customHeight="1" spans="1:7">
      <c r="A81" s="3" t="s">
        <v>68</v>
      </c>
      <c r="B81" s="3" t="s">
        <v>2356</v>
      </c>
      <c r="C81" s="3" t="s">
        <v>2357</v>
      </c>
      <c r="D81" s="3" t="s">
        <v>2358</v>
      </c>
      <c r="E81" s="3" t="s">
        <v>2359</v>
      </c>
      <c r="F81" s="3" t="s">
        <v>2360</v>
      </c>
      <c r="G81" s="3" t="s">
        <v>2361</v>
      </c>
    </row>
    <row r="82" customHeight="1" spans="1:7">
      <c r="A82" s="3" t="s">
        <v>432</v>
      </c>
      <c r="B82" s="3" t="s">
        <v>2362</v>
      </c>
      <c r="C82" s="3" t="s">
        <v>2363</v>
      </c>
      <c r="D82" s="3" t="s">
        <v>2364</v>
      </c>
      <c r="E82" s="3" t="s">
        <v>2365</v>
      </c>
      <c r="F82" s="3" t="s">
        <v>2366</v>
      </c>
      <c r="G82" s="3" t="s">
        <v>2367</v>
      </c>
    </row>
    <row r="83" customHeight="1" spans="1:7">
      <c r="A83" s="3" t="s">
        <v>433</v>
      </c>
      <c r="B83" s="3" t="s">
        <v>2368</v>
      </c>
      <c r="C83" s="3" t="s">
        <v>2369</v>
      </c>
      <c r="D83" s="3" t="s">
        <v>2370</v>
      </c>
      <c r="E83" s="3" t="s">
        <v>2371</v>
      </c>
      <c r="F83" s="3" t="s">
        <v>2372</v>
      </c>
      <c r="G83" s="3" t="s">
        <v>2344</v>
      </c>
    </row>
    <row r="84" customHeight="1" spans="1:7">
      <c r="A84" s="3" t="s">
        <v>434</v>
      </c>
      <c r="B84" s="3" t="s">
        <v>2373</v>
      </c>
      <c r="C84" s="3" t="s">
        <v>2374</v>
      </c>
      <c r="D84" s="3" t="s">
        <v>2375</v>
      </c>
      <c r="E84" s="3" t="s">
        <v>2376</v>
      </c>
      <c r="F84" s="3" t="s">
        <v>2377</v>
      </c>
      <c r="G84" s="3" t="s">
        <v>2378</v>
      </c>
    </row>
    <row r="85" customHeight="1" spans="1:7">
      <c r="A85" s="3" t="s">
        <v>435</v>
      </c>
      <c r="B85" s="3" t="s">
        <v>2379</v>
      </c>
      <c r="C85" s="3" t="s">
        <v>2380</v>
      </c>
      <c r="D85" s="3" t="s">
        <v>2381</v>
      </c>
      <c r="E85" s="3" t="s">
        <v>2382</v>
      </c>
      <c r="F85" s="3" t="s">
        <v>2372</v>
      </c>
      <c r="G85" s="3" t="s">
        <v>2383</v>
      </c>
    </row>
    <row r="86" customHeight="1" spans="1:7">
      <c r="A86" s="3" t="s">
        <v>436</v>
      </c>
      <c r="B86" s="3" t="s">
        <v>2384</v>
      </c>
      <c r="C86" s="3" t="s">
        <v>2385</v>
      </c>
      <c r="D86" s="3" t="s">
        <v>2386</v>
      </c>
      <c r="E86" s="3" t="s">
        <v>2387</v>
      </c>
      <c r="F86" s="3" t="s">
        <v>2388</v>
      </c>
      <c r="G86" s="3" t="s">
        <v>2389</v>
      </c>
    </row>
    <row r="87" customHeight="1" spans="1:7">
      <c r="A87" s="3" t="s">
        <v>437</v>
      </c>
      <c r="B87" s="3" t="s">
        <v>2390</v>
      </c>
      <c r="C87" s="3" t="s">
        <v>2391</v>
      </c>
      <c r="D87" s="3" t="s">
        <v>2392</v>
      </c>
      <c r="E87" s="3" t="s">
        <v>2393</v>
      </c>
      <c r="F87" s="3" t="s">
        <v>2394</v>
      </c>
      <c r="G87" s="3" t="s">
        <v>2395</v>
      </c>
    </row>
    <row r="88" customHeight="1" spans="1:7">
      <c r="A88" s="3" t="s">
        <v>438</v>
      </c>
      <c r="B88" s="3" t="s">
        <v>2396</v>
      </c>
      <c r="C88" s="3" t="s">
        <v>2397</v>
      </c>
      <c r="D88" s="3" t="s">
        <v>2398</v>
      </c>
      <c r="E88" s="3" t="s">
        <v>2399</v>
      </c>
      <c r="F88" s="3" t="s">
        <v>2400</v>
      </c>
      <c r="G88" s="3" t="s">
        <v>2401</v>
      </c>
    </row>
    <row r="89" customHeight="1" spans="1:7">
      <c r="A89" s="3" t="s">
        <v>439</v>
      </c>
      <c r="B89" s="3" t="s">
        <v>2402</v>
      </c>
      <c r="C89" s="3" t="s">
        <v>2403</v>
      </c>
      <c r="D89" s="3" t="s">
        <v>2404</v>
      </c>
      <c r="E89" s="3" t="s">
        <v>2405</v>
      </c>
      <c r="F89" s="3" t="s">
        <v>2406</v>
      </c>
      <c r="G89" s="3" t="s">
        <v>2407</v>
      </c>
    </row>
    <row r="90" customHeight="1" spans="1:7">
      <c r="A90" s="3" t="s">
        <v>440</v>
      </c>
      <c r="B90" s="3" t="s">
        <v>2408</v>
      </c>
      <c r="C90" s="3" t="s">
        <v>2409</v>
      </c>
      <c r="D90" s="3" t="s">
        <v>2410</v>
      </c>
      <c r="E90" s="3" t="s">
        <v>2411</v>
      </c>
      <c r="F90" s="3" t="s">
        <v>2412</v>
      </c>
      <c r="G90" s="3" t="s">
        <v>2413</v>
      </c>
    </row>
    <row r="91" customHeight="1" spans="1:7">
      <c r="A91" s="3" t="s">
        <v>441</v>
      </c>
      <c r="B91" s="3" t="s">
        <v>2414</v>
      </c>
      <c r="C91" s="3" t="s">
        <v>2415</v>
      </c>
      <c r="D91" s="3" t="s">
        <v>2416</v>
      </c>
      <c r="E91" s="3" t="s">
        <v>2417</v>
      </c>
      <c r="F91" s="3" t="s">
        <v>2418</v>
      </c>
      <c r="G91" s="3" t="s">
        <v>2419</v>
      </c>
    </row>
    <row r="92" customHeight="1" spans="1:7">
      <c r="A92" s="3" t="s">
        <v>442</v>
      </c>
      <c r="B92" s="3" t="s">
        <v>2420</v>
      </c>
      <c r="C92" s="3" t="s">
        <v>2421</v>
      </c>
      <c r="D92" s="3" t="s">
        <v>2422</v>
      </c>
      <c r="E92" s="3" t="s">
        <v>2423</v>
      </c>
      <c r="F92" s="3" t="s">
        <v>2424</v>
      </c>
      <c r="G92" s="3" t="s">
        <v>2425</v>
      </c>
    </row>
    <row r="93" customHeight="1" spans="1:7">
      <c r="A93" s="3" t="s">
        <v>443</v>
      </c>
      <c r="B93" s="3" t="s">
        <v>2426</v>
      </c>
      <c r="C93" s="3" t="s">
        <v>2427</v>
      </c>
      <c r="D93" s="3" t="s">
        <v>2428</v>
      </c>
      <c r="E93" s="3" t="s">
        <v>2429</v>
      </c>
      <c r="F93" s="3" t="s">
        <v>2430</v>
      </c>
      <c r="G93" s="3" t="s">
        <v>2431</v>
      </c>
    </row>
    <row r="94" customHeight="1" spans="1:7">
      <c r="A94" s="3" t="s">
        <v>444</v>
      </c>
      <c r="B94" s="3" t="s">
        <v>2432</v>
      </c>
      <c r="C94" s="3" t="s">
        <v>2433</v>
      </c>
      <c r="D94" s="3" t="s">
        <v>2434</v>
      </c>
      <c r="E94" s="3" t="s">
        <v>2435</v>
      </c>
      <c r="F94" s="3" t="s">
        <v>2436</v>
      </c>
      <c r="G94" s="3" t="s">
        <v>2437</v>
      </c>
    </row>
    <row r="95" customHeight="1" spans="1:7">
      <c r="A95" s="3" t="s">
        <v>445</v>
      </c>
      <c r="B95" s="3" t="s">
        <v>2438</v>
      </c>
      <c r="C95" s="3" t="s">
        <v>2439</v>
      </c>
      <c r="D95" s="3" t="s">
        <v>2440</v>
      </c>
      <c r="E95" s="3" t="s">
        <v>2441</v>
      </c>
      <c r="F95" s="3" t="s">
        <v>2442</v>
      </c>
      <c r="G95" s="3" t="s">
        <v>2443</v>
      </c>
    </row>
    <row r="96" customHeight="1" spans="1:7">
      <c r="A96" s="3" t="s">
        <v>446</v>
      </c>
      <c r="B96" s="3" t="s">
        <v>2444</v>
      </c>
      <c r="C96" s="3" t="s">
        <v>2445</v>
      </c>
      <c r="D96" s="3" t="s">
        <v>2446</v>
      </c>
      <c r="E96" s="3" t="s">
        <v>2447</v>
      </c>
      <c r="F96" s="3" t="s">
        <v>2448</v>
      </c>
      <c r="G96" s="3" t="s">
        <v>2449</v>
      </c>
    </row>
    <row r="97" customHeight="1" spans="1:7">
      <c r="A97" s="3" t="s">
        <v>447</v>
      </c>
      <c r="B97" s="3" t="s">
        <v>2450</v>
      </c>
      <c r="C97" s="3" t="s">
        <v>2451</v>
      </c>
      <c r="D97" s="3" t="s">
        <v>2452</v>
      </c>
      <c r="E97" s="3" t="s">
        <v>2453</v>
      </c>
      <c r="F97" s="3" t="s">
        <v>2454</v>
      </c>
      <c r="G97" s="3" t="s">
        <v>2455</v>
      </c>
    </row>
    <row r="98" customHeight="1" spans="1:7">
      <c r="A98" s="3" t="s">
        <v>448</v>
      </c>
      <c r="B98" s="3" t="s">
        <v>2456</v>
      </c>
      <c r="C98" s="3" t="s">
        <v>2457</v>
      </c>
      <c r="D98" s="3" t="s">
        <v>2458</v>
      </c>
      <c r="E98" s="3" t="s">
        <v>2459</v>
      </c>
      <c r="F98" s="3" t="s">
        <v>2436</v>
      </c>
      <c r="G98" s="3" t="s">
        <v>2437</v>
      </c>
    </row>
    <row r="99" customHeight="1" spans="1:7">
      <c r="A99" s="3" t="s">
        <v>449</v>
      </c>
      <c r="B99" s="3" t="s">
        <v>2460</v>
      </c>
      <c r="C99" s="3" t="s">
        <v>2461</v>
      </c>
      <c r="D99" s="3" t="s">
        <v>2462</v>
      </c>
      <c r="E99" s="3" t="s">
        <v>2463</v>
      </c>
      <c r="F99" s="3" t="s">
        <v>2464</v>
      </c>
      <c r="G99" s="3" t="s">
        <v>2465</v>
      </c>
    </row>
    <row r="100" customHeight="1" spans="1:7">
      <c r="A100" s="3" t="s">
        <v>450</v>
      </c>
      <c r="B100" s="3" t="s">
        <v>2466</v>
      </c>
      <c r="C100" s="3" t="s">
        <v>2467</v>
      </c>
      <c r="D100" s="3" t="s">
        <v>2468</v>
      </c>
      <c r="E100" s="3" t="s">
        <v>2459</v>
      </c>
      <c r="F100" s="3" t="s">
        <v>2469</v>
      </c>
      <c r="G100" s="3" t="s">
        <v>2470</v>
      </c>
    </row>
    <row r="101" customHeight="1" spans="1:7">
      <c r="A101" s="3" t="s">
        <v>451</v>
      </c>
      <c r="B101" s="3" t="s">
        <v>2471</v>
      </c>
      <c r="C101" s="3" t="s">
        <v>2472</v>
      </c>
      <c r="D101" s="3" t="s">
        <v>2473</v>
      </c>
      <c r="E101" s="3" t="s">
        <v>2474</v>
      </c>
      <c r="F101" s="3" t="s">
        <v>2475</v>
      </c>
      <c r="G101" s="3" t="s">
        <v>2476</v>
      </c>
    </row>
    <row r="102" customHeight="1" spans="1:7">
      <c r="A102" s="3" t="s">
        <v>452</v>
      </c>
      <c r="B102" s="3" t="s">
        <v>2477</v>
      </c>
      <c r="C102" s="3" t="s">
        <v>2478</v>
      </c>
      <c r="D102" s="3" t="s">
        <v>2479</v>
      </c>
      <c r="E102" s="3" t="s">
        <v>2480</v>
      </c>
      <c r="F102" s="3" t="s">
        <v>2481</v>
      </c>
      <c r="G102" s="3" t="s">
        <v>2482</v>
      </c>
    </row>
    <row r="103" customHeight="1" spans="1:7">
      <c r="A103" s="3" t="s">
        <v>453</v>
      </c>
      <c r="B103" s="3" t="s">
        <v>2483</v>
      </c>
      <c r="C103" s="3" t="s">
        <v>2484</v>
      </c>
      <c r="D103" s="3" t="s">
        <v>2485</v>
      </c>
      <c r="E103" s="3" t="s">
        <v>2319</v>
      </c>
      <c r="F103" s="3" t="s">
        <v>2486</v>
      </c>
      <c r="G103" s="3" t="s">
        <v>2487</v>
      </c>
    </row>
    <row r="104" customHeight="1" spans="1:7">
      <c r="A104" s="3" t="s">
        <v>454</v>
      </c>
      <c r="B104" s="3" t="s">
        <v>2488</v>
      </c>
      <c r="C104" s="3" t="s">
        <v>2489</v>
      </c>
      <c r="D104" s="3" t="s">
        <v>2490</v>
      </c>
      <c r="E104" s="3" t="s">
        <v>2491</v>
      </c>
      <c r="F104" s="3" t="s">
        <v>2492</v>
      </c>
      <c r="G104" s="3" t="s">
        <v>2493</v>
      </c>
    </row>
    <row r="105" customHeight="1" spans="1:7">
      <c r="A105" s="3" t="s">
        <v>455</v>
      </c>
      <c r="B105" s="3" t="s">
        <v>2494</v>
      </c>
      <c r="C105" s="3" t="s">
        <v>2495</v>
      </c>
      <c r="D105" s="3" t="s">
        <v>2496</v>
      </c>
      <c r="E105" s="3" t="s">
        <v>2497</v>
      </c>
      <c r="F105" s="3" t="s">
        <v>2498</v>
      </c>
      <c r="G105" s="3" t="s">
        <v>2499</v>
      </c>
    </row>
    <row r="106" customHeight="1" spans="1:7">
      <c r="A106" s="3" t="s">
        <v>75</v>
      </c>
      <c r="B106" s="3" t="s">
        <v>2500</v>
      </c>
      <c r="C106" s="3" t="s">
        <v>2501</v>
      </c>
      <c r="D106" s="3" t="s">
        <v>2502</v>
      </c>
      <c r="E106" s="3" t="s">
        <v>2503</v>
      </c>
      <c r="F106" s="3" t="s">
        <v>2504</v>
      </c>
      <c r="G106" s="3" t="s">
        <v>2505</v>
      </c>
    </row>
    <row r="107" customHeight="1" spans="1:7">
      <c r="A107" s="3" t="s">
        <v>456</v>
      </c>
      <c r="B107" s="3" t="s">
        <v>2506</v>
      </c>
      <c r="C107" s="3" t="s">
        <v>2507</v>
      </c>
      <c r="D107" s="3" t="s">
        <v>2508</v>
      </c>
      <c r="E107" s="3" t="s">
        <v>2509</v>
      </c>
      <c r="F107" s="3" t="s">
        <v>2510</v>
      </c>
      <c r="G107" s="3" t="s">
        <v>2511</v>
      </c>
    </row>
    <row r="108" customHeight="1" spans="1:7">
      <c r="A108" s="3" t="s">
        <v>457</v>
      </c>
      <c r="B108" s="3" t="s">
        <v>2512</v>
      </c>
      <c r="C108" s="3" t="s">
        <v>2513</v>
      </c>
      <c r="D108" s="3" t="s">
        <v>2514</v>
      </c>
      <c r="E108" s="3" t="s">
        <v>2515</v>
      </c>
      <c r="F108" s="3" t="s">
        <v>2516</v>
      </c>
      <c r="G108" s="3" t="s">
        <v>2517</v>
      </c>
    </row>
    <row r="109" customHeight="1" spans="1:7">
      <c r="A109" s="3" t="s">
        <v>458</v>
      </c>
      <c r="B109" s="3" t="s">
        <v>2518</v>
      </c>
      <c r="C109" s="3" t="s">
        <v>2519</v>
      </c>
      <c r="D109" s="3" t="s">
        <v>2520</v>
      </c>
      <c r="E109" s="3" t="s">
        <v>2521</v>
      </c>
      <c r="F109" s="3" t="s">
        <v>2522</v>
      </c>
      <c r="G109" s="3" t="s">
        <v>2523</v>
      </c>
    </row>
    <row r="110" customHeight="1" spans="1:7">
      <c r="A110" s="3" t="s">
        <v>459</v>
      </c>
      <c r="B110" s="3" t="s">
        <v>2524</v>
      </c>
      <c r="C110" s="3" t="s">
        <v>2525</v>
      </c>
      <c r="D110" s="3" t="s">
        <v>2526</v>
      </c>
      <c r="E110" s="3" t="s">
        <v>2527</v>
      </c>
      <c r="F110" s="3" t="s">
        <v>2528</v>
      </c>
      <c r="G110" s="3" t="s">
        <v>2529</v>
      </c>
    </row>
    <row r="111" customHeight="1" spans="1:7">
      <c r="A111" s="3" t="s">
        <v>460</v>
      </c>
      <c r="B111" s="3" t="s">
        <v>2530</v>
      </c>
      <c r="C111" s="3" t="s">
        <v>2531</v>
      </c>
      <c r="D111" s="3" t="s">
        <v>2532</v>
      </c>
      <c r="E111" s="3" t="s">
        <v>2533</v>
      </c>
      <c r="F111" s="3" t="s">
        <v>2534</v>
      </c>
      <c r="G111" s="3" t="s">
        <v>2535</v>
      </c>
    </row>
    <row r="112" customHeight="1" spans="1:7">
      <c r="A112" s="3" t="s">
        <v>461</v>
      </c>
      <c r="B112" s="3" t="s">
        <v>2536</v>
      </c>
      <c r="C112" s="3" t="s">
        <v>2537</v>
      </c>
      <c r="D112" s="3" t="s">
        <v>2538</v>
      </c>
      <c r="E112" s="3" t="s">
        <v>2539</v>
      </c>
      <c r="F112" s="3" t="s">
        <v>2540</v>
      </c>
      <c r="G112" s="3" t="s">
        <v>2541</v>
      </c>
    </row>
    <row r="113" customHeight="1" spans="1:7">
      <c r="A113" s="3" t="s">
        <v>462</v>
      </c>
      <c r="B113" s="3" t="s">
        <v>2542</v>
      </c>
      <c r="C113" s="3" t="s">
        <v>2543</v>
      </c>
      <c r="D113" s="3" t="s">
        <v>2544</v>
      </c>
      <c r="E113" s="3" t="s">
        <v>2545</v>
      </c>
      <c r="F113" s="3" t="s">
        <v>2546</v>
      </c>
      <c r="G113" s="3" t="s">
        <v>2547</v>
      </c>
    </row>
    <row r="114" customHeight="1" spans="1:7">
      <c r="A114" s="3" t="s">
        <v>463</v>
      </c>
      <c r="B114" s="3" t="s">
        <v>2548</v>
      </c>
      <c r="C114" s="3" t="s">
        <v>2549</v>
      </c>
      <c r="D114" s="3" t="s">
        <v>2550</v>
      </c>
      <c r="E114" s="3" t="s">
        <v>2551</v>
      </c>
      <c r="F114" s="3" t="s">
        <v>2552</v>
      </c>
      <c r="G114" s="3" t="s">
        <v>2553</v>
      </c>
    </row>
    <row r="115" customHeight="1" spans="1:7">
      <c r="A115" s="3" t="s">
        <v>464</v>
      </c>
      <c r="B115" s="3" t="s">
        <v>2554</v>
      </c>
      <c r="C115" s="3" t="s">
        <v>2555</v>
      </c>
      <c r="D115" s="3" t="s">
        <v>2556</v>
      </c>
      <c r="E115" s="3" t="s">
        <v>2557</v>
      </c>
      <c r="F115" s="3" t="s">
        <v>2558</v>
      </c>
      <c r="G115" s="3" t="s">
        <v>2559</v>
      </c>
    </row>
    <row r="116" customHeight="1" spans="1:7">
      <c r="A116" s="3" t="s">
        <v>465</v>
      </c>
      <c r="B116" s="3" t="s">
        <v>2560</v>
      </c>
      <c r="C116" s="3" t="s">
        <v>2561</v>
      </c>
      <c r="D116" s="3" t="s">
        <v>2562</v>
      </c>
      <c r="E116" s="3" t="s">
        <v>2563</v>
      </c>
      <c r="F116" s="36" t="s">
        <v>2564</v>
      </c>
      <c r="G116" s="3" t="s">
        <v>2565</v>
      </c>
    </row>
    <row r="117" customHeight="1" spans="1:7">
      <c r="A117" s="3" t="s">
        <v>466</v>
      </c>
      <c r="B117" s="3" t="s">
        <v>2566</v>
      </c>
      <c r="C117" s="3" t="s">
        <v>2567</v>
      </c>
      <c r="D117" s="3" t="s">
        <v>2568</v>
      </c>
      <c r="E117" s="3" t="s">
        <v>2569</v>
      </c>
      <c r="F117" s="36" t="s">
        <v>2570</v>
      </c>
      <c r="G117" s="3" t="s">
        <v>2571</v>
      </c>
    </row>
    <row r="118" customHeight="1" spans="1:7">
      <c r="A118" s="3" t="s">
        <v>82</v>
      </c>
      <c r="B118" s="3" t="s">
        <v>2572</v>
      </c>
      <c r="C118" s="3" t="s">
        <v>2573</v>
      </c>
      <c r="D118" s="3" t="s">
        <v>2574</v>
      </c>
      <c r="E118" s="3" t="s">
        <v>2575</v>
      </c>
      <c r="F118" s="36" t="s">
        <v>2576</v>
      </c>
      <c r="G118" s="3" t="s">
        <v>2577</v>
      </c>
    </row>
    <row r="119" customHeight="1" spans="1:7">
      <c r="A119" s="3" t="s">
        <v>467</v>
      </c>
      <c r="B119" s="3" t="s">
        <v>2578</v>
      </c>
      <c r="C119" s="3" t="s">
        <v>2579</v>
      </c>
      <c r="D119" s="3" t="s">
        <v>2580</v>
      </c>
      <c r="E119" s="3" t="s">
        <v>2581</v>
      </c>
      <c r="F119" s="36" t="s">
        <v>2582</v>
      </c>
      <c r="G119" s="3" t="s">
        <v>2583</v>
      </c>
    </row>
    <row r="120" customHeight="1" spans="1:7">
      <c r="A120" s="3" t="s">
        <v>468</v>
      </c>
      <c r="B120" s="3" t="s">
        <v>2578</v>
      </c>
      <c r="C120" s="3" t="s">
        <v>2584</v>
      </c>
      <c r="D120" s="3" t="s">
        <v>2585</v>
      </c>
      <c r="E120" s="3" t="s">
        <v>2581</v>
      </c>
      <c r="F120" s="36" t="s">
        <v>2586</v>
      </c>
      <c r="G120" s="3" t="s">
        <v>2583</v>
      </c>
    </row>
    <row r="121" customHeight="1" spans="1:7">
      <c r="A121" s="3" t="s">
        <v>469</v>
      </c>
      <c r="B121" s="3" t="s">
        <v>2587</v>
      </c>
      <c r="C121" s="3" t="s">
        <v>2588</v>
      </c>
      <c r="D121" s="3" t="s">
        <v>2589</v>
      </c>
      <c r="E121" s="3" t="s">
        <v>2590</v>
      </c>
      <c r="F121" s="36" t="s">
        <v>2591</v>
      </c>
      <c r="G121" s="3" t="s">
        <v>2592</v>
      </c>
    </row>
    <row r="122" customHeight="1" spans="1:7">
      <c r="A122" s="3" t="s">
        <v>470</v>
      </c>
      <c r="B122" s="3" t="s">
        <v>2593</v>
      </c>
      <c r="C122" s="3" t="s">
        <v>2594</v>
      </c>
      <c r="D122" s="3" t="s">
        <v>2595</v>
      </c>
      <c r="E122" s="3" t="s">
        <v>2596</v>
      </c>
      <c r="F122" s="36" t="s">
        <v>2597</v>
      </c>
      <c r="G122" s="3" t="s">
        <v>2598</v>
      </c>
    </row>
    <row r="123" customHeight="1" spans="1:7">
      <c r="A123" s="3" t="s">
        <v>471</v>
      </c>
      <c r="B123" s="3" t="s">
        <v>2599</v>
      </c>
      <c r="C123" s="3" t="s">
        <v>2600</v>
      </c>
      <c r="D123" s="3" t="s">
        <v>2601</v>
      </c>
      <c r="E123" s="3" t="s">
        <v>2602</v>
      </c>
      <c r="F123" s="36" t="s">
        <v>2603</v>
      </c>
      <c r="G123" s="3" t="s">
        <v>2604</v>
      </c>
    </row>
    <row r="124" customHeight="1" spans="1:7">
      <c r="A124" s="3" t="s">
        <v>472</v>
      </c>
      <c r="B124" s="3" t="s">
        <v>2605</v>
      </c>
      <c r="C124" s="3" t="s">
        <v>2606</v>
      </c>
      <c r="D124" s="3" t="s">
        <v>2607</v>
      </c>
      <c r="E124" s="3" t="s">
        <v>2608</v>
      </c>
      <c r="F124" s="36" t="s">
        <v>2609</v>
      </c>
      <c r="G124" s="3" t="s">
        <v>2610</v>
      </c>
    </row>
    <row r="125" customHeight="1" spans="1:7">
      <c r="A125" s="3" t="s">
        <v>473</v>
      </c>
      <c r="B125" s="3" t="s">
        <v>2611</v>
      </c>
      <c r="C125" s="3" t="s">
        <v>2612</v>
      </c>
      <c r="D125" s="3" t="s">
        <v>2613</v>
      </c>
      <c r="E125" s="3" t="s">
        <v>2545</v>
      </c>
      <c r="F125" s="36" t="s">
        <v>2614</v>
      </c>
      <c r="G125" s="3" t="s">
        <v>2615</v>
      </c>
    </row>
    <row r="126" customHeight="1" spans="1:7">
      <c r="A126" s="3" t="s">
        <v>474</v>
      </c>
      <c r="B126" s="3" t="s">
        <v>2351</v>
      </c>
      <c r="C126" s="3" t="s">
        <v>2616</v>
      </c>
      <c r="D126" s="3" t="s">
        <v>2617</v>
      </c>
      <c r="E126" s="3" t="s">
        <v>2618</v>
      </c>
      <c r="F126" s="3" t="s">
        <v>2354</v>
      </c>
      <c r="G126" s="3" t="s">
        <v>2355</v>
      </c>
    </row>
    <row r="127" customHeight="1" spans="1:7">
      <c r="A127" s="3" t="s">
        <v>475</v>
      </c>
      <c r="B127" s="3" t="s">
        <v>2619</v>
      </c>
      <c r="C127" s="3" t="s">
        <v>2620</v>
      </c>
      <c r="D127" s="3" t="s">
        <v>2621</v>
      </c>
      <c r="E127" s="3" t="s">
        <v>2622</v>
      </c>
      <c r="F127" s="3" t="s">
        <v>2623</v>
      </c>
      <c r="G127" s="3" t="s">
        <v>2565</v>
      </c>
    </row>
    <row r="128" customHeight="1" spans="1:7">
      <c r="A128" s="3" t="s">
        <v>476</v>
      </c>
      <c r="B128" s="3" t="s">
        <v>2624</v>
      </c>
      <c r="C128" s="3" t="s">
        <v>2625</v>
      </c>
      <c r="D128" s="3" t="s">
        <v>2626</v>
      </c>
      <c r="E128" s="3" t="s">
        <v>2627</v>
      </c>
      <c r="F128" s="3" t="s">
        <v>2628</v>
      </c>
      <c r="G128" s="3" t="s">
        <v>2629</v>
      </c>
    </row>
    <row r="129" customHeight="1" spans="1:7">
      <c r="A129" s="3" t="s">
        <v>477</v>
      </c>
      <c r="B129" s="3" t="s">
        <v>2630</v>
      </c>
      <c r="C129" s="3" t="s">
        <v>2631</v>
      </c>
      <c r="D129" s="3" t="s">
        <v>2632</v>
      </c>
      <c r="E129" s="3" t="s">
        <v>2633</v>
      </c>
      <c r="F129" s="3" t="s">
        <v>2634</v>
      </c>
      <c r="G129" s="3" t="s">
        <v>2635</v>
      </c>
    </row>
    <row r="130" customHeight="1" spans="1:7">
      <c r="A130" s="3" t="s">
        <v>478</v>
      </c>
      <c r="B130" s="3" t="s">
        <v>2636</v>
      </c>
      <c r="C130" s="3" t="s">
        <v>2637</v>
      </c>
      <c r="D130" s="3" t="s">
        <v>2638</v>
      </c>
      <c r="E130" s="3" t="s">
        <v>2639</v>
      </c>
      <c r="F130" s="3" t="s">
        <v>2640</v>
      </c>
      <c r="G130" s="3" t="s">
        <v>2641</v>
      </c>
    </row>
    <row r="131" customHeight="1" spans="1:7">
      <c r="A131" s="3" t="s">
        <v>479</v>
      </c>
      <c r="B131" s="3" t="s">
        <v>2642</v>
      </c>
      <c r="C131" s="3" t="s">
        <v>2643</v>
      </c>
      <c r="D131" s="3" t="s">
        <v>2644</v>
      </c>
      <c r="E131" s="3" t="s">
        <v>2645</v>
      </c>
      <c r="F131" s="3" t="s">
        <v>2646</v>
      </c>
      <c r="G131" s="3" t="s">
        <v>2647</v>
      </c>
    </row>
    <row r="132" customHeight="1" spans="1:7">
      <c r="A132" s="3" t="s">
        <v>480</v>
      </c>
      <c r="B132" s="3" t="s">
        <v>2648</v>
      </c>
      <c r="C132" s="3" t="s">
        <v>2649</v>
      </c>
      <c r="D132" s="3" t="s">
        <v>2650</v>
      </c>
      <c r="E132" s="3" t="s">
        <v>2651</v>
      </c>
      <c r="F132" s="3" t="s">
        <v>2652</v>
      </c>
      <c r="G132" s="3" t="s">
        <v>2653</v>
      </c>
    </row>
    <row r="133" customHeight="1" spans="1:7">
      <c r="A133" s="3" t="s">
        <v>481</v>
      </c>
      <c r="B133" s="3" t="s">
        <v>2654</v>
      </c>
      <c r="C133" s="3" t="s">
        <v>2655</v>
      </c>
      <c r="D133" s="3" t="s">
        <v>2656</v>
      </c>
      <c r="E133" s="3" t="s">
        <v>2657</v>
      </c>
      <c r="F133" s="3" t="s">
        <v>2658</v>
      </c>
      <c r="G133" s="3" t="s">
        <v>2659</v>
      </c>
    </row>
    <row r="134" customHeight="1" spans="1:7">
      <c r="A134" s="3" t="s">
        <v>482</v>
      </c>
      <c r="B134" s="3" t="s">
        <v>2660</v>
      </c>
      <c r="C134" s="3" t="s">
        <v>2661</v>
      </c>
      <c r="D134" s="3" t="s">
        <v>2662</v>
      </c>
      <c r="E134" s="3" t="s">
        <v>2663</v>
      </c>
      <c r="F134" s="3" t="s">
        <v>2664</v>
      </c>
      <c r="G134" s="3" t="s">
        <v>2665</v>
      </c>
    </row>
    <row r="135" customHeight="1" spans="1:7">
      <c r="A135" s="3" t="s">
        <v>483</v>
      </c>
      <c r="B135" s="3" t="s">
        <v>2666</v>
      </c>
      <c r="C135" s="3" t="s">
        <v>2667</v>
      </c>
      <c r="D135" s="3" t="s">
        <v>2668</v>
      </c>
      <c r="E135" s="3" t="s">
        <v>2669</v>
      </c>
      <c r="F135" s="36" t="s">
        <v>2670</v>
      </c>
      <c r="G135" s="3" t="s">
        <v>2671</v>
      </c>
    </row>
    <row r="136" customHeight="1" spans="1:7">
      <c r="A136" s="3" t="s">
        <v>484</v>
      </c>
      <c r="B136" s="3" t="s">
        <v>2672</v>
      </c>
      <c r="C136" s="3" t="s">
        <v>2673</v>
      </c>
      <c r="D136" s="3" t="s">
        <v>2674</v>
      </c>
      <c r="E136" s="3" t="s">
        <v>2675</v>
      </c>
      <c r="F136" s="36" t="s">
        <v>2676</v>
      </c>
      <c r="G136" s="3" t="s">
        <v>2677</v>
      </c>
    </row>
    <row r="137" customHeight="1" spans="1:7">
      <c r="A137" s="3" t="s">
        <v>485</v>
      </c>
      <c r="B137" s="3" t="s">
        <v>2678</v>
      </c>
      <c r="C137" s="3" t="s">
        <v>2679</v>
      </c>
      <c r="D137" s="3" t="s">
        <v>2680</v>
      </c>
      <c r="E137" s="3" t="s">
        <v>2681</v>
      </c>
      <c r="F137" s="36" t="s">
        <v>2682</v>
      </c>
      <c r="G137" s="3" t="s">
        <v>2683</v>
      </c>
    </row>
    <row r="138" customHeight="1" spans="1:7">
      <c r="A138" s="3" t="s">
        <v>486</v>
      </c>
      <c r="B138" s="3" t="s">
        <v>2684</v>
      </c>
      <c r="C138" s="3" t="s">
        <v>2685</v>
      </c>
      <c r="D138" s="3" t="s">
        <v>2686</v>
      </c>
      <c r="E138" s="3" t="s">
        <v>2687</v>
      </c>
      <c r="F138" s="36" t="s">
        <v>2688</v>
      </c>
      <c r="G138" s="3" t="s">
        <v>2689</v>
      </c>
    </row>
    <row r="139" customHeight="1" spans="1:7">
      <c r="A139" s="3" t="s">
        <v>487</v>
      </c>
      <c r="B139" s="3" t="s">
        <v>2690</v>
      </c>
      <c r="C139" s="3" t="s">
        <v>2691</v>
      </c>
      <c r="D139" s="3" t="s">
        <v>2692</v>
      </c>
      <c r="E139" s="3" t="s">
        <v>2693</v>
      </c>
      <c r="F139" s="36" t="s">
        <v>2694</v>
      </c>
      <c r="G139" s="3" t="s">
        <v>2695</v>
      </c>
    </row>
    <row r="140" customHeight="1" spans="1:7">
      <c r="A140" s="3" t="s">
        <v>488</v>
      </c>
      <c r="B140" s="3" t="s">
        <v>2696</v>
      </c>
      <c r="C140" s="3" t="s">
        <v>2697</v>
      </c>
      <c r="D140" s="3" t="s">
        <v>2698</v>
      </c>
      <c r="E140" s="3" t="s">
        <v>2699</v>
      </c>
      <c r="F140" s="36" t="s">
        <v>2700</v>
      </c>
      <c r="G140" s="3" t="s">
        <v>2701</v>
      </c>
    </row>
    <row r="141" customHeight="1" spans="1:7">
      <c r="A141" s="3" t="s">
        <v>489</v>
      </c>
      <c r="B141" s="3" t="s">
        <v>2702</v>
      </c>
      <c r="C141" s="3" t="s">
        <v>2703</v>
      </c>
      <c r="D141" s="3" t="s">
        <v>2704</v>
      </c>
      <c r="E141" s="3" t="s">
        <v>2497</v>
      </c>
      <c r="F141" s="36" t="s">
        <v>2705</v>
      </c>
      <c r="G141" s="3" t="s">
        <v>2706</v>
      </c>
    </row>
    <row r="142" customHeight="1" spans="1:7">
      <c r="A142" s="3" t="s">
        <v>490</v>
      </c>
      <c r="B142" s="3" t="s">
        <v>2707</v>
      </c>
      <c r="C142" s="3" t="s">
        <v>2708</v>
      </c>
      <c r="D142" s="3" t="s">
        <v>2709</v>
      </c>
      <c r="E142" s="3" t="s">
        <v>2710</v>
      </c>
      <c r="F142" s="36" t="s">
        <v>2711</v>
      </c>
      <c r="G142" s="3" t="s">
        <v>2712</v>
      </c>
    </row>
  </sheetData>
  <hyperlinks>
    <hyperlink ref="F2" r:id="rId1" display="https://www.freepik.com/free-photos-vectors/loneliness"/>
    <hyperlink ref="F3" r:id="rId2" display="https://www.freepik.com/free-photos-vectors/storm-cloud"/>
    <hyperlink ref="F4" r:id="rId3" display="https://www.freepik.com/free-photos-vectors/surprised"/>
    <hyperlink ref="F5" r:id="rId4" display="https://www.freepik.com/free-photos-vectors/criminal"/>
    <hyperlink ref="F6" r:id="rId5" display="https://www.dreamstime.com/photos-images/man-sleeping-hammock.html"/>
    <hyperlink ref="F7" r:id="rId6" display="https://www.freepik.com/free-photos-vectors/disgusted"/>
    <hyperlink ref="F8" r:id="rId7" display="https://www.freepik.com/free-photos-vectors/holding-nose"/>
    <hyperlink ref="F9" r:id="rId8" display="https://www.pexels.com/photo/photo-of-a-person-sitting-on-the-floor-with-her-hands-on-her-head-6951513/"/>
    <hyperlink ref="F10" r:id="rId9" display="https://www.freepik.com/free-photos-vectors/ripped-paper"/>
    <hyperlink ref="F11" r:id="rId10" display="https://www.freepik.com/free-photos-vectors/forest: https://www.freepik.com/free-photos-vectors/forest"/>
    <hyperlink ref="F12" r:id="rId11" display="https://www.freepik.com/free-photos-vectors/sandpaper: https://www.freepik.com/free-photos-vectors/sandpaper"/>
    <hyperlink ref="F13" r:id="rId12" display="https://www.freepik.com/free-photos-vectors/newspaper: https://www.freepik.com/free-photos-vectors/newspaper"/>
    <hyperlink ref="F14" r:id="rId13" display="https://www.freepik.com/free-photos-vectors/cut: https://www.freepik.com/free-photos-vectors/cut"/>
    <hyperlink ref="F15" r:id="rId14" display="https://www.freepik.com/free-photos-vectors/law: https://www.freepik.com/free-photos-vectors/law"/>
    <hyperlink ref="F16" r:id="rId15" display="https://www.freepik.com/free-photos-vectors/thief: https://www.freepik.com/free-photos-vectors/thief"/>
    <hyperlink ref="F17" r:id="rId16" display="https://www.freepik.com/free-photos-vectors/thinking: https://www.freepik.com/free-photos-vectors/thinking"/>
    <hyperlink ref="F18" r:id="rId17" display="https://www.freepik.com/free-photos-vectors/brain: https://www.freepik.com/free-photos-vectors/brain"/>
    <hyperlink ref="F19" r:id="rId18" display="https://www.freepik.com/free-photos-vectors/painting: https://www.freepik.com/free-photos-vectors/painting"/>
    <hyperlink ref="F20" r:id="rId19" display="https://www.freepik.com/free-photos-vectors/question-mark: https://www.freepik.com/free-photos-vectors/question-mark"/>
    <hyperlink ref="F21" r:id="rId20" display="https://www.freepik.com/free-photos-vectors/highlight"/>
    <hyperlink ref="F22" r:id="rId21" display="https://arrowlift.com/blog/how-to-make-stairs-handicap-accessible/"/>
    <hyperlink ref="F23" r:id="rId22" display="https://www.freepik.com/free-photos-vectors/recognition-award"/>
    <hyperlink ref="F24" r:id="rId23" display="https://www.freepik.com/free-photos-vectors/trophy-award"/>
    <hyperlink ref="F25" r:id="rId24" display="https://www.freepik.com/free-photos-vectors/handshake-agreement"/>
    <hyperlink ref="F26" r:id="rId25" display="https://www.freepik.com/free-photos-vectors/angry-woman-face"/>
    <hyperlink ref="F27" r:id="rId26" display="https://www.freepik.com/free-photos-vectors/student-learning"/>
    <hyperlink ref="F28" r:id="rId27" display="https://www.freepik.com/free-photos-vectors/person-shrugging"/>
    <hyperlink ref="F29" r:id="rId28" display="https://www.freepik.com/free-photos-vectors/people-holding-money"/>
    <hyperlink ref="F30" r:id="rId29" display="https://www.freepik.com/free-photos-vectors/people-arguing"/>
    <hyperlink ref="F31" r:id="rId30" display="https://www.freepik.com/free-photos-vectors/protestors-holding-signs"/>
    <hyperlink ref="F32" r:id="rId31" display="https://www.istockphoto.com/illustrations/light-bulb-white-background"/>
    <hyperlink ref="F33" r:id="rId32" display="https://www.freepik.com/free-photos-vectors/high-temperature"/>
    <hyperlink ref="F34" r:id="rId33" display="https://www.freepik.com/free-photos-vectors/woman-playing-violin"/>
    <hyperlink ref="F35" r:id="rId34" display="https://www.freepik.com/free-photos-vectors/praying-hands"/>
    <hyperlink ref="F36" r:id="rId35" display="https://www.freepik.com/free-photos-vectors/brainstorming-ideas"/>
    <hyperlink ref="F37" r:id="rId36" display="https://www.freepik.com/vectors/upset-child"/>
    <hyperlink ref="F38" r:id="rId37" display="https://www.freepik.com/free-photos-vectors/surgery-room"/>
    <hyperlink ref="F39" r:id="rId38" display="https://www.freepik.com/free-photos-vectors/cheering-crowd"/>
    <hyperlink ref="F40" r:id="rId39" display="https://www.istockphoto.com/photos/warning-label-bottle"/>
    <hyperlink ref="F41" r:id="rId40" display="https://pixabay.com/images/search/storm%20clouds/"/>
    <hyperlink ref="F42" r:id="rId41" display="https://www.freepik.com/free-photos-vectors/people-rally"/>
    <hyperlink ref="F43" r:id="rId42" display="https://pixabay.com/images/search/sunset/"/>
    <hyperlink ref="F44" r:id="rId43" display="https://www.freepik.com/free-photos-vectors/smiling-people"/>
    <hyperlink ref="F45" r:id="rId44" display="https://pixabay.com/images/search/butterfly%20wings/"/>
    <hyperlink ref="F46" r:id="rId45" display="https://www.freepik.com/free-photos-vectors/person-posing"/>
    <hyperlink ref="F47" r:id="rId46" display="https://www.istockphoto.com/photos/dog-and-cat-cuddling"/>
    <hyperlink ref="F48" r:id="rId47" display="https://pixabay.com/images/search/pool%20house/"/>
    <hyperlink ref="F49" r:id="rId48" display="https://www.freepik.com/free-photos-vectors/crossed-arms"/>
    <hyperlink ref="F50" r:id="rId49" display="https://www.dreamstime.com/photos-images/person-standing-pedestal.html"/>
    <hyperlink ref="F51" r:id="rId50" display="https://www.dreamstime.com/photos-images/surprised-shocked-woman-face-open-mouth.html"/>
    <hyperlink ref="F52" r:id="rId51" display="https://www.freepik.com/free-photos-vectors/people-shouting"/>
    <hyperlink ref="F53" r:id="rId52" display="https://www.freepik.com/free-photos-vectors/two-people-shaking-hands"/>
    <hyperlink ref="F54" r:id="rId53" display="https://www.dreamstime.com/photos-images/dusty-books-shelf.html"/>
    <hyperlink ref="F55" r:id="rId54" display="https://www.freepik.com/premium-vector/happy-man-running-park_4868015.htm"/>
    <hyperlink ref="F56" r:id="rId55" display="https://www.freepik.com/free-photos-vectors/two-people-standing"/>
    <hyperlink ref="F57" r:id="rId56" display="https://pixabay.com/images/search/world%20globe/"/>
    <hyperlink ref="F58" r:id="rId57" display="https://en.wikipedia.org/wiki/August_Leu"/>
    <hyperlink ref="F59" r:id="rId58" display="https://www.freepik.com/free-photos-vectors/doctor-and-patient"/>
    <hyperlink ref="F60" r:id="rId19" display="https://www.freepik.com/free-photos-vectors/question-mark"/>
    <hyperlink ref="F70" r:id="rId59" display="https://www.freepik.com/free-photos-vectors/two-people-laughing"/>
    <hyperlink ref="F71" r:id="rId60" display="https://www.microscopemaster.com/amoeba-under-the-microscope.html"/>
    <hyperlink ref="F72" r:id="rId61" display="https://www.freepik.com/free-photos-vectors/audience-laughing"/>
    <hyperlink ref="F73" r:id="rId62" display="https://pixabay.com/images/search/medieval%20knights/"/>
    <hyperlink ref="F74" r:id="rId63" display="https://pixabay.com/images/search/typewriter/"/>
    <hyperlink ref="F75" r:id="rId64" display="https://pixabay.com/images/search/shepherd%20sheep/"/>
    <hyperlink ref="F76" r:id="rId65" display="https://www.freepik.com/free-photos-vectors/storytelling"/>
    <hyperlink ref="F77" r:id="rId66" display="https://www.freepik.com/free-photos-vectors/two-people-arguing"/>
    <hyperlink ref="F78" r:id="rId67" display="https://www.freepik.com/free-photos-vectors/angry-yelling"/>
    <hyperlink ref="F116" r:id="rId68" display="https://www.freepik.com/free-photos-vectors/assertive"/>
    <hyperlink ref="F117" r:id="rId69" display="https://www.shutterstock.com/search/assiduous"/>
    <hyperlink ref="F118" r:id="rId70" display="https://www.freepik.com/free-photos-vectors/assent"/>
    <hyperlink ref="F119" r:id="rId71" display="https://www.freepik.com/free-photos-vectors/astonished"/>
    <hyperlink ref="F120" r:id="rId72" display="https://www.freepik.com/free-photos-vectors/astounded"/>
    <hyperlink ref="F121" r:id="rId73" display="https://www.gettyimages.com/photos/astringent-fruit"/>
    <hyperlink ref="F122" r:id="rId74" display="https://www.freepik.com/free-photos-vectors/astute"/>
    <hyperlink ref="F123" r:id="rId75" display="https://www.freepik.com/free-photos-vectors/placeholder-person"/>
    <hyperlink ref="F124" r:id="rId76" display="https://www.merriam-webster.com/dictionary/attenuate"/>
    <hyperlink ref="F125" r:id="rId77" display="https://support.freepik.com/s/article/Attribution-How-when-and-where?language=en_US"/>
    <hyperlink ref="F135" r:id="rId78" display="https://www.sefe-mt.com/careers/blog/how-to-form-a-workplace-support-system-advice-and-benefits/"/>
    <hyperlink ref="F136" r:id="rId79" display="https://www.freepik.com/free-photos-vectors/greed"/>
    <hyperlink ref="F137" r:id="rId80" display="https://www.freepik.com/free-photos-vectors/stingy"/>
    <hyperlink ref="F138" r:id="rId81" display="https://www.freepik.com/free-photos-vectors/courtroom"/>
    <hyperlink ref="F139" r:id="rId82" display="https://www.freepik.com/free-photos-vectors/spider"/>
    <hyperlink ref="F140" r:id="rId83" display="https://www.freepik.com/free-photos-vectors/firefighter"/>
    <hyperlink ref="F141" r:id="rId84" display="https://www.freepik.com/vectors/person-reading-book"/>
    <hyperlink ref="F142" r:id="rId85" display="https://www.freepik.com/free-photos-vectors/science-equation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548"/>
  <sheetViews>
    <sheetView workbookViewId="0">
      <pane ySplit="1" topLeftCell="A2" activePane="bottomLeft" state="frozen"/>
      <selection/>
      <selection pane="bottomLeft" activeCell="B3" sqref="B3"/>
    </sheetView>
  </sheetViews>
  <sheetFormatPr defaultColWidth="12.6296296296296" defaultRowHeight="15.75" customHeight="1" outlineLevelCol="1"/>
  <sheetData>
    <row r="1" customHeight="1" spans="1:2">
      <c r="A1" s="32"/>
      <c r="B1" s="32" t="s">
        <v>2713</v>
      </c>
    </row>
    <row r="2" customHeight="1" spans="1:2">
      <c r="A2" s="3" t="s">
        <v>2714</v>
      </c>
      <c r="B2" s="3" t="s">
        <v>2715</v>
      </c>
    </row>
    <row r="3" customHeight="1" spans="1:2">
      <c r="A3" s="3" t="s">
        <v>375</v>
      </c>
      <c r="B3" s="3" t="s">
        <v>2716</v>
      </c>
    </row>
    <row r="4" customHeight="1" spans="1:2">
      <c r="A4" s="3" t="s">
        <v>376</v>
      </c>
      <c r="B4" s="3" t="s">
        <v>2717</v>
      </c>
    </row>
    <row r="5" customHeight="1" spans="1:2">
      <c r="A5" s="3" t="s">
        <v>377</v>
      </c>
      <c r="B5" s="3" t="s">
        <v>2716</v>
      </c>
    </row>
    <row r="6" customHeight="1" spans="1:2">
      <c r="A6" s="3" t="s">
        <v>378</v>
      </c>
      <c r="B6" s="3" t="s">
        <v>2716</v>
      </c>
    </row>
    <row r="7" customHeight="1" spans="1:2">
      <c r="A7" s="3" t="s">
        <v>2718</v>
      </c>
      <c r="B7" s="3" t="s">
        <v>2717</v>
      </c>
    </row>
    <row r="8" customHeight="1" spans="1:2">
      <c r="A8" s="3" t="s">
        <v>16</v>
      </c>
      <c r="B8" s="3" t="s">
        <v>2716</v>
      </c>
    </row>
    <row r="9" customHeight="1" spans="1:2">
      <c r="A9" s="3" t="s">
        <v>380</v>
      </c>
      <c r="B9" s="3" t="s">
        <v>2719</v>
      </c>
    </row>
    <row r="10" customHeight="1" spans="1:2">
      <c r="A10" s="3" t="s">
        <v>381</v>
      </c>
      <c r="B10" s="3" t="s">
        <v>2716</v>
      </c>
    </row>
    <row r="11" customHeight="1" spans="1:2">
      <c r="A11" s="3" t="s">
        <v>383</v>
      </c>
      <c r="B11" s="3" t="s">
        <v>2715</v>
      </c>
    </row>
    <row r="12" customHeight="1" spans="1:2">
      <c r="A12" s="3" t="s">
        <v>39</v>
      </c>
      <c r="B12" s="3" t="s">
        <v>2719</v>
      </c>
    </row>
    <row r="13" customHeight="1" spans="1:2">
      <c r="A13" s="3" t="s">
        <v>2720</v>
      </c>
      <c r="B13" s="3" t="s">
        <v>2717</v>
      </c>
    </row>
    <row r="14" customHeight="1" spans="1:2">
      <c r="A14" s="3" t="s">
        <v>386</v>
      </c>
      <c r="B14" s="3" t="s">
        <v>2721</v>
      </c>
    </row>
    <row r="15" customHeight="1" spans="1:2">
      <c r="A15" s="3" t="s">
        <v>387</v>
      </c>
      <c r="B15" s="3" t="s">
        <v>2717</v>
      </c>
    </row>
    <row r="16" customHeight="1" spans="1:2">
      <c r="A16" s="3" t="s">
        <v>298</v>
      </c>
      <c r="B16" s="3" t="s">
        <v>2721</v>
      </c>
    </row>
    <row r="17" customHeight="1" spans="1:2">
      <c r="A17" s="3" t="s">
        <v>306</v>
      </c>
      <c r="B17" s="3" t="s">
        <v>2716</v>
      </c>
    </row>
    <row r="18" customHeight="1" spans="1:2">
      <c r="A18" s="3" t="s">
        <v>389</v>
      </c>
      <c r="B18" s="3" t="s">
        <v>2717</v>
      </c>
    </row>
    <row r="19" customHeight="1" spans="1:2">
      <c r="A19" s="3" t="s">
        <v>327</v>
      </c>
      <c r="B19" s="3" t="s">
        <v>2719</v>
      </c>
    </row>
    <row r="20" customHeight="1" spans="1:2">
      <c r="A20" s="3" t="s">
        <v>348</v>
      </c>
      <c r="B20" s="3" t="s">
        <v>2717</v>
      </c>
    </row>
    <row r="21" customHeight="1" spans="1:2">
      <c r="A21" s="3" t="s">
        <v>2722</v>
      </c>
      <c r="B21" s="3" t="s">
        <v>2716</v>
      </c>
    </row>
    <row r="22" customHeight="1" spans="1:2">
      <c r="A22" s="3" t="s">
        <v>355</v>
      </c>
      <c r="B22" s="3" t="s">
        <v>2723</v>
      </c>
    </row>
    <row r="23" customHeight="1" spans="1:2">
      <c r="A23" s="3" t="s">
        <v>355</v>
      </c>
      <c r="B23" s="3" t="s">
        <v>2717</v>
      </c>
    </row>
    <row r="24" customHeight="1" spans="1:2">
      <c r="A24" s="3" t="s">
        <v>400</v>
      </c>
      <c r="B24" s="3" t="s">
        <v>2717</v>
      </c>
    </row>
    <row r="25" customHeight="1" spans="1:2">
      <c r="A25" s="3" t="s">
        <v>53</v>
      </c>
      <c r="B25" s="3" t="s">
        <v>2717</v>
      </c>
    </row>
    <row r="26" customHeight="1" spans="1:2">
      <c r="A26" s="3" t="s">
        <v>411</v>
      </c>
      <c r="B26" s="3" t="s">
        <v>2717</v>
      </c>
    </row>
    <row r="27" customHeight="1" spans="1:2">
      <c r="A27" s="3" t="s">
        <v>414</v>
      </c>
      <c r="B27" s="3" t="s">
        <v>2717</v>
      </c>
    </row>
    <row r="28" customHeight="1" spans="1:2">
      <c r="A28" s="3" t="s">
        <v>415</v>
      </c>
      <c r="B28" s="3" t="s">
        <v>2721</v>
      </c>
    </row>
    <row r="29" customHeight="1" spans="1:2">
      <c r="A29" s="3" t="s">
        <v>416</v>
      </c>
      <c r="B29" s="3" t="s">
        <v>2715</v>
      </c>
    </row>
    <row r="30" customHeight="1" spans="1:2">
      <c r="A30" s="3" t="s">
        <v>2724</v>
      </c>
      <c r="B30" s="3" t="s">
        <v>2715</v>
      </c>
    </row>
    <row r="31" customHeight="1" spans="1:2">
      <c r="A31" s="3" t="s">
        <v>421</v>
      </c>
      <c r="B31" s="3" t="s">
        <v>2717</v>
      </c>
    </row>
    <row r="32" customHeight="1" spans="1:2">
      <c r="A32" s="3" t="s">
        <v>422</v>
      </c>
      <c r="B32" s="3" t="s">
        <v>2717</v>
      </c>
    </row>
    <row r="33" customHeight="1" spans="1:2">
      <c r="A33" s="3" t="s">
        <v>2725</v>
      </c>
      <c r="B33" s="3" t="s">
        <v>2717</v>
      </c>
    </row>
    <row r="34" customHeight="1" spans="1:2">
      <c r="A34" s="3" t="s">
        <v>423</v>
      </c>
      <c r="B34" s="3" t="s">
        <v>2715</v>
      </c>
    </row>
    <row r="35" customHeight="1" spans="1:2">
      <c r="A35" s="3" t="s">
        <v>425</v>
      </c>
      <c r="B35" s="3" t="s">
        <v>2715</v>
      </c>
    </row>
    <row r="36" customHeight="1" spans="1:2">
      <c r="A36" s="3" t="s">
        <v>2726</v>
      </c>
      <c r="B36" s="3" t="s">
        <v>2716</v>
      </c>
    </row>
    <row r="37" customHeight="1" spans="1:2">
      <c r="A37" s="3" t="s">
        <v>2727</v>
      </c>
      <c r="B37" s="3" t="s">
        <v>2728</v>
      </c>
    </row>
    <row r="38" customHeight="1" spans="1:2">
      <c r="A38" s="3" t="s">
        <v>428</v>
      </c>
      <c r="B38" s="3" t="s">
        <v>2716</v>
      </c>
    </row>
    <row r="39" customHeight="1" spans="1:2">
      <c r="A39" s="3" t="s">
        <v>2729</v>
      </c>
      <c r="B39" s="3" t="s">
        <v>2717</v>
      </c>
    </row>
    <row r="40" customHeight="1" spans="1:2">
      <c r="A40" s="3" t="s">
        <v>68</v>
      </c>
      <c r="B40" s="3" t="s">
        <v>2715</v>
      </c>
    </row>
    <row r="41" customHeight="1" spans="1:2">
      <c r="A41" s="3" t="s">
        <v>435</v>
      </c>
      <c r="B41" s="3" t="s">
        <v>2716</v>
      </c>
    </row>
    <row r="42" customHeight="1" spans="1:2">
      <c r="A42" s="3" t="s">
        <v>2730</v>
      </c>
      <c r="B42" s="3" t="s">
        <v>2715</v>
      </c>
    </row>
    <row r="43" customHeight="1" spans="1:2">
      <c r="A43" s="3" t="s">
        <v>438</v>
      </c>
      <c r="B43" s="3" t="s">
        <v>2716</v>
      </c>
    </row>
    <row r="44" customHeight="1" spans="1:2">
      <c r="A44" s="3" t="s">
        <v>2731</v>
      </c>
      <c r="B44" s="3" t="s">
        <v>2719</v>
      </c>
    </row>
    <row r="45" customHeight="1" spans="1:2">
      <c r="A45" s="3" t="s">
        <v>2732</v>
      </c>
      <c r="B45" s="3" t="s">
        <v>2716</v>
      </c>
    </row>
    <row r="46" customHeight="1" spans="1:2">
      <c r="A46" s="3" t="s">
        <v>2733</v>
      </c>
      <c r="B46" s="3" t="s">
        <v>2717</v>
      </c>
    </row>
    <row r="47" customHeight="1" spans="1:2">
      <c r="A47" s="3" t="s">
        <v>450</v>
      </c>
      <c r="B47" s="3" t="s">
        <v>2717</v>
      </c>
    </row>
    <row r="48" customHeight="1" spans="1:2">
      <c r="A48" s="3" t="s">
        <v>452</v>
      </c>
      <c r="B48" s="3" t="s">
        <v>2715</v>
      </c>
    </row>
    <row r="49" customHeight="1" spans="1:2">
      <c r="A49" s="3" t="s">
        <v>452</v>
      </c>
      <c r="B49" s="3" t="s">
        <v>2715</v>
      </c>
    </row>
    <row r="50" customHeight="1" spans="1:2">
      <c r="A50" s="3" t="s">
        <v>453</v>
      </c>
      <c r="B50" s="3" t="s">
        <v>2715</v>
      </c>
    </row>
    <row r="51" customHeight="1" spans="1:2">
      <c r="A51" s="3" t="s">
        <v>455</v>
      </c>
      <c r="B51" s="3" t="s">
        <v>2717</v>
      </c>
    </row>
    <row r="52" customHeight="1" spans="1:2">
      <c r="A52" s="3" t="s">
        <v>458</v>
      </c>
      <c r="B52" s="3" t="s">
        <v>2719</v>
      </c>
    </row>
    <row r="53" customHeight="1" spans="1:2">
      <c r="A53" s="3" t="s">
        <v>2734</v>
      </c>
      <c r="B53" s="3" t="s">
        <v>2717</v>
      </c>
    </row>
    <row r="54" customHeight="1" spans="1:2">
      <c r="A54" s="3" t="s">
        <v>82</v>
      </c>
      <c r="B54" s="3" t="s">
        <v>2717</v>
      </c>
    </row>
    <row r="55" customHeight="1" spans="1:2">
      <c r="A55" s="3" t="s">
        <v>469</v>
      </c>
      <c r="B55" s="3" t="s">
        <v>2716</v>
      </c>
    </row>
    <row r="56" customHeight="1" spans="1:2">
      <c r="A56" s="3" t="s">
        <v>470</v>
      </c>
      <c r="B56" s="3" t="s">
        <v>2717</v>
      </c>
    </row>
    <row r="57" customHeight="1" spans="1:2">
      <c r="A57" s="3" t="s">
        <v>475</v>
      </c>
      <c r="B57" s="3" t="s">
        <v>2717</v>
      </c>
    </row>
    <row r="58" customHeight="1" spans="1:2">
      <c r="A58" s="3" t="s">
        <v>480</v>
      </c>
      <c r="B58" s="3" t="s">
        <v>2716</v>
      </c>
    </row>
    <row r="59" customHeight="1" spans="1:2">
      <c r="A59" s="3" t="s">
        <v>2735</v>
      </c>
      <c r="B59" s="3" t="s">
        <v>2717</v>
      </c>
    </row>
    <row r="60" customHeight="1" spans="1:2">
      <c r="A60" s="3" t="s">
        <v>487</v>
      </c>
      <c r="B60" s="3" t="s">
        <v>2716</v>
      </c>
    </row>
    <row r="61" customHeight="1" spans="1:2">
      <c r="A61" s="3" t="s">
        <v>487</v>
      </c>
      <c r="B61" s="3" t="s">
        <v>2716</v>
      </c>
    </row>
    <row r="62" customHeight="1" spans="1:2">
      <c r="A62" s="3" t="s">
        <v>2736</v>
      </c>
      <c r="B62" s="3" t="s">
        <v>2728</v>
      </c>
    </row>
    <row r="63" customHeight="1" spans="1:2">
      <c r="A63" s="3" t="s">
        <v>493</v>
      </c>
      <c r="B63" s="3" t="s">
        <v>2716</v>
      </c>
    </row>
    <row r="64" customHeight="1" spans="1:2">
      <c r="A64" s="3" t="s">
        <v>494</v>
      </c>
      <c r="B64" s="3" t="s">
        <v>2716</v>
      </c>
    </row>
    <row r="65" customHeight="1" spans="1:2">
      <c r="A65" s="3" t="s">
        <v>498</v>
      </c>
      <c r="B65" s="3" t="s">
        <v>2716</v>
      </c>
    </row>
    <row r="66" customHeight="1" spans="1:2">
      <c r="A66" s="3" t="s">
        <v>503</v>
      </c>
      <c r="B66" s="3" t="s">
        <v>2721</v>
      </c>
    </row>
    <row r="67" customHeight="1" spans="1:2">
      <c r="A67" s="3" t="s">
        <v>505</v>
      </c>
      <c r="B67" s="3" t="s">
        <v>2716</v>
      </c>
    </row>
    <row r="68" customHeight="1" spans="1:2">
      <c r="A68" s="3" t="s">
        <v>507</v>
      </c>
      <c r="B68" s="3" t="s">
        <v>2716</v>
      </c>
    </row>
    <row r="69" customHeight="1" spans="1:2">
      <c r="A69" s="3" t="s">
        <v>2737</v>
      </c>
      <c r="B69" s="3" t="s">
        <v>2716</v>
      </c>
    </row>
    <row r="70" customHeight="1" spans="1:2">
      <c r="A70" s="3" t="s">
        <v>509</v>
      </c>
      <c r="B70" s="3" t="s">
        <v>2716</v>
      </c>
    </row>
    <row r="71" customHeight="1" spans="1:2">
      <c r="A71" s="3" t="s">
        <v>512</v>
      </c>
      <c r="B71" s="3" t="s">
        <v>2717</v>
      </c>
    </row>
    <row r="72" customHeight="1" spans="1:2">
      <c r="A72" s="3" t="s">
        <v>513</v>
      </c>
      <c r="B72" s="3" t="s">
        <v>2717</v>
      </c>
    </row>
    <row r="73" customHeight="1" spans="1:2">
      <c r="A73" s="3" t="s">
        <v>2738</v>
      </c>
      <c r="B73" s="3" t="s">
        <v>2717</v>
      </c>
    </row>
    <row r="74" customHeight="1" spans="1:2">
      <c r="A74" s="3" t="s">
        <v>515</v>
      </c>
      <c r="B74" s="3" t="s">
        <v>2716</v>
      </c>
    </row>
    <row r="75" customHeight="1" spans="1:2">
      <c r="A75" s="3" t="s">
        <v>2739</v>
      </c>
      <c r="B75" s="3" t="s">
        <v>2716</v>
      </c>
    </row>
    <row r="76" customHeight="1" spans="1:2">
      <c r="A76" s="3" t="s">
        <v>2740</v>
      </c>
      <c r="B76" s="3" t="s">
        <v>2716</v>
      </c>
    </row>
    <row r="77" customHeight="1" spans="1:2">
      <c r="A77" s="3" t="s">
        <v>520</v>
      </c>
      <c r="B77" s="3" t="s">
        <v>2716</v>
      </c>
    </row>
    <row r="78" customHeight="1" spans="1:2">
      <c r="A78" s="3" t="s">
        <v>89</v>
      </c>
      <c r="B78" s="3" t="s">
        <v>2717</v>
      </c>
    </row>
    <row r="79" customHeight="1" spans="1:2">
      <c r="A79" s="3" t="s">
        <v>526</v>
      </c>
      <c r="B79" s="3" t="s">
        <v>2716</v>
      </c>
    </row>
    <row r="80" customHeight="1" spans="1:2">
      <c r="A80" s="3" t="s">
        <v>533</v>
      </c>
      <c r="B80" s="3" t="s">
        <v>2728</v>
      </c>
    </row>
    <row r="81" customHeight="1" spans="1:2">
      <c r="A81" s="3" t="s">
        <v>537</v>
      </c>
      <c r="B81" s="3" t="s">
        <v>2717</v>
      </c>
    </row>
    <row r="82" customHeight="1" spans="1:2">
      <c r="A82" s="3" t="s">
        <v>545</v>
      </c>
      <c r="B82" s="3" t="s">
        <v>2717</v>
      </c>
    </row>
    <row r="83" customHeight="1" spans="1:2">
      <c r="A83" s="3" t="s">
        <v>548</v>
      </c>
      <c r="B83" s="3" t="s">
        <v>2716</v>
      </c>
    </row>
    <row r="84" customHeight="1" spans="1:2">
      <c r="A84" s="3" t="s">
        <v>549</v>
      </c>
      <c r="B84" s="3" t="s">
        <v>2716</v>
      </c>
    </row>
    <row r="85" customHeight="1" spans="1:2">
      <c r="A85" s="3" t="s">
        <v>553</v>
      </c>
      <c r="B85" s="3" t="s">
        <v>2719</v>
      </c>
    </row>
    <row r="86" customHeight="1" spans="1:2">
      <c r="A86" s="3" t="s">
        <v>553</v>
      </c>
      <c r="B86" s="3" t="s">
        <v>2719</v>
      </c>
    </row>
    <row r="87" customHeight="1" spans="1:2">
      <c r="A87" s="3" t="s">
        <v>556</v>
      </c>
      <c r="B87" s="3" t="s">
        <v>2716</v>
      </c>
    </row>
    <row r="88" customHeight="1" spans="1:2">
      <c r="A88" s="3" t="s">
        <v>96</v>
      </c>
      <c r="B88" s="3" t="s">
        <v>2716</v>
      </c>
    </row>
    <row r="89" customHeight="1" spans="1:2">
      <c r="A89" s="3" t="s">
        <v>565</v>
      </c>
      <c r="B89" s="3" t="s">
        <v>2716</v>
      </c>
    </row>
    <row r="90" customHeight="1" spans="1:2">
      <c r="A90" s="3" t="s">
        <v>565</v>
      </c>
      <c r="B90" s="3" t="s">
        <v>2716</v>
      </c>
    </row>
    <row r="91" customHeight="1" spans="1:2">
      <c r="A91" s="3" t="s">
        <v>2741</v>
      </c>
      <c r="B91" s="3" t="s">
        <v>2717</v>
      </c>
    </row>
    <row r="92" customHeight="1" spans="1:2">
      <c r="A92" s="3" t="s">
        <v>569</v>
      </c>
      <c r="B92" s="3" t="s">
        <v>2716</v>
      </c>
    </row>
    <row r="93" customHeight="1" spans="1:2">
      <c r="A93" s="3" t="s">
        <v>572</v>
      </c>
      <c r="B93" s="3" t="s">
        <v>2716</v>
      </c>
    </row>
    <row r="94" customHeight="1" spans="1:2">
      <c r="A94" s="3" t="s">
        <v>581</v>
      </c>
      <c r="B94" s="3" t="s">
        <v>2716</v>
      </c>
    </row>
    <row r="95" customHeight="1" spans="1:2">
      <c r="A95" s="3" t="s">
        <v>584</v>
      </c>
      <c r="B95" s="3" t="s">
        <v>2719</v>
      </c>
    </row>
    <row r="96" customHeight="1" spans="1:2">
      <c r="A96" s="3" t="s">
        <v>2742</v>
      </c>
      <c r="B96" s="3" t="s">
        <v>2717</v>
      </c>
    </row>
    <row r="97" customHeight="1" spans="1:2">
      <c r="A97" s="3" t="s">
        <v>2743</v>
      </c>
      <c r="B97" s="3" t="s">
        <v>2717</v>
      </c>
    </row>
    <row r="98" customHeight="1" spans="1:2">
      <c r="A98" s="3" t="s">
        <v>595</v>
      </c>
      <c r="B98" s="3" t="s">
        <v>2721</v>
      </c>
    </row>
    <row r="99" customHeight="1" spans="1:2">
      <c r="A99" s="3" t="s">
        <v>598</v>
      </c>
      <c r="B99" s="3" t="s">
        <v>2716</v>
      </c>
    </row>
    <row r="100" customHeight="1" spans="1:2">
      <c r="A100" s="3" t="s">
        <v>599</v>
      </c>
      <c r="B100" s="3" t="s">
        <v>2719</v>
      </c>
    </row>
    <row r="101" customHeight="1" spans="1:2">
      <c r="A101" s="3" t="s">
        <v>2744</v>
      </c>
      <c r="B101" s="3" t="s">
        <v>2717</v>
      </c>
    </row>
    <row r="102" customHeight="1" spans="1:2">
      <c r="A102" s="3" t="s">
        <v>2745</v>
      </c>
      <c r="B102" s="3" t="s">
        <v>2716</v>
      </c>
    </row>
    <row r="103" customHeight="1" spans="1:2">
      <c r="A103" s="3" t="s">
        <v>2746</v>
      </c>
      <c r="B103" s="3" t="s">
        <v>2716</v>
      </c>
    </row>
    <row r="104" customHeight="1" spans="1:2">
      <c r="A104" s="3" t="s">
        <v>629</v>
      </c>
      <c r="B104" s="3" t="s">
        <v>2719</v>
      </c>
    </row>
    <row r="105" customHeight="1" spans="1:2">
      <c r="A105" s="3" t="s">
        <v>2747</v>
      </c>
      <c r="B105" s="3" t="s">
        <v>2719</v>
      </c>
    </row>
    <row r="106" customHeight="1" spans="1:2">
      <c r="A106" s="3" t="s">
        <v>2748</v>
      </c>
      <c r="B106" s="3" t="s">
        <v>2721</v>
      </c>
    </row>
    <row r="107" customHeight="1" spans="1:2">
      <c r="A107" s="3" t="s">
        <v>636</v>
      </c>
      <c r="B107" s="3" t="s">
        <v>2721</v>
      </c>
    </row>
    <row r="108" customHeight="1" spans="1:2">
      <c r="A108" s="3" t="s">
        <v>103</v>
      </c>
      <c r="B108" s="3" t="s">
        <v>2715</v>
      </c>
    </row>
    <row r="109" customHeight="1" spans="1:2">
      <c r="A109" s="3" t="s">
        <v>2749</v>
      </c>
      <c r="B109" s="3" t="s">
        <v>2719</v>
      </c>
    </row>
    <row r="110" customHeight="1" spans="1:2">
      <c r="A110" s="3" t="s">
        <v>2750</v>
      </c>
      <c r="B110" s="3" t="s">
        <v>2719</v>
      </c>
    </row>
    <row r="111" customHeight="1" spans="1:2">
      <c r="A111" s="3" t="s">
        <v>689</v>
      </c>
      <c r="B111" s="3" t="s">
        <v>2719</v>
      </c>
    </row>
    <row r="112" customHeight="1" spans="1:2">
      <c r="A112" s="3" t="s">
        <v>695</v>
      </c>
      <c r="B112" s="3" t="s">
        <v>2716</v>
      </c>
    </row>
    <row r="113" customHeight="1" spans="1:2">
      <c r="A113" s="3" t="s">
        <v>695</v>
      </c>
      <c r="B113" s="3" t="s">
        <v>2716</v>
      </c>
    </row>
    <row r="114" customHeight="1" spans="1:2">
      <c r="A114" s="3" t="s">
        <v>2751</v>
      </c>
      <c r="B114" s="3" t="s">
        <v>2716</v>
      </c>
    </row>
    <row r="115" customHeight="1" spans="1:2">
      <c r="A115" s="3" t="s">
        <v>2751</v>
      </c>
      <c r="B115" s="3" t="s">
        <v>2716</v>
      </c>
    </row>
    <row r="116" customHeight="1" spans="1:2">
      <c r="A116" s="3" t="s">
        <v>2752</v>
      </c>
      <c r="B116" s="3" t="s">
        <v>2717</v>
      </c>
    </row>
    <row r="117" customHeight="1" spans="1:2">
      <c r="A117" s="3" t="s">
        <v>699</v>
      </c>
      <c r="B117" s="3" t="s">
        <v>2719</v>
      </c>
    </row>
    <row r="118" customHeight="1" spans="1:2">
      <c r="A118" s="3" t="s">
        <v>699</v>
      </c>
      <c r="B118" s="3" t="s">
        <v>2719</v>
      </c>
    </row>
    <row r="119" customHeight="1" spans="1:2">
      <c r="A119" s="3" t="s">
        <v>2753</v>
      </c>
      <c r="B119" s="3" t="s">
        <v>2716</v>
      </c>
    </row>
    <row r="120" customHeight="1" spans="1:2">
      <c r="A120" s="3" t="s">
        <v>707</v>
      </c>
      <c r="B120" s="3" t="s">
        <v>2717</v>
      </c>
    </row>
    <row r="121" customHeight="1" spans="1:2">
      <c r="A121" s="3" t="s">
        <v>2754</v>
      </c>
      <c r="B121" s="3" t="s">
        <v>2716</v>
      </c>
    </row>
    <row r="122" customHeight="1" spans="1:2">
      <c r="A122" s="3" t="s">
        <v>710</v>
      </c>
      <c r="B122" s="3" t="s">
        <v>2717</v>
      </c>
    </row>
    <row r="123" customHeight="1" spans="1:2">
      <c r="A123" s="3" t="s">
        <v>2755</v>
      </c>
      <c r="B123" s="3" t="s">
        <v>2716</v>
      </c>
    </row>
    <row r="124" customHeight="1" spans="1:2">
      <c r="A124" s="3" t="s">
        <v>714</v>
      </c>
      <c r="B124" s="3" t="s">
        <v>2716</v>
      </c>
    </row>
    <row r="125" customHeight="1" spans="1:2">
      <c r="A125" s="3" t="s">
        <v>2756</v>
      </c>
      <c r="B125" s="3" t="s">
        <v>2717</v>
      </c>
    </row>
    <row r="126" customHeight="1" spans="1:2">
      <c r="A126" s="3" t="s">
        <v>716</v>
      </c>
      <c r="B126" s="3" t="s">
        <v>2719</v>
      </c>
    </row>
    <row r="127" customHeight="1" spans="1:2">
      <c r="A127" s="3" t="s">
        <v>721</v>
      </c>
      <c r="B127" s="3" t="s">
        <v>2716</v>
      </c>
    </row>
    <row r="128" customHeight="1" spans="1:2">
      <c r="A128" s="3" t="s">
        <v>727</v>
      </c>
      <c r="B128" s="3" t="s">
        <v>2716</v>
      </c>
    </row>
    <row r="129" customHeight="1" spans="1:2">
      <c r="A129" s="3" t="s">
        <v>728</v>
      </c>
      <c r="B129" s="3" t="s">
        <v>2715</v>
      </c>
    </row>
    <row r="130" customHeight="1" spans="1:2">
      <c r="A130" s="3" t="s">
        <v>2757</v>
      </c>
      <c r="B130" s="3" t="s">
        <v>2716</v>
      </c>
    </row>
    <row r="131" customHeight="1" spans="1:2">
      <c r="A131" s="3" t="s">
        <v>2758</v>
      </c>
      <c r="B131" s="3" t="s">
        <v>2728</v>
      </c>
    </row>
    <row r="132" customHeight="1" spans="1:2">
      <c r="A132" s="3" t="s">
        <v>2759</v>
      </c>
      <c r="B132" s="3" t="s">
        <v>2716</v>
      </c>
    </row>
    <row r="133" customHeight="1" spans="1:2">
      <c r="A133" s="3" t="s">
        <v>735</v>
      </c>
      <c r="B133" s="3" t="s">
        <v>2716</v>
      </c>
    </row>
    <row r="134" customHeight="1" spans="1:2">
      <c r="A134" s="3" t="s">
        <v>742</v>
      </c>
      <c r="B134" s="3" t="s">
        <v>2716</v>
      </c>
    </row>
    <row r="135" customHeight="1" spans="1:2">
      <c r="A135" s="3" t="s">
        <v>117</v>
      </c>
      <c r="B135" s="3" t="s">
        <v>2719</v>
      </c>
    </row>
    <row r="136" customHeight="1" spans="1:2">
      <c r="A136" s="3" t="s">
        <v>746</v>
      </c>
      <c r="B136" s="3" t="s">
        <v>2716</v>
      </c>
    </row>
    <row r="137" customHeight="1" spans="1:2">
      <c r="A137" s="3" t="s">
        <v>2760</v>
      </c>
      <c r="B137" s="3" t="s">
        <v>2716</v>
      </c>
    </row>
    <row r="138" customHeight="1" spans="1:2">
      <c r="A138" s="3" t="s">
        <v>2761</v>
      </c>
      <c r="B138" s="3" t="s">
        <v>2717</v>
      </c>
    </row>
    <row r="139" customHeight="1" spans="1:2">
      <c r="A139" s="3" t="s">
        <v>761</v>
      </c>
      <c r="B139" s="3" t="s">
        <v>2716</v>
      </c>
    </row>
    <row r="140" customHeight="1" spans="1:2">
      <c r="A140" s="3" t="s">
        <v>779</v>
      </c>
      <c r="B140" s="3" t="s">
        <v>2719</v>
      </c>
    </row>
    <row r="141" customHeight="1" spans="1:2">
      <c r="A141" s="3" t="s">
        <v>779</v>
      </c>
      <c r="B141" s="3" t="s">
        <v>2719</v>
      </c>
    </row>
    <row r="142" customHeight="1" spans="1:2">
      <c r="A142" s="3" t="s">
        <v>779</v>
      </c>
      <c r="B142" s="3" t="s">
        <v>2719</v>
      </c>
    </row>
    <row r="143" customHeight="1" spans="1:2">
      <c r="A143" s="3" t="s">
        <v>785</v>
      </c>
      <c r="B143" s="3" t="s">
        <v>2719</v>
      </c>
    </row>
    <row r="144" customHeight="1" spans="1:2">
      <c r="A144" s="3" t="s">
        <v>795</v>
      </c>
      <c r="B144" s="3" t="s">
        <v>2719</v>
      </c>
    </row>
    <row r="145" customHeight="1" spans="1:2">
      <c r="A145" s="3" t="s">
        <v>2762</v>
      </c>
      <c r="B145" s="3" t="s">
        <v>2716</v>
      </c>
    </row>
    <row r="146" customHeight="1" spans="1:2">
      <c r="A146" s="3" t="s">
        <v>801</v>
      </c>
      <c r="B146" s="3" t="s">
        <v>2716</v>
      </c>
    </row>
    <row r="147" customHeight="1" spans="1:2">
      <c r="A147" s="3" t="s">
        <v>814</v>
      </c>
      <c r="B147" s="3" t="s">
        <v>2717</v>
      </c>
    </row>
    <row r="148" customHeight="1" spans="1:2">
      <c r="A148" s="3" t="s">
        <v>817</v>
      </c>
      <c r="B148" s="3" t="s">
        <v>2719</v>
      </c>
    </row>
    <row r="149" customHeight="1" spans="1:2">
      <c r="A149" s="3" t="s">
        <v>817</v>
      </c>
      <c r="B149" s="3" t="s">
        <v>2719</v>
      </c>
    </row>
    <row r="150" customHeight="1" spans="1:2">
      <c r="A150" s="3" t="s">
        <v>823</v>
      </c>
      <c r="B150" s="3" t="s">
        <v>2719</v>
      </c>
    </row>
    <row r="151" customHeight="1" spans="1:2">
      <c r="A151" s="3" t="s">
        <v>824</v>
      </c>
      <c r="B151" s="3" t="s">
        <v>2719</v>
      </c>
    </row>
    <row r="152" customHeight="1" spans="1:2">
      <c r="A152" s="3" t="s">
        <v>826</v>
      </c>
      <c r="B152" s="3" t="s">
        <v>2716</v>
      </c>
    </row>
    <row r="153" customHeight="1" spans="1:2">
      <c r="A153" s="3" t="s">
        <v>827</v>
      </c>
      <c r="B153" s="3" t="s">
        <v>2717</v>
      </c>
    </row>
    <row r="154" customHeight="1" spans="1:2">
      <c r="A154" s="3" t="s">
        <v>830</v>
      </c>
      <c r="B154" s="3" t="s">
        <v>2716</v>
      </c>
    </row>
    <row r="155" customHeight="1" spans="1:2">
      <c r="A155" s="3" t="s">
        <v>835</v>
      </c>
      <c r="B155" s="3" t="s">
        <v>2719</v>
      </c>
    </row>
    <row r="156" customHeight="1" spans="1:2">
      <c r="A156" s="3" t="s">
        <v>2763</v>
      </c>
      <c r="B156" s="3" t="s">
        <v>2719</v>
      </c>
    </row>
    <row r="157" customHeight="1" spans="1:2">
      <c r="A157" s="3" t="s">
        <v>838</v>
      </c>
      <c r="B157" s="3" t="s">
        <v>2719</v>
      </c>
    </row>
    <row r="158" customHeight="1" spans="1:2">
      <c r="A158" s="3" t="s">
        <v>2764</v>
      </c>
      <c r="B158" s="3" t="s">
        <v>2716</v>
      </c>
    </row>
    <row r="159" customHeight="1" spans="1:2">
      <c r="A159" s="3" t="s">
        <v>2765</v>
      </c>
      <c r="B159" s="3" t="s">
        <v>2717</v>
      </c>
    </row>
    <row r="160" customHeight="1" spans="1:2">
      <c r="A160" s="3" t="s">
        <v>841</v>
      </c>
      <c r="B160" s="3" t="s">
        <v>2721</v>
      </c>
    </row>
    <row r="161" customHeight="1" spans="1:2">
      <c r="A161" s="3" t="s">
        <v>842</v>
      </c>
      <c r="B161" s="3" t="s">
        <v>2721</v>
      </c>
    </row>
    <row r="162" customHeight="1" spans="1:2">
      <c r="A162" s="3" t="s">
        <v>844</v>
      </c>
      <c r="B162" s="3" t="s">
        <v>2717</v>
      </c>
    </row>
    <row r="163" customHeight="1" spans="1:2">
      <c r="A163" s="3" t="s">
        <v>2766</v>
      </c>
      <c r="B163" s="3" t="s">
        <v>2717</v>
      </c>
    </row>
    <row r="164" customHeight="1" spans="1:2">
      <c r="A164" s="3" t="s">
        <v>2767</v>
      </c>
      <c r="B164" s="3" t="s">
        <v>2717</v>
      </c>
    </row>
    <row r="165" customHeight="1" spans="1:2">
      <c r="A165" s="3" t="s">
        <v>2768</v>
      </c>
      <c r="B165" s="3" t="s">
        <v>2717</v>
      </c>
    </row>
    <row r="166" customHeight="1" spans="1:2">
      <c r="A166" s="3" t="s">
        <v>853</v>
      </c>
      <c r="B166" s="3" t="s">
        <v>2716</v>
      </c>
    </row>
    <row r="167" customHeight="1" spans="1:2">
      <c r="A167" s="3" t="s">
        <v>855</v>
      </c>
      <c r="B167" s="3" t="s">
        <v>2721</v>
      </c>
    </row>
    <row r="168" customHeight="1" spans="1:2">
      <c r="A168" s="3" t="s">
        <v>856</v>
      </c>
      <c r="B168" s="3" t="s">
        <v>2717</v>
      </c>
    </row>
    <row r="169" customHeight="1" spans="1:2">
      <c r="A169" s="3" t="s">
        <v>124</v>
      </c>
      <c r="B169" s="3" t="s">
        <v>2715</v>
      </c>
    </row>
    <row r="170" customHeight="1" spans="1:2">
      <c r="A170" s="3" t="s">
        <v>857</v>
      </c>
      <c r="B170" s="3" t="s">
        <v>2715</v>
      </c>
    </row>
    <row r="171" customHeight="1" spans="1:2">
      <c r="A171" s="3" t="s">
        <v>861</v>
      </c>
      <c r="B171" s="3" t="s">
        <v>2716</v>
      </c>
    </row>
    <row r="172" customHeight="1" spans="1:2">
      <c r="A172" s="3" t="s">
        <v>2769</v>
      </c>
      <c r="B172" s="3" t="s">
        <v>2728</v>
      </c>
    </row>
    <row r="173" customHeight="1" spans="1:2">
      <c r="A173" s="3" t="s">
        <v>864</v>
      </c>
      <c r="B173" s="3" t="s">
        <v>2717</v>
      </c>
    </row>
    <row r="174" customHeight="1" spans="1:2">
      <c r="A174" s="3" t="s">
        <v>2770</v>
      </c>
      <c r="B174" s="3" t="s">
        <v>2717</v>
      </c>
    </row>
    <row r="175" customHeight="1" spans="1:2">
      <c r="A175" s="3" t="s">
        <v>131</v>
      </c>
      <c r="B175" s="3" t="s">
        <v>2719</v>
      </c>
    </row>
    <row r="176" customHeight="1" spans="1:2">
      <c r="A176" s="3" t="s">
        <v>2771</v>
      </c>
      <c r="B176" s="3" t="s">
        <v>2717</v>
      </c>
    </row>
    <row r="177" customHeight="1" spans="1:2">
      <c r="A177" s="3" t="s">
        <v>2772</v>
      </c>
      <c r="B177" s="3" t="s">
        <v>2719</v>
      </c>
    </row>
    <row r="178" customHeight="1" spans="1:2">
      <c r="A178" s="3" t="s">
        <v>872</v>
      </c>
      <c r="B178" s="3" t="s">
        <v>2723</v>
      </c>
    </row>
    <row r="179" customHeight="1" spans="1:2">
      <c r="A179" s="3" t="s">
        <v>874</v>
      </c>
      <c r="B179" s="3" t="s">
        <v>2716</v>
      </c>
    </row>
    <row r="180" customHeight="1" spans="1:2">
      <c r="A180" s="3" t="s">
        <v>145</v>
      </c>
      <c r="B180" s="3" t="s">
        <v>2719</v>
      </c>
    </row>
    <row r="181" customHeight="1" spans="1:2">
      <c r="A181" s="3" t="s">
        <v>881</v>
      </c>
      <c r="B181" s="3" t="s">
        <v>2719</v>
      </c>
    </row>
    <row r="182" customHeight="1" spans="1:2">
      <c r="A182" s="3" t="s">
        <v>881</v>
      </c>
      <c r="B182" s="3" t="s">
        <v>2719</v>
      </c>
    </row>
    <row r="183" customHeight="1" spans="1:2">
      <c r="A183" s="3" t="s">
        <v>2773</v>
      </c>
      <c r="B183" s="3" t="s">
        <v>2728</v>
      </c>
    </row>
    <row r="184" customHeight="1" spans="1:2">
      <c r="A184" s="3" t="s">
        <v>887</v>
      </c>
      <c r="B184" s="3" t="s">
        <v>2719</v>
      </c>
    </row>
    <row r="185" customHeight="1" spans="1:2">
      <c r="A185" s="3" t="s">
        <v>891</v>
      </c>
      <c r="B185" s="3" t="s">
        <v>2716</v>
      </c>
    </row>
    <row r="186" customHeight="1" spans="1:2">
      <c r="A186" s="3" t="s">
        <v>894</v>
      </c>
      <c r="B186" s="3" t="s">
        <v>2717</v>
      </c>
    </row>
    <row r="187" customHeight="1" spans="1:2">
      <c r="A187" s="3" t="s">
        <v>897</v>
      </c>
      <c r="B187" s="3" t="s">
        <v>2717</v>
      </c>
    </row>
    <row r="188" customHeight="1" spans="1:2">
      <c r="A188" s="3" t="s">
        <v>2774</v>
      </c>
      <c r="B188" s="3" t="s">
        <v>2716</v>
      </c>
    </row>
    <row r="189" customHeight="1" spans="1:2">
      <c r="A189" s="3" t="s">
        <v>2775</v>
      </c>
      <c r="B189" s="3" t="s">
        <v>2719</v>
      </c>
    </row>
    <row r="190" customHeight="1" spans="1:2">
      <c r="A190" s="3" t="s">
        <v>2776</v>
      </c>
      <c r="B190" s="3" t="s">
        <v>2717</v>
      </c>
    </row>
    <row r="191" customHeight="1" spans="1:2">
      <c r="A191" s="3" t="s">
        <v>2777</v>
      </c>
      <c r="B191" s="3" t="s">
        <v>2717</v>
      </c>
    </row>
    <row r="192" customHeight="1" spans="1:2">
      <c r="A192" s="3" t="s">
        <v>909</v>
      </c>
      <c r="B192" s="3" t="s">
        <v>2717</v>
      </c>
    </row>
    <row r="193" customHeight="1" spans="1:2">
      <c r="A193" s="3" t="s">
        <v>2778</v>
      </c>
      <c r="B193" s="3" t="s">
        <v>2716</v>
      </c>
    </row>
    <row r="194" customHeight="1" spans="1:2">
      <c r="A194" s="3" t="s">
        <v>916</v>
      </c>
      <c r="B194" s="3" t="s">
        <v>2717</v>
      </c>
    </row>
    <row r="195" customHeight="1" spans="1:2">
      <c r="A195" s="3" t="s">
        <v>2779</v>
      </c>
      <c r="B195" s="3" t="s">
        <v>2717</v>
      </c>
    </row>
    <row r="196" customHeight="1" spans="1:2">
      <c r="A196" s="3" t="s">
        <v>921</v>
      </c>
      <c r="B196" s="3" t="s">
        <v>2721</v>
      </c>
    </row>
    <row r="197" customHeight="1" spans="1:2">
      <c r="A197" s="3" t="s">
        <v>921</v>
      </c>
      <c r="B197" s="3" t="s">
        <v>2721</v>
      </c>
    </row>
    <row r="198" customHeight="1" spans="1:2">
      <c r="A198" s="3" t="s">
        <v>2780</v>
      </c>
      <c r="B198" s="3" t="s">
        <v>2716</v>
      </c>
    </row>
    <row r="199" customHeight="1" spans="1:2">
      <c r="A199" s="3" t="s">
        <v>926</v>
      </c>
      <c r="B199" s="3" t="s">
        <v>2716</v>
      </c>
    </row>
    <row r="200" customHeight="1" spans="1:2">
      <c r="A200" s="3" t="s">
        <v>159</v>
      </c>
      <c r="B200" s="3" t="s">
        <v>2716</v>
      </c>
    </row>
    <row r="201" customHeight="1" spans="1:2">
      <c r="A201" s="3" t="s">
        <v>2781</v>
      </c>
      <c r="B201" s="3" t="s">
        <v>2716</v>
      </c>
    </row>
    <row r="202" customHeight="1" spans="1:2">
      <c r="A202" s="3" t="s">
        <v>2782</v>
      </c>
      <c r="B202" s="3" t="s">
        <v>2717</v>
      </c>
    </row>
    <row r="203" customHeight="1" spans="1:2">
      <c r="A203" s="3" t="s">
        <v>939</v>
      </c>
      <c r="B203" s="3" t="s">
        <v>2717</v>
      </c>
    </row>
    <row r="204" customHeight="1" spans="1:2">
      <c r="A204" s="3" t="s">
        <v>948</v>
      </c>
      <c r="B204" s="3" t="s">
        <v>2716</v>
      </c>
    </row>
    <row r="205" customHeight="1" spans="1:2">
      <c r="A205" s="3" t="s">
        <v>2783</v>
      </c>
      <c r="B205" s="3" t="s">
        <v>2716</v>
      </c>
    </row>
    <row r="206" customHeight="1" spans="1:2">
      <c r="A206" s="3" t="s">
        <v>953</v>
      </c>
      <c r="B206" s="3" t="s">
        <v>2716</v>
      </c>
    </row>
    <row r="207" customHeight="1" spans="1:2">
      <c r="A207" s="3" t="s">
        <v>954</v>
      </c>
      <c r="B207" s="3" t="s">
        <v>2717</v>
      </c>
    </row>
    <row r="208" customHeight="1" spans="1:2">
      <c r="A208" s="3" t="s">
        <v>2784</v>
      </c>
      <c r="B208" s="3" t="s">
        <v>2719</v>
      </c>
    </row>
    <row r="209" customHeight="1" spans="1:2">
      <c r="A209" s="3" t="s">
        <v>960</v>
      </c>
      <c r="B209" s="3" t="s">
        <v>2716</v>
      </c>
    </row>
    <row r="210" customHeight="1" spans="1:2">
      <c r="A210" s="3" t="s">
        <v>2785</v>
      </c>
      <c r="B210" s="3" t="s">
        <v>2717</v>
      </c>
    </row>
    <row r="211" customHeight="1" spans="1:2">
      <c r="A211" s="3" t="s">
        <v>2786</v>
      </c>
      <c r="B211" s="3" t="s">
        <v>2717</v>
      </c>
    </row>
    <row r="212" customHeight="1" spans="1:2">
      <c r="A212" s="3" t="s">
        <v>971</v>
      </c>
      <c r="B212" s="3" t="s">
        <v>2717</v>
      </c>
    </row>
    <row r="213" customHeight="1" spans="1:2">
      <c r="A213" s="3" t="s">
        <v>972</v>
      </c>
      <c r="B213" s="3" t="s">
        <v>2719</v>
      </c>
    </row>
    <row r="214" customHeight="1" spans="1:2">
      <c r="A214" s="3" t="s">
        <v>974</v>
      </c>
      <c r="B214" s="3" t="s">
        <v>2716</v>
      </c>
    </row>
    <row r="215" customHeight="1" spans="1:2">
      <c r="A215" s="3" t="s">
        <v>980</v>
      </c>
      <c r="B215" s="3" t="s">
        <v>2716</v>
      </c>
    </row>
    <row r="216" customHeight="1" spans="1:2">
      <c r="A216" s="3" t="s">
        <v>980</v>
      </c>
      <c r="B216" s="3" t="s">
        <v>2716</v>
      </c>
    </row>
    <row r="217" customHeight="1" spans="1:2">
      <c r="A217" s="3" t="s">
        <v>985</v>
      </c>
      <c r="B217" s="3" t="s">
        <v>2716</v>
      </c>
    </row>
    <row r="218" customHeight="1" spans="1:2">
      <c r="A218" s="3" t="s">
        <v>990</v>
      </c>
      <c r="B218" s="3" t="s">
        <v>2717</v>
      </c>
    </row>
    <row r="219" customHeight="1" spans="1:2">
      <c r="A219" s="3" t="s">
        <v>166</v>
      </c>
      <c r="B219" s="3" t="s">
        <v>2721</v>
      </c>
    </row>
    <row r="220" customHeight="1" spans="1:2">
      <c r="A220" s="3" t="s">
        <v>166</v>
      </c>
      <c r="B220" s="3" t="s">
        <v>2721</v>
      </c>
    </row>
    <row r="221" customHeight="1" spans="1:2">
      <c r="A221" s="3" t="s">
        <v>2787</v>
      </c>
      <c r="B221" s="3" t="s">
        <v>2721</v>
      </c>
    </row>
    <row r="222" customHeight="1" spans="1:2">
      <c r="A222" s="3" t="s">
        <v>2788</v>
      </c>
      <c r="B222" s="3" t="s">
        <v>2717</v>
      </c>
    </row>
    <row r="223" customHeight="1" spans="1:2">
      <c r="A223" s="3" t="s">
        <v>2789</v>
      </c>
      <c r="B223" s="3" t="s">
        <v>2716</v>
      </c>
    </row>
    <row r="224" customHeight="1" spans="1:2">
      <c r="A224" s="3" t="s">
        <v>1006</v>
      </c>
      <c r="B224" s="3" t="s">
        <v>2717</v>
      </c>
    </row>
    <row r="225" customHeight="1" spans="1:2">
      <c r="A225" s="3" t="s">
        <v>2790</v>
      </c>
      <c r="B225" s="3" t="s">
        <v>2717</v>
      </c>
    </row>
    <row r="226" customHeight="1" spans="1:2">
      <c r="A226" s="3" t="s">
        <v>1007</v>
      </c>
      <c r="B226" s="3" t="s">
        <v>2716</v>
      </c>
    </row>
    <row r="227" customHeight="1" spans="1:2">
      <c r="A227" s="3" t="s">
        <v>1009</v>
      </c>
      <c r="B227" s="3" t="s">
        <v>2717</v>
      </c>
    </row>
    <row r="228" customHeight="1" spans="1:2">
      <c r="A228" s="3" t="s">
        <v>1009</v>
      </c>
      <c r="B228" s="3" t="s">
        <v>2717</v>
      </c>
    </row>
    <row r="229" customHeight="1" spans="1:2">
      <c r="A229" s="3" t="s">
        <v>1018</v>
      </c>
      <c r="B229" s="3" t="s">
        <v>2716</v>
      </c>
    </row>
    <row r="230" customHeight="1" spans="1:2">
      <c r="A230" s="3" t="s">
        <v>1018</v>
      </c>
      <c r="B230" s="3" t="s">
        <v>2716</v>
      </c>
    </row>
    <row r="231" customHeight="1" spans="1:2">
      <c r="A231" s="3" t="s">
        <v>1019</v>
      </c>
      <c r="B231" s="3" t="s">
        <v>2716</v>
      </c>
    </row>
    <row r="232" customHeight="1" spans="1:2">
      <c r="A232" s="3" t="s">
        <v>2791</v>
      </c>
      <c r="B232" s="3" t="s">
        <v>2716</v>
      </c>
    </row>
    <row r="233" customHeight="1" spans="1:2">
      <c r="A233" s="3" t="s">
        <v>2792</v>
      </c>
      <c r="B233" s="3" t="s">
        <v>2716</v>
      </c>
    </row>
    <row r="234" customHeight="1" spans="1:2">
      <c r="A234" s="3" t="s">
        <v>1025</v>
      </c>
      <c r="B234" s="3" t="s">
        <v>2717</v>
      </c>
    </row>
    <row r="235" customHeight="1" spans="1:2">
      <c r="A235" s="3" t="s">
        <v>2793</v>
      </c>
      <c r="B235" s="3" t="s">
        <v>2716</v>
      </c>
    </row>
    <row r="236" customHeight="1" spans="1:2">
      <c r="A236" s="3" t="s">
        <v>2794</v>
      </c>
      <c r="B236" s="3" t="s">
        <v>2716</v>
      </c>
    </row>
    <row r="237" customHeight="1" spans="1:2">
      <c r="A237" s="3" t="s">
        <v>2795</v>
      </c>
      <c r="B237" s="3" t="s">
        <v>2716</v>
      </c>
    </row>
    <row r="238" customHeight="1" spans="1:2">
      <c r="A238" s="3" t="s">
        <v>2796</v>
      </c>
      <c r="B238" s="3" t="s">
        <v>2728</v>
      </c>
    </row>
    <row r="239" customHeight="1" spans="1:2">
      <c r="A239" s="3" t="s">
        <v>1031</v>
      </c>
      <c r="B239" s="3" t="s">
        <v>2716</v>
      </c>
    </row>
    <row r="240" customHeight="1" spans="1:2">
      <c r="A240" s="3" t="s">
        <v>2797</v>
      </c>
      <c r="B240" s="3" t="s">
        <v>2717</v>
      </c>
    </row>
    <row r="241" customHeight="1" spans="1:2">
      <c r="A241" s="3" t="s">
        <v>2798</v>
      </c>
      <c r="B241" s="3" t="s">
        <v>2716</v>
      </c>
    </row>
    <row r="242" customHeight="1" spans="1:2">
      <c r="A242" s="3" t="s">
        <v>2799</v>
      </c>
      <c r="B242" s="3" t="s">
        <v>2717</v>
      </c>
    </row>
    <row r="243" customHeight="1" spans="1:2">
      <c r="A243" s="3" t="s">
        <v>2800</v>
      </c>
      <c r="B243" s="3" t="s">
        <v>2716</v>
      </c>
    </row>
    <row r="244" customHeight="1" spans="1:2">
      <c r="A244" s="3" t="s">
        <v>2801</v>
      </c>
      <c r="B244" s="3" t="s">
        <v>2716</v>
      </c>
    </row>
    <row r="245" customHeight="1" spans="1:2">
      <c r="A245" s="3" t="s">
        <v>1049</v>
      </c>
      <c r="B245" s="3" t="s">
        <v>2717</v>
      </c>
    </row>
    <row r="246" customHeight="1" spans="1:2">
      <c r="A246" s="3" t="s">
        <v>2802</v>
      </c>
      <c r="B246" s="3" t="s">
        <v>2717</v>
      </c>
    </row>
    <row r="247" customHeight="1" spans="1:2">
      <c r="A247" s="3" t="s">
        <v>1058</v>
      </c>
      <c r="B247" s="3" t="s">
        <v>2717</v>
      </c>
    </row>
    <row r="248" customHeight="1" spans="1:2">
      <c r="A248" s="3" t="s">
        <v>1059</v>
      </c>
      <c r="B248" s="3" t="s">
        <v>2716</v>
      </c>
    </row>
    <row r="249" customHeight="1" spans="1:2">
      <c r="A249" s="3" t="s">
        <v>1060</v>
      </c>
      <c r="B249" s="3" t="s">
        <v>2723</v>
      </c>
    </row>
    <row r="250" customHeight="1" spans="1:2">
      <c r="A250" s="3" t="s">
        <v>1061</v>
      </c>
      <c r="B250" s="3" t="s">
        <v>2716</v>
      </c>
    </row>
    <row r="251" customHeight="1" spans="1:2">
      <c r="A251" s="3" t="s">
        <v>1062</v>
      </c>
      <c r="B251" s="3" t="s">
        <v>2716</v>
      </c>
    </row>
    <row r="252" customHeight="1" spans="1:2">
      <c r="A252" s="3" t="s">
        <v>1066</v>
      </c>
      <c r="B252" s="3" t="s">
        <v>2716</v>
      </c>
    </row>
    <row r="253" customHeight="1" spans="1:2">
      <c r="A253" s="3" t="s">
        <v>1068</v>
      </c>
      <c r="B253" s="3" t="s">
        <v>2717</v>
      </c>
    </row>
    <row r="254" customHeight="1" spans="1:2">
      <c r="A254" s="3" t="s">
        <v>180</v>
      </c>
      <c r="B254" s="3" t="s">
        <v>2716</v>
      </c>
    </row>
    <row r="255" customHeight="1" spans="1:2">
      <c r="A255" s="3" t="s">
        <v>1071</v>
      </c>
      <c r="B255" s="3" t="s">
        <v>2716</v>
      </c>
    </row>
    <row r="256" customHeight="1" spans="1:2">
      <c r="A256" s="3" t="s">
        <v>2803</v>
      </c>
      <c r="B256" s="3" t="s">
        <v>2717</v>
      </c>
    </row>
    <row r="257" customHeight="1" spans="1:2">
      <c r="A257" s="3" t="s">
        <v>2804</v>
      </c>
      <c r="B257" s="3" t="s">
        <v>2717</v>
      </c>
    </row>
    <row r="258" customHeight="1" spans="1:2">
      <c r="A258" s="3" t="s">
        <v>2805</v>
      </c>
      <c r="B258" s="3" t="s">
        <v>2715</v>
      </c>
    </row>
    <row r="259" customHeight="1" spans="1:2">
      <c r="A259" s="3" t="s">
        <v>2805</v>
      </c>
      <c r="B259" s="3" t="s">
        <v>2715</v>
      </c>
    </row>
    <row r="260" customHeight="1" spans="1:2">
      <c r="A260" s="3" t="s">
        <v>2805</v>
      </c>
      <c r="B260" s="3" t="s">
        <v>2715</v>
      </c>
    </row>
    <row r="261" customHeight="1" spans="1:2">
      <c r="A261" s="3" t="s">
        <v>2806</v>
      </c>
      <c r="B261" s="3" t="s">
        <v>2716</v>
      </c>
    </row>
    <row r="262" customHeight="1" spans="1:2">
      <c r="A262" s="3" t="s">
        <v>2807</v>
      </c>
      <c r="B262" s="3" t="s">
        <v>2716</v>
      </c>
    </row>
    <row r="263" customHeight="1" spans="1:2">
      <c r="A263" s="3" t="s">
        <v>1119</v>
      </c>
      <c r="B263" s="3" t="s">
        <v>2719</v>
      </c>
    </row>
    <row r="264" customHeight="1" spans="1:2">
      <c r="A264" s="3" t="s">
        <v>2808</v>
      </c>
      <c r="B264" s="3" t="s">
        <v>2716</v>
      </c>
    </row>
    <row r="265" customHeight="1" spans="1:2">
      <c r="A265" s="3" t="s">
        <v>1122</v>
      </c>
      <c r="B265" s="3" t="s">
        <v>2719</v>
      </c>
    </row>
    <row r="266" customHeight="1" spans="1:2">
      <c r="A266" s="3" t="s">
        <v>2809</v>
      </c>
      <c r="B266" s="3" t="s">
        <v>2717</v>
      </c>
    </row>
    <row r="267" customHeight="1" spans="1:2">
      <c r="A267" s="3" t="s">
        <v>1130</v>
      </c>
      <c r="B267" s="3" t="s">
        <v>2715</v>
      </c>
    </row>
    <row r="268" customHeight="1" spans="1:2">
      <c r="A268" s="3" t="s">
        <v>1132</v>
      </c>
      <c r="B268" s="3" t="s">
        <v>2719</v>
      </c>
    </row>
    <row r="269" customHeight="1" spans="1:2">
      <c r="A269" s="3" t="s">
        <v>187</v>
      </c>
      <c r="B269" s="3" t="s">
        <v>2716</v>
      </c>
    </row>
    <row r="270" customHeight="1" spans="1:2">
      <c r="A270" s="3" t="s">
        <v>1133</v>
      </c>
      <c r="B270" s="3" t="s">
        <v>2716</v>
      </c>
    </row>
    <row r="271" customHeight="1" spans="1:2">
      <c r="A271" s="3" t="s">
        <v>1139</v>
      </c>
      <c r="B271" s="3" t="s">
        <v>2723</v>
      </c>
    </row>
    <row r="272" customHeight="1" spans="1:2">
      <c r="A272" s="3" t="s">
        <v>1153</v>
      </c>
      <c r="B272" s="3" t="s">
        <v>2717</v>
      </c>
    </row>
    <row r="273" customHeight="1" spans="1:2">
      <c r="A273" s="3" t="s">
        <v>1153</v>
      </c>
      <c r="B273" s="3" t="s">
        <v>2717</v>
      </c>
    </row>
    <row r="274" customHeight="1" spans="1:2">
      <c r="A274" s="3" t="s">
        <v>2810</v>
      </c>
      <c r="B274" s="3" t="s">
        <v>2716</v>
      </c>
    </row>
    <row r="275" customHeight="1" spans="1:2">
      <c r="A275" s="3" t="s">
        <v>1159</v>
      </c>
      <c r="B275" s="3" t="s">
        <v>2716</v>
      </c>
    </row>
    <row r="276" customHeight="1" spans="1:2">
      <c r="A276" s="3" t="s">
        <v>1162</v>
      </c>
      <c r="B276" s="3" t="s">
        <v>2717</v>
      </c>
    </row>
    <row r="277" customHeight="1" spans="1:2">
      <c r="A277" s="3" t="s">
        <v>2811</v>
      </c>
      <c r="B277" s="3" t="s">
        <v>2717</v>
      </c>
    </row>
    <row r="278" customHeight="1" spans="1:2">
      <c r="A278" s="3" t="s">
        <v>1166</v>
      </c>
      <c r="B278" s="3" t="s">
        <v>2716</v>
      </c>
    </row>
    <row r="279" customHeight="1" spans="1:2">
      <c r="A279" s="3" t="s">
        <v>2812</v>
      </c>
      <c r="B279" s="3" t="s">
        <v>2717</v>
      </c>
    </row>
    <row r="280" customHeight="1" spans="1:2">
      <c r="A280" s="3" t="s">
        <v>1179</v>
      </c>
      <c r="B280" s="3" t="s">
        <v>2717</v>
      </c>
    </row>
    <row r="281" customHeight="1" spans="1:2">
      <c r="A281" s="3" t="s">
        <v>2813</v>
      </c>
      <c r="B281" s="3" t="s">
        <v>2717</v>
      </c>
    </row>
    <row r="282" customHeight="1" spans="1:2">
      <c r="A282" s="3" t="s">
        <v>2814</v>
      </c>
      <c r="B282" s="3" t="s">
        <v>2717</v>
      </c>
    </row>
    <row r="283" customHeight="1" spans="1:2">
      <c r="A283" s="3" t="s">
        <v>2814</v>
      </c>
      <c r="B283" s="3" t="s">
        <v>2719</v>
      </c>
    </row>
    <row r="284" customHeight="1" spans="1:2">
      <c r="A284" s="3" t="s">
        <v>1182</v>
      </c>
      <c r="B284" s="3" t="s">
        <v>2717</v>
      </c>
    </row>
    <row r="285" customHeight="1" spans="1:2">
      <c r="A285" s="3" t="s">
        <v>2815</v>
      </c>
      <c r="B285" s="3" t="s">
        <v>2717</v>
      </c>
    </row>
    <row r="286" customHeight="1" spans="1:2">
      <c r="A286" s="3" t="s">
        <v>1185</v>
      </c>
      <c r="B286" s="3" t="s">
        <v>2716</v>
      </c>
    </row>
    <row r="287" customHeight="1" spans="1:2">
      <c r="A287" s="3" t="s">
        <v>1187</v>
      </c>
      <c r="B287" s="3" t="s">
        <v>2716</v>
      </c>
    </row>
    <row r="288" customHeight="1" spans="1:2">
      <c r="A288" s="3" t="s">
        <v>1189</v>
      </c>
      <c r="B288" s="3" t="s">
        <v>2716</v>
      </c>
    </row>
    <row r="289" customHeight="1" spans="1:2">
      <c r="A289" s="3" t="s">
        <v>1190</v>
      </c>
      <c r="B289" s="3" t="s">
        <v>2719</v>
      </c>
    </row>
    <row r="290" customHeight="1" spans="1:2">
      <c r="A290" s="3" t="s">
        <v>1192</v>
      </c>
      <c r="B290" s="3" t="s">
        <v>2716</v>
      </c>
    </row>
    <row r="291" customHeight="1" spans="1:2">
      <c r="A291" s="3" t="s">
        <v>1192</v>
      </c>
      <c r="B291" s="3" t="s">
        <v>2716</v>
      </c>
    </row>
    <row r="292" customHeight="1" spans="1:2">
      <c r="A292" s="3" t="s">
        <v>1195</v>
      </c>
      <c r="B292" s="3" t="s">
        <v>2717</v>
      </c>
    </row>
    <row r="293" customHeight="1" spans="1:2">
      <c r="A293" s="3" t="s">
        <v>2816</v>
      </c>
      <c r="B293" s="3" t="s">
        <v>2717</v>
      </c>
    </row>
    <row r="294" customHeight="1" spans="1:2">
      <c r="A294" s="3" t="s">
        <v>2817</v>
      </c>
      <c r="B294" s="3" t="s">
        <v>2717</v>
      </c>
    </row>
    <row r="295" customHeight="1" spans="1:2">
      <c r="A295" s="3" t="s">
        <v>2818</v>
      </c>
      <c r="B295" s="3" t="s">
        <v>2716</v>
      </c>
    </row>
    <row r="296" customHeight="1" spans="1:2">
      <c r="A296" s="3" t="s">
        <v>2818</v>
      </c>
      <c r="B296" s="3" t="s">
        <v>2716</v>
      </c>
    </row>
    <row r="297" customHeight="1" spans="1:2">
      <c r="A297" s="3" t="s">
        <v>1200</v>
      </c>
      <c r="B297" s="3" t="s">
        <v>2717</v>
      </c>
    </row>
    <row r="298" customHeight="1" spans="1:2">
      <c r="A298" s="3" t="s">
        <v>1200</v>
      </c>
      <c r="B298" s="3" t="s">
        <v>2716</v>
      </c>
    </row>
    <row r="299" customHeight="1" spans="1:2">
      <c r="A299" s="3" t="s">
        <v>2819</v>
      </c>
      <c r="B299" s="3" t="s">
        <v>2716</v>
      </c>
    </row>
    <row r="300" customHeight="1" spans="1:2">
      <c r="A300" s="3" t="s">
        <v>2820</v>
      </c>
      <c r="B300" s="3" t="s">
        <v>2717</v>
      </c>
    </row>
    <row r="301" customHeight="1" spans="1:2">
      <c r="A301" s="3" t="s">
        <v>2820</v>
      </c>
      <c r="B301" s="3" t="s">
        <v>2717</v>
      </c>
    </row>
    <row r="302" customHeight="1" spans="1:2">
      <c r="A302" s="3" t="s">
        <v>201</v>
      </c>
      <c r="B302" s="3" t="s">
        <v>2719</v>
      </c>
    </row>
    <row r="303" customHeight="1" spans="1:2">
      <c r="A303" s="3" t="s">
        <v>1211</v>
      </c>
      <c r="B303" s="3" t="s">
        <v>2716</v>
      </c>
    </row>
    <row r="304" customHeight="1" spans="1:2">
      <c r="A304" s="3" t="s">
        <v>1213</v>
      </c>
      <c r="B304" s="3" t="s">
        <v>2719</v>
      </c>
    </row>
    <row r="305" customHeight="1" spans="1:2">
      <c r="A305" s="3" t="s">
        <v>2821</v>
      </c>
      <c r="B305" s="3" t="s">
        <v>2717</v>
      </c>
    </row>
    <row r="306" customHeight="1" spans="1:2">
      <c r="A306" s="3" t="s">
        <v>208</v>
      </c>
      <c r="B306" s="3" t="s">
        <v>2717</v>
      </c>
    </row>
    <row r="307" customHeight="1" spans="1:2">
      <c r="A307" s="3" t="s">
        <v>208</v>
      </c>
      <c r="B307" s="3" t="s">
        <v>2717</v>
      </c>
    </row>
    <row r="308" customHeight="1" spans="1:2">
      <c r="A308" s="3" t="s">
        <v>1221</v>
      </c>
      <c r="B308" s="3" t="s">
        <v>2716</v>
      </c>
    </row>
    <row r="309" customHeight="1" spans="1:2">
      <c r="A309" s="3" t="s">
        <v>1225</v>
      </c>
      <c r="B309" s="3" t="s">
        <v>2717</v>
      </c>
    </row>
    <row r="310" customHeight="1" spans="1:2">
      <c r="A310" s="3" t="s">
        <v>1225</v>
      </c>
      <c r="B310" s="3" t="s">
        <v>2717</v>
      </c>
    </row>
    <row r="311" customHeight="1" spans="1:2">
      <c r="A311" s="3" t="s">
        <v>1227</v>
      </c>
      <c r="B311" s="3" t="s">
        <v>2717</v>
      </c>
    </row>
    <row r="312" customHeight="1" spans="1:2">
      <c r="A312" s="3" t="s">
        <v>2822</v>
      </c>
      <c r="B312" s="3" t="s">
        <v>2719</v>
      </c>
    </row>
    <row r="313" customHeight="1" spans="1:2">
      <c r="A313" s="3" t="s">
        <v>2823</v>
      </c>
      <c r="B313" s="3" t="s">
        <v>2728</v>
      </c>
    </row>
    <row r="314" customHeight="1" spans="1:2">
      <c r="A314" s="3" t="s">
        <v>1240</v>
      </c>
      <c r="B314" s="3" t="s">
        <v>2717</v>
      </c>
    </row>
    <row r="315" customHeight="1" spans="1:2">
      <c r="A315" s="3" t="s">
        <v>2824</v>
      </c>
      <c r="B315" s="3" t="s">
        <v>2716</v>
      </c>
    </row>
    <row r="316" customHeight="1" spans="1:2">
      <c r="A316" s="3" t="s">
        <v>2825</v>
      </c>
      <c r="B316" s="3" t="s">
        <v>2717</v>
      </c>
    </row>
    <row r="317" customHeight="1" spans="1:2">
      <c r="A317" s="3" t="s">
        <v>1243</v>
      </c>
      <c r="B317" s="3" t="s">
        <v>2716</v>
      </c>
    </row>
    <row r="318" customHeight="1" spans="1:2">
      <c r="A318" s="3" t="s">
        <v>1244</v>
      </c>
      <c r="B318" s="3" t="s">
        <v>2716</v>
      </c>
    </row>
    <row r="319" customHeight="1" spans="1:2">
      <c r="A319" s="3" t="s">
        <v>2826</v>
      </c>
      <c r="B319" s="3" t="s">
        <v>2717</v>
      </c>
    </row>
    <row r="320" customHeight="1" spans="1:2">
      <c r="A320" s="3" t="s">
        <v>2827</v>
      </c>
      <c r="B320" s="3" t="s">
        <v>2719</v>
      </c>
    </row>
    <row r="321" customHeight="1" spans="1:2">
      <c r="A321" s="3" t="s">
        <v>215</v>
      </c>
      <c r="B321" s="3" t="s">
        <v>2719</v>
      </c>
    </row>
    <row r="322" customHeight="1" spans="1:2">
      <c r="A322" s="3" t="s">
        <v>215</v>
      </c>
      <c r="B322" s="3" t="s">
        <v>2719</v>
      </c>
    </row>
    <row r="323" customHeight="1" spans="1:2">
      <c r="A323" s="3" t="s">
        <v>2828</v>
      </c>
      <c r="B323" s="3" t="s">
        <v>2717</v>
      </c>
    </row>
    <row r="324" customHeight="1" spans="1:2">
      <c r="A324" s="3" t="s">
        <v>2828</v>
      </c>
      <c r="B324" s="3" t="s">
        <v>2717</v>
      </c>
    </row>
    <row r="325" customHeight="1" spans="1:2">
      <c r="A325" s="3" t="s">
        <v>2829</v>
      </c>
      <c r="B325" s="3" t="s">
        <v>2716</v>
      </c>
    </row>
    <row r="326" customHeight="1" spans="1:2">
      <c r="A326" s="3" t="s">
        <v>1253</v>
      </c>
      <c r="B326" s="3" t="s">
        <v>2716</v>
      </c>
    </row>
    <row r="327" customHeight="1" spans="1:2">
      <c r="A327" s="3" t="s">
        <v>1256</v>
      </c>
      <c r="B327" s="3" t="s">
        <v>2717</v>
      </c>
    </row>
    <row r="328" customHeight="1" spans="1:2">
      <c r="A328" s="3" t="s">
        <v>2830</v>
      </c>
      <c r="B328" s="3" t="s">
        <v>2719</v>
      </c>
    </row>
    <row r="329" customHeight="1" spans="1:2">
      <c r="A329" s="3" t="s">
        <v>1259</v>
      </c>
      <c r="B329" s="3" t="s">
        <v>2717</v>
      </c>
    </row>
    <row r="330" customHeight="1" spans="1:2">
      <c r="A330" s="3" t="s">
        <v>1265</v>
      </c>
      <c r="B330" s="3" t="s">
        <v>2716</v>
      </c>
    </row>
    <row r="331" customHeight="1" spans="1:2">
      <c r="A331" s="3" t="s">
        <v>1271</v>
      </c>
      <c r="B331" s="3" t="s">
        <v>2717</v>
      </c>
    </row>
    <row r="332" customHeight="1" spans="1:2">
      <c r="A332" s="3" t="s">
        <v>1271</v>
      </c>
      <c r="B332" s="3" t="s">
        <v>2717</v>
      </c>
    </row>
    <row r="333" customHeight="1" spans="1:2">
      <c r="A333" s="3" t="s">
        <v>1275</v>
      </c>
      <c r="B333" s="3" t="s">
        <v>2717</v>
      </c>
    </row>
    <row r="334" customHeight="1" spans="1:2">
      <c r="A334" s="3" t="s">
        <v>1277</v>
      </c>
      <c r="B334" s="3" t="s">
        <v>2719</v>
      </c>
    </row>
    <row r="335" customHeight="1" spans="1:2">
      <c r="A335" s="3" t="s">
        <v>1278</v>
      </c>
      <c r="B335" s="3" t="s">
        <v>2716</v>
      </c>
    </row>
    <row r="336" customHeight="1" spans="1:2">
      <c r="A336" s="3" t="s">
        <v>1281</v>
      </c>
      <c r="B336" s="3" t="s">
        <v>2719</v>
      </c>
    </row>
    <row r="337" customHeight="1" spans="1:2">
      <c r="A337" s="3" t="s">
        <v>2831</v>
      </c>
      <c r="B337" s="3" t="s">
        <v>2715</v>
      </c>
    </row>
    <row r="338" customHeight="1" spans="1:2">
      <c r="A338" s="3" t="s">
        <v>2832</v>
      </c>
      <c r="B338" s="3" t="s">
        <v>2716</v>
      </c>
    </row>
    <row r="339" customHeight="1" spans="1:2">
      <c r="A339" s="3" t="s">
        <v>2832</v>
      </c>
      <c r="B339" s="3" t="s">
        <v>2716</v>
      </c>
    </row>
    <row r="340" customHeight="1" spans="1:2">
      <c r="A340" s="3" t="s">
        <v>2833</v>
      </c>
      <c r="B340" s="3" t="s">
        <v>2728</v>
      </c>
    </row>
    <row r="341" customHeight="1" spans="1:2">
      <c r="A341" s="3" t="s">
        <v>2833</v>
      </c>
      <c r="B341" s="3" t="s">
        <v>2728</v>
      </c>
    </row>
    <row r="342" customHeight="1" spans="1:2">
      <c r="A342" s="3" t="s">
        <v>2834</v>
      </c>
      <c r="B342" s="3" t="s">
        <v>2716</v>
      </c>
    </row>
    <row r="343" customHeight="1" spans="1:2">
      <c r="A343" s="3" t="s">
        <v>2835</v>
      </c>
      <c r="B343" s="3" t="s">
        <v>2717</v>
      </c>
    </row>
    <row r="344" customHeight="1" spans="1:2">
      <c r="A344" s="3" t="s">
        <v>2836</v>
      </c>
      <c r="B344" s="3" t="s">
        <v>2719</v>
      </c>
    </row>
    <row r="345" customHeight="1" spans="1:2">
      <c r="A345" s="3" t="s">
        <v>2836</v>
      </c>
      <c r="B345" s="3" t="s">
        <v>2719</v>
      </c>
    </row>
    <row r="346" customHeight="1" spans="1:2">
      <c r="A346" s="3" t="s">
        <v>1300</v>
      </c>
      <c r="B346" s="3" t="s">
        <v>2716</v>
      </c>
    </row>
    <row r="347" customHeight="1" spans="1:2">
      <c r="A347" s="3" t="s">
        <v>1302</v>
      </c>
      <c r="B347" s="3" t="s">
        <v>2719</v>
      </c>
    </row>
    <row r="348" customHeight="1" spans="1:2">
      <c r="A348" s="3" t="s">
        <v>1302</v>
      </c>
      <c r="B348" s="3" t="s">
        <v>2719</v>
      </c>
    </row>
    <row r="349" customHeight="1" spans="1:2">
      <c r="A349" s="3" t="s">
        <v>2837</v>
      </c>
      <c r="B349" s="3" t="s">
        <v>2716</v>
      </c>
    </row>
    <row r="350" customHeight="1" spans="1:2">
      <c r="A350" s="3" t="s">
        <v>2837</v>
      </c>
      <c r="B350" s="3" t="s">
        <v>2716</v>
      </c>
    </row>
    <row r="351" customHeight="1" spans="1:2">
      <c r="A351" s="3" t="s">
        <v>2838</v>
      </c>
      <c r="B351" s="3" t="s">
        <v>2716</v>
      </c>
    </row>
    <row r="352" customHeight="1" spans="1:2">
      <c r="A352" s="3" t="s">
        <v>2838</v>
      </c>
      <c r="B352" s="3" t="s">
        <v>2716</v>
      </c>
    </row>
    <row r="353" customHeight="1" spans="1:2">
      <c r="A353" s="3" t="s">
        <v>1308</v>
      </c>
      <c r="B353" s="3" t="s">
        <v>2716</v>
      </c>
    </row>
    <row r="354" customHeight="1" spans="1:2">
      <c r="A354" s="3" t="s">
        <v>1308</v>
      </c>
      <c r="B354" s="3" t="s">
        <v>2716</v>
      </c>
    </row>
    <row r="355" customHeight="1" spans="1:2">
      <c r="A355" s="3" t="s">
        <v>1310</v>
      </c>
      <c r="B355" s="3" t="s">
        <v>2716</v>
      </c>
    </row>
    <row r="356" customHeight="1" spans="1:2">
      <c r="A356" s="3" t="s">
        <v>1310</v>
      </c>
      <c r="B356" s="3" t="s">
        <v>2716</v>
      </c>
    </row>
    <row r="357" customHeight="1" spans="1:2">
      <c r="A357" s="3" t="s">
        <v>1311</v>
      </c>
      <c r="B357" s="3" t="s">
        <v>2716</v>
      </c>
    </row>
    <row r="358" customHeight="1" spans="1:2">
      <c r="A358" s="3" t="s">
        <v>1311</v>
      </c>
      <c r="B358" s="3" t="s">
        <v>2716</v>
      </c>
    </row>
    <row r="359" customHeight="1" spans="1:2">
      <c r="A359" s="3" t="s">
        <v>1312</v>
      </c>
      <c r="B359" s="3" t="s">
        <v>2716</v>
      </c>
    </row>
    <row r="360" customHeight="1" spans="1:2">
      <c r="A360" s="3" t="s">
        <v>1312</v>
      </c>
      <c r="B360" s="3" t="s">
        <v>2716</v>
      </c>
    </row>
    <row r="361" customHeight="1" spans="1:2">
      <c r="A361" s="3" t="s">
        <v>2839</v>
      </c>
      <c r="B361" s="3" t="s">
        <v>2716</v>
      </c>
    </row>
    <row r="362" customHeight="1" spans="1:2">
      <c r="A362" s="3" t="s">
        <v>2839</v>
      </c>
      <c r="B362" s="3" t="s">
        <v>2716</v>
      </c>
    </row>
    <row r="363" customHeight="1" spans="1:2">
      <c r="A363" s="3" t="s">
        <v>1315</v>
      </c>
      <c r="B363" s="3" t="s">
        <v>2716</v>
      </c>
    </row>
    <row r="364" customHeight="1" spans="1:2">
      <c r="A364" s="3" t="s">
        <v>1315</v>
      </c>
      <c r="B364" s="3" t="s">
        <v>2716</v>
      </c>
    </row>
    <row r="365" customHeight="1" spans="1:2">
      <c r="A365" s="3" t="s">
        <v>1317</v>
      </c>
      <c r="B365" s="3" t="s">
        <v>2716</v>
      </c>
    </row>
    <row r="366" customHeight="1" spans="1:2">
      <c r="A366" s="3" t="s">
        <v>1317</v>
      </c>
      <c r="B366" s="3" t="s">
        <v>2716</v>
      </c>
    </row>
    <row r="367" customHeight="1" spans="1:2">
      <c r="A367" s="3" t="s">
        <v>1325</v>
      </c>
      <c r="B367" s="3" t="s">
        <v>2717</v>
      </c>
    </row>
    <row r="368" customHeight="1" spans="1:2">
      <c r="A368" s="3" t="s">
        <v>1325</v>
      </c>
      <c r="B368" s="3" t="s">
        <v>2717</v>
      </c>
    </row>
    <row r="369" customHeight="1" spans="1:2">
      <c r="A369" s="3" t="s">
        <v>1329</v>
      </c>
      <c r="B369" s="3" t="s">
        <v>2716</v>
      </c>
    </row>
    <row r="370" customHeight="1" spans="1:2">
      <c r="A370" s="3" t="s">
        <v>1329</v>
      </c>
      <c r="B370" s="3" t="s">
        <v>2716</v>
      </c>
    </row>
    <row r="371" customHeight="1" spans="1:2">
      <c r="A371" s="3" t="s">
        <v>2840</v>
      </c>
      <c r="B371" s="3" t="s">
        <v>2719</v>
      </c>
    </row>
    <row r="372" customHeight="1" spans="1:2">
      <c r="A372" s="3" t="s">
        <v>2840</v>
      </c>
      <c r="B372" s="3" t="s">
        <v>2719</v>
      </c>
    </row>
    <row r="373" customHeight="1" spans="1:2">
      <c r="A373" s="3" t="s">
        <v>1349</v>
      </c>
      <c r="B373" s="3" t="s">
        <v>2717</v>
      </c>
    </row>
    <row r="374" customHeight="1" spans="1:2">
      <c r="A374" s="3" t="s">
        <v>1349</v>
      </c>
      <c r="B374" s="3" t="s">
        <v>2717</v>
      </c>
    </row>
    <row r="375" customHeight="1" spans="1:2">
      <c r="A375" s="3" t="s">
        <v>1351</v>
      </c>
      <c r="B375" s="3" t="s">
        <v>2719</v>
      </c>
    </row>
    <row r="376" customHeight="1" spans="1:2">
      <c r="A376" s="3" t="s">
        <v>1351</v>
      </c>
      <c r="B376" s="3" t="s">
        <v>2719</v>
      </c>
    </row>
    <row r="377" customHeight="1" spans="1:2">
      <c r="A377" s="3" t="s">
        <v>2841</v>
      </c>
      <c r="B377" s="3" t="s">
        <v>2728</v>
      </c>
    </row>
    <row r="378" customHeight="1" spans="1:2">
      <c r="A378" s="3" t="s">
        <v>2841</v>
      </c>
      <c r="B378" s="3" t="s">
        <v>2728</v>
      </c>
    </row>
    <row r="379" customHeight="1" spans="1:2">
      <c r="A379" s="3" t="s">
        <v>1362</v>
      </c>
      <c r="B379" s="3" t="s">
        <v>2716</v>
      </c>
    </row>
    <row r="380" customHeight="1" spans="1:2">
      <c r="A380" s="3" t="s">
        <v>1362</v>
      </c>
      <c r="B380" s="3" t="s">
        <v>2716</v>
      </c>
    </row>
    <row r="381" customHeight="1" spans="1:2">
      <c r="A381" s="3" t="s">
        <v>1373</v>
      </c>
      <c r="B381" s="3" t="s">
        <v>2728</v>
      </c>
    </row>
    <row r="382" customHeight="1" spans="1:2">
      <c r="A382" s="3" t="s">
        <v>1373</v>
      </c>
      <c r="B382" s="3" t="s">
        <v>2728</v>
      </c>
    </row>
    <row r="383" customHeight="1" spans="1:2">
      <c r="A383" s="3" t="s">
        <v>2842</v>
      </c>
      <c r="B383" s="3" t="s">
        <v>2717</v>
      </c>
    </row>
    <row r="384" customHeight="1" spans="1:2">
      <c r="A384" s="3" t="s">
        <v>2842</v>
      </c>
      <c r="B384" s="3" t="s">
        <v>2717</v>
      </c>
    </row>
    <row r="385" customHeight="1" spans="1:2">
      <c r="A385" s="3" t="s">
        <v>1393</v>
      </c>
      <c r="B385" s="3" t="s">
        <v>2716</v>
      </c>
    </row>
    <row r="386" customHeight="1" spans="1:2">
      <c r="A386" s="3" t="s">
        <v>1393</v>
      </c>
      <c r="B386" s="3" t="s">
        <v>2716</v>
      </c>
    </row>
    <row r="387" customHeight="1" spans="1:2">
      <c r="A387" s="3" t="s">
        <v>2843</v>
      </c>
      <c r="B387" s="3" t="s">
        <v>2717</v>
      </c>
    </row>
    <row r="388" customHeight="1" spans="1:2">
      <c r="A388" s="3" t="s">
        <v>2843</v>
      </c>
      <c r="B388" s="3" t="s">
        <v>2717</v>
      </c>
    </row>
    <row r="389" customHeight="1" spans="1:2">
      <c r="A389" s="3" t="s">
        <v>1396</v>
      </c>
      <c r="B389" s="3" t="s">
        <v>2719</v>
      </c>
    </row>
    <row r="390" customHeight="1" spans="1:2">
      <c r="A390" s="3" t="s">
        <v>1396</v>
      </c>
      <c r="B390" s="3" t="s">
        <v>2719</v>
      </c>
    </row>
    <row r="391" customHeight="1" spans="1:2">
      <c r="A391" s="3" t="s">
        <v>2844</v>
      </c>
      <c r="B391" s="3" t="s">
        <v>2716</v>
      </c>
    </row>
    <row r="392" customHeight="1" spans="1:2">
      <c r="A392" s="3" t="s">
        <v>2844</v>
      </c>
      <c r="B392" s="3" t="s">
        <v>2716</v>
      </c>
    </row>
    <row r="393" customHeight="1" spans="1:2">
      <c r="A393" s="3" t="s">
        <v>1405</v>
      </c>
      <c r="B393" s="3" t="s">
        <v>2717</v>
      </c>
    </row>
    <row r="394" customHeight="1" spans="1:2">
      <c r="A394" s="3" t="s">
        <v>1405</v>
      </c>
      <c r="B394" s="3" t="s">
        <v>2717</v>
      </c>
    </row>
    <row r="395" customHeight="1" spans="1:2">
      <c r="A395" s="3" t="s">
        <v>2845</v>
      </c>
      <c r="B395" s="3" t="s">
        <v>2717</v>
      </c>
    </row>
    <row r="396" customHeight="1" spans="1:2">
      <c r="A396" s="3" t="s">
        <v>2845</v>
      </c>
      <c r="B396" s="3" t="s">
        <v>2717</v>
      </c>
    </row>
    <row r="397" customHeight="1" spans="1:2">
      <c r="A397" s="3" t="s">
        <v>1414</v>
      </c>
      <c r="B397" s="3" t="s">
        <v>2728</v>
      </c>
    </row>
    <row r="398" customHeight="1" spans="1:2">
      <c r="A398" s="3" t="s">
        <v>1414</v>
      </c>
      <c r="B398" s="3" t="s">
        <v>2728</v>
      </c>
    </row>
    <row r="399" customHeight="1" spans="1:2">
      <c r="A399" s="3" t="s">
        <v>1428</v>
      </c>
      <c r="B399" s="3" t="s">
        <v>2716</v>
      </c>
    </row>
    <row r="400" customHeight="1" spans="1:2">
      <c r="A400" s="3" t="s">
        <v>1428</v>
      </c>
      <c r="B400" s="3" t="s">
        <v>2716</v>
      </c>
    </row>
    <row r="401" customHeight="1" spans="1:2">
      <c r="A401" s="3" t="s">
        <v>1431</v>
      </c>
      <c r="B401" s="3" t="s">
        <v>2716</v>
      </c>
    </row>
    <row r="402" customHeight="1" spans="1:2">
      <c r="A402" s="3" t="s">
        <v>1431</v>
      </c>
      <c r="B402" s="3" t="s">
        <v>2716</v>
      </c>
    </row>
    <row r="403" customHeight="1" spans="1:2">
      <c r="A403" s="3" t="s">
        <v>1433</v>
      </c>
      <c r="B403" s="3" t="s">
        <v>2716</v>
      </c>
    </row>
    <row r="404" customHeight="1" spans="1:2">
      <c r="A404" s="3" t="s">
        <v>1433</v>
      </c>
      <c r="B404" s="3" t="s">
        <v>2716</v>
      </c>
    </row>
    <row r="405" customHeight="1" spans="1:2">
      <c r="A405" s="3" t="s">
        <v>2846</v>
      </c>
      <c r="B405" s="3" t="s">
        <v>2717</v>
      </c>
    </row>
    <row r="406" customHeight="1" spans="1:2">
      <c r="A406" s="3" t="s">
        <v>2846</v>
      </c>
      <c r="B406" s="3" t="s">
        <v>2717</v>
      </c>
    </row>
    <row r="407" customHeight="1" spans="1:2">
      <c r="A407" s="3" t="s">
        <v>1441</v>
      </c>
      <c r="B407" s="3" t="s">
        <v>2717</v>
      </c>
    </row>
    <row r="408" customHeight="1" spans="1:2">
      <c r="A408" s="3" t="s">
        <v>1441</v>
      </c>
      <c r="B408" s="3" t="s">
        <v>2717</v>
      </c>
    </row>
    <row r="409" customHeight="1" spans="1:2">
      <c r="A409" s="3" t="s">
        <v>1451</v>
      </c>
      <c r="B409" s="3" t="s">
        <v>2717</v>
      </c>
    </row>
    <row r="410" customHeight="1" spans="1:2">
      <c r="A410" s="3" t="s">
        <v>1451</v>
      </c>
      <c r="B410" s="3" t="s">
        <v>2717</v>
      </c>
    </row>
    <row r="411" customHeight="1" spans="1:2">
      <c r="A411" s="3" t="s">
        <v>1457</v>
      </c>
      <c r="B411" s="3" t="s">
        <v>2719</v>
      </c>
    </row>
    <row r="412" customHeight="1" spans="1:2">
      <c r="A412" s="3" t="s">
        <v>1457</v>
      </c>
      <c r="B412" s="3" t="s">
        <v>2719</v>
      </c>
    </row>
    <row r="413" customHeight="1" spans="1:2">
      <c r="A413" s="3" t="s">
        <v>2847</v>
      </c>
      <c r="B413" s="3" t="s">
        <v>2717</v>
      </c>
    </row>
    <row r="414" customHeight="1" spans="1:2">
      <c r="A414" s="3" t="s">
        <v>2847</v>
      </c>
      <c r="B414" s="3" t="s">
        <v>2717</v>
      </c>
    </row>
    <row r="415" customHeight="1" spans="1:2">
      <c r="A415" s="3" t="s">
        <v>250</v>
      </c>
      <c r="B415" s="3" t="s">
        <v>2717</v>
      </c>
    </row>
    <row r="416" customHeight="1" spans="1:2">
      <c r="A416" s="3" t="s">
        <v>250</v>
      </c>
      <c r="B416" s="3" t="s">
        <v>2717</v>
      </c>
    </row>
    <row r="417" customHeight="1" spans="1:2">
      <c r="A417" s="3" t="s">
        <v>2848</v>
      </c>
      <c r="B417" s="3" t="s">
        <v>2717</v>
      </c>
    </row>
    <row r="418" customHeight="1" spans="1:2">
      <c r="A418" s="3" t="s">
        <v>2848</v>
      </c>
      <c r="B418" s="3" t="s">
        <v>2717</v>
      </c>
    </row>
    <row r="419" customHeight="1" spans="1:2">
      <c r="A419" s="3" t="s">
        <v>257</v>
      </c>
      <c r="B419" s="3" t="s">
        <v>2717</v>
      </c>
    </row>
    <row r="420" customHeight="1" spans="1:2">
      <c r="A420" s="3" t="s">
        <v>257</v>
      </c>
      <c r="B420" s="3" t="s">
        <v>2717</v>
      </c>
    </row>
    <row r="421" customHeight="1" spans="1:2">
      <c r="A421" s="3" t="s">
        <v>2849</v>
      </c>
      <c r="B421" s="3" t="s">
        <v>2716</v>
      </c>
    </row>
    <row r="422" customHeight="1" spans="1:2">
      <c r="A422" s="3" t="s">
        <v>2849</v>
      </c>
      <c r="B422" s="3" t="s">
        <v>2716</v>
      </c>
    </row>
    <row r="423" customHeight="1" spans="1:2">
      <c r="A423" s="3" t="s">
        <v>2850</v>
      </c>
      <c r="B423" s="3" t="s">
        <v>2717</v>
      </c>
    </row>
    <row r="424" customHeight="1" spans="1:2">
      <c r="A424" s="3" t="s">
        <v>2850</v>
      </c>
      <c r="B424" s="3" t="s">
        <v>2717</v>
      </c>
    </row>
    <row r="425" customHeight="1" spans="1:2">
      <c r="A425" s="3" t="s">
        <v>2851</v>
      </c>
      <c r="B425" s="3" t="s">
        <v>2717</v>
      </c>
    </row>
    <row r="426" customHeight="1" spans="1:2">
      <c r="A426" s="3" t="s">
        <v>2851</v>
      </c>
      <c r="B426" s="3" t="s">
        <v>2717</v>
      </c>
    </row>
    <row r="427" customHeight="1" spans="1:2">
      <c r="A427" s="3" t="s">
        <v>2852</v>
      </c>
      <c r="B427" s="3" t="s">
        <v>2716</v>
      </c>
    </row>
    <row r="428" customHeight="1" spans="1:2">
      <c r="A428" s="3" t="s">
        <v>2852</v>
      </c>
      <c r="B428" s="3" t="s">
        <v>2716</v>
      </c>
    </row>
    <row r="429" customHeight="1" spans="1:2">
      <c r="A429" s="3" t="s">
        <v>1490</v>
      </c>
      <c r="B429" s="3" t="s">
        <v>2719</v>
      </c>
    </row>
    <row r="430" customHeight="1" spans="1:2">
      <c r="A430" s="3" t="s">
        <v>1490</v>
      </c>
      <c r="B430" s="3" t="s">
        <v>2719</v>
      </c>
    </row>
    <row r="431" customHeight="1" spans="1:2">
      <c r="A431" s="3" t="s">
        <v>1492</v>
      </c>
      <c r="B431" s="3" t="s">
        <v>2716</v>
      </c>
    </row>
    <row r="432" customHeight="1" spans="1:2">
      <c r="A432" s="3" t="s">
        <v>1492</v>
      </c>
      <c r="B432" s="3" t="s">
        <v>2716</v>
      </c>
    </row>
    <row r="433" customHeight="1" spans="1:2">
      <c r="A433" s="3" t="s">
        <v>2853</v>
      </c>
      <c r="B433" s="3" t="s">
        <v>2728</v>
      </c>
    </row>
    <row r="434" customHeight="1" spans="1:2">
      <c r="A434" s="3" t="s">
        <v>2853</v>
      </c>
      <c r="B434" s="3" t="s">
        <v>2728</v>
      </c>
    </row>
    <row r="435" customHeight="1" spans="1:2">
      <c r="A435" s="3" t="s">
        <v>2854</v>
      </c>
      <c r="B435" s="3" t="s">
        <v>2717</v>
      </c>
    </row>
    <row r="436" customHeight="1" spans="1:2">
      <c r="A436" s="3" t="s">
        <v>2854</v>
      </c>
      <c r="B436" s="3" t="s">
        <v>2717</v>
      </c>
    </row>
    <row r="437" customHeight="1" spans="1:2">
      <c r="A437" s="3" t="s">
        <v>2855</v>
      </c>
      <c r="B437" s="3" t="s">
        <v>2717</v>
      </c>
    </row>
    <row r="438" customHeight="1" spans="1:2">
      <c r="A438" s="3" t="s">
        <v>2855</v>
      </c>
      <c r="B438" s="3" t="s">
        <v>2717</v>
      </c>
    </row>
    <row r="439" customHeight="1" spans="1:2">
      <c r="A439" s="3" t="s">
        <v>2856</v>
      </c>
      <c r="B439" s="3" t="s">
        <v>2717</v>
      </c>
    </row>
    <row r="440" customHeight="1" spans="1:2">
      <c r="A440" s="3" t="s">
        <v>2856</v>
      </c>
      <c r="B440" s="3" t="s">
        <v>2717</v>
      </c>
    </row>
    <row r="441" customHeight="1" spans="1:2">
      <c r="A441" s="3" t="s">
        <v>1526</v>
      </c>
      <c r="B441" s="3" t="s">
        <v>2717</v>
      </c>
    </row>
    <row r="442" customHeight="1" spans="1:2">
      <c r="A442" s="3" t="s">
        <v>1526</v>
      </c>
      <c r="B442" s="3" t="s">
        <v>2717</v>
      </c>
    </row>
    <row r="443" customHeight="1" spans="1:2">
      <c r="A443" s="3" t="s">
        <v>2857</v>
      </c>
      <c r="B443" s="3" t="s">
        <v>2717</v>
      </c>
    </row>
    <row r="444" customHeight="1" spans="1:2">
      <c r="A444" s="3" t="s">
        <v>2857</v>
      </c>
      <c r="B444" s="3" t="s">
        <v>2717</v>
      </c>
    </row>
    <row r="445" customHeight="1" spans="1:2">
      <c r="A445" s="3" t="s">
        <v>1530</v>
      </c>
      <c r="B445" s="3" t="s">
        <v>2716</v>
      </c>
    </row>
    <row r="446" customHeight="1" spans="1:2">
      <c r="A446" s="3" t="s">
        <v>1530</v>
      </c>
      <c r="B446" s="3" t="s">
        <v>2716</v>
      </c>
    </row>
    <row r="447" customHeight="1" spans="1:2">
      <c r="A447" s="3" t="s">
        <v>2858</v>
      </c>
      <c r="B447" s="3" t="s">
        <v>2717</v>
      </c>
    </row>
    <row r="448" customHeight="1" spans="1:2">
      <c r="A448" s="3" t="s">
        <v>2858</v>
      </c>
      <c r="B448" s="3" t="s">
        <v>2717</v>
      </c>
    </row>
    <row r="449" customHeight="1" spans="1:2">
      <c r="A449" s="3" t="s">
        <v>1535</v>
      </c>
      <c r="B449" s="3" t="s">
        <v>2717</v>
      </c>
    </row>
    <row r="450" customHeight="1" spans="1:2">
      <c r="A450" s="3" t="s">
        <v>1535</v>
      </c>
      <c r="B450" s="3" t="s">
        <v>2717</v>
      </c>
    </row>
    <row r="451" customHeight="1" spans="1:2">
      <c r="A451" s="3" t="s">
        <v>1537</v>
      </c>
      <c r="B451" s="3" t="s">
        <v>2716</v>
      </c>
    </row>
    <row r="452" customHeight="1" spans="1:2">
      <c r="A452" s="3" t="s">
        <v>1537</v>
      </c>
      <c r="B452" s="3" t="s">
        <v>2716</v>
      </c>
    </row>
    <row r="453" customHeight="1" spans="1:2">
      <c r="A453" s="3" t="s">
        <v>2859</v>
      </c>
      <c r="B453" s="3" t="s">
        <v>2716</v>
      </c>
    </row>
    <row r="454" customHeight="1" spans="1:2">
      <c r="A454" s="3" t="s">
        <v>2859</v>
      </c>
      <c r="B454" s="3" t="s">
        <v>2716</v>
      </c>
    </row>
    <row r="455" customHeight="1" spans="1:2">
      <c r="A455" s="3" t="s">
        <v>1548</v>
      </c>
      <c r="B455" s="3" t="s">
        <v>2719</v>
      </c>
    </row>
    <row r="456" customHeight="1" spans="1:2">
      <c r="A456" s="3" t="s">
        <v>1548</v>
      </c>
      <c r="B456" s="3" t="s">
        <v>2719</v>
      </c>
    </row>
    <row r="457" customHeight="1" spans="1:2">
      <c r="A457" s="3" t="s">
        <v>2860</v>
      </c>
      <c r="B457" s="3" t="s">
        <v>2717</v>
      </c>
    </row>
    <row r="458" customHeight="1" spans="1:2">
      <c r="A458" s="3" t="s">
        <v>2860</v>
      </c>
      <c r="B458" s="3" t="s">
        <v>2717</v>
      </c>
    </row>
    <row r="459" customHeight="1" spans="1:2">
      <c r="A459" s="3" t="s">
        <v>1561</v>
      </c>
      <c r="B459" s="3" t="s">
        <v>2717</v>
      </c>
    </row>
    <row r="460" customHeight="1" spans="1:2">
      <c r="A460" s="3" t="s">
        <v>1561</v>
      </c>
      <c r="B460" s="3" t="s">
        <v>2717</v>
      </c>
    </row>
    <row r="461" customHeight="1" spans="1:2">
      <c r="A461" s="3" t="s">
        <v>2861</v>
      </c>
      <c r="B461" s="3" t="s">
        <v>2719</v>
      </c>
    </row>
    <row r="462" customHeight="1" spans="1:2">
      <c r="A462" s="3" t="s">
        <v>2861</v>
      </c>
      <c r="B462" s="3" t="s">
        <v>2719</v>
      </c>
    </row>
    <row r="463" customHeight="1" spans="1:2">
      <c r="A463" s="3" t="s">
        <v>1562</v>
      </c>
      <c r="B463" s="3" t="s">
        <v>2717</v>
      </c>
    </row>
    <row r="464" customHeight="1" spans="1:2">
      <c r="A464" s="3" t="s">
        <v>1562</v>
      </c>
      <c r="B464" s="3" t="s">
        <v>2717</v>
      </c>
    </row>
    <row r="465" customHeight="1" spans="1:2">
      <c r="A465" s="3" t="s">
        <v>1568</v>
      </c>
      <c r="B465" s="3" t="s">
        <v>2717</v>
      </c>
    </row>
    <row r="466" customHeight="1" spans="1:2">
      <c r="A466" s="3" t="s">
        <v>1568</v>
      </c>
      <c r="B466" s="3" t="s">
        <v>2717</v>
      </c>
    </row>
    <row r="467" customHeight="1" spans="1:2">
      <c r="A467" s="3" t="s">
        <v>1575</v>
      </c>
      <c r="B467" s="3" t="s">
        <v>2719</v>
      </c>
    </row>
    <row r="468" customHeight="1" spans="1:2">
      <c r="A468" s="3" t="s">
        <v>1575</v>
      </c>
      <c r="B468" s="3" t="s">
        <v>2719</v>
      </c>
    </row>
    <row r="469" customHeight="1" spans="1:2">
      <c r="A469" s="3" t="s">
        <v>2862</v>
      </c>
      <c r="B469" s="3" t="s">
        <v>2719</v>
      </c>
    </row>
    <row r="470" customHeight="1" spans="1:2">
      <c r="A470" s="3" t="s">
        <v>2862</v>
      </c>
      <c r="B470" s="3" t="s">
        <v>2719</v>
      </c>
    </row>
    <row r="471" customHeight="1" spans="1:2">
      <c r="A471" s="3" t="s">
        <v>1580</v>
      </c>
      <c r="B471" s="3" t="s">
        <v>2717</v>
      </c>
    </row>
    <row r="472" customHeight="1" spans="1:2">
      <c r="A472" s="3" t="s">
        <v>1580</v>
      </c>
      <c r="B472" s="3" t="s">
        <v>2717</v>
      </c>
    </row>
    <row r="473" customHeight="1" spans="1:2">
      <c r="A473" s="3" t="s">
        <v>2863</v>
      </c>
      <c r="B473" s="3" t="s">
        <v>2719</v>
      </c>
    </row>
    <row r="474" customHeight="1" spans="1:2">
      <c r="A474" s="3" t="s">
        <v>2863</v>
      </c>
      <c r="B474" s="3" t="s">
        <v>2719</v>
      </c>
    </row>
    <row r="475" customHeight="1" spans="1:2">
      <c r="A475" s="3" t="s">
        <v>2864</v>
      </c>
      <c r="B475" s="3" t="s">
        <v>2719</v>
      </c>
    </row>
    <row r="476" customHeight="1" spans="1:2">
      <c r="A476" s="3" t="s">
        <v>2864</v>
      </c>
      <c r="B476" s="3" t="s">
        <v>2719</v>
      </c>
    </row>
    <row r="477" customHeight="1" spans="1:2">
      <c r="A477" s="3" t="s">
        <v>1586</v>
      </c>
      <c r="B477" s="3" t="s">
        <v>2717</v>
      </c>
    </row>
    <row r="478" customHeight="1" spans="1:2">
      <c r="A478" s="3" t="s">
        <v>1586</v>
      </c>
      <c r="B478" s="3" t="s">
        <v>2717</v>
      </c>
    </row>
    <row r="479" customHeight="1" spans="1:2">
      <c r="A479" s="3" t="s">
        <v>2865</v>
      </c>
      <c r="B479" s="3" t="s">
        <v>2719</v>
      </c>
    </row>
    <row r="480" customHeight="1" spans="1:2">
      <c r="A480" s="3" t="s">
        <v>2865</v>
      </c>
      <c r="B480" s="3" t="s">
        <v>2719</v>
      </c>
    </row>
    <row r="481" customHeight="1" spans="1:2">
      <c r="A481" s="3" t="s">
        <v>2866</v>
      </c>
      <c r="B481" s="3" t="s">
        <v>2717</v>
      </c>
    </row>
    <row r="482" customHeight="1" spans="1:2">
      <c r="A482" s="3" t="s">
        <v>2866</v>
      </c>
      <c r="B482" s="3" t="s">
        <v>2717</v>
      </c>
    </row>
    <row r="483" customHeight="1" spans="1:2">
      <c r="A483" s="3" t="s">
        <v>1603</v>
      </c>
      <c r="B483" s="3" t="s">
        <v>2716</v>
      </c>
    </row>
    <row r="484" customHeight="1" spans="1:2">
      <c r="A484" s="3" t="s">
        <v>1603</v>
      </c>
      <c r="B484" s="3" t="s">
        <v>2716</v>
      </c>
    </row>
    <row r="485" customHeight="1" spans="1:2">
      <c r="A485" s="3" t="s">
        <v>2867</v>
      </c>
      <c r="B485" s="3" t="s">
        <v>2717</v>
      </c>
    </row>
    <row r="486" customHeight="1" spans="1:2">
      <c r="A486" s="3" t="s">
        <v>2867</v>
      </c>
      <c r="B486" s="3" t="s">
        <v>2717</v>
      </c>
    </row>
    <row r="487" customHeight="1" spans="1:2">
      <c r="A487" s="3" t="s">
        <v>2868</v>
      </c>
      <c r="B487" s="3" t="s">
        <v>2716</v>
      </c>
    </row>
    <row r="488" customHeight="1" spans="1:2">
      <c r="A488" s="3" t="s">
        <v>2868</v>
      </c>
      <c r="B488" s="3" t="s">
        <v>2716</v>
      </c>
    </row>
    <row r="489" customHeight="1" spans="1:2">
      <c r="A489" s="3" t="s">
        <v>2869</v>
      </c>
      <c r="B489" s="3" t="s">
        <v>2719</v>
      </c>
    </row>
    <row r="490" customHeight="1" spans="1:2">
      <c r="A490" s="3" t="s">
        <v>2869</v>
      </c>
      <c r="B490" s="3" t="s">
        <v>2719</v>
      </c>
    </row>
    <row r="491" customHeight="1" spans="1:2">
      <c r="A491" s="3" t="s">
        <v>2870</v>
      </c>
      <c r="B491" s="3" t="s">
        <v>2717</v>
      </c>
    </row>
    <row r="492" customHeight="1" spans="1:2">
      <c r="A492" s="3" t="s">
        <v>2870</v>
      </c>
      <c r="B492" s="3" t="s">
        <v>2717</v>
      </c>
    </row>
    <row r="493" customHeight="1" spans="1:2">
      <c r="A493" s="3" t="s">
        <v>2871</v>
      </c>
      <c r="B493" s="3" t="s">
        <v>2719</v>
      </c>
    </row>
    <row r="494" customHeight="1" spans="1:2">
      <c r="A494" s="3" t="s">
        <v>2871</v>
      </c>
      <c r="B494" s="3" t="s">
        <v>2719</v>
      </c>
    </row>
    <row r="495" customHeight="1" spans="1:2">
      <c r="A495" s="3" t="s">
        <v>1651</v>
      </c>
      <c r="B495" s="3" t="s">
        <v>2717</v>
      </c>
    </row>
    <row r="496" customHeight="1" spans="1:2">
      <c r="A496" s="3" t="s">
        <v>1651</v>
      </c>
      <c r="B496" s="3" t="s">
        <v>2717</v>
      </c>
    </row>
    <row r="497" customHeight="1" spans="1:2">
      <c r="A497" s="3" t="s">
        <v>1666</v>
      </c>
      <c r="B497" s="3" t="s">
        <v>2716</v>
      </c>
    </row>
    <row r="498" customHeight="1" spans="1:2">
      <c r="A498" s="3" t="s">
        <v>1666</v>
      </c>
      <c r="B498" s="3" t="s">
        <v>2716</v>
      </c>
    </row>
    <row r="499" customHeight="1" spans="1:2">
      <c r="A499" s="3" t="s">
        <v>2872</v>
      </c>
      <c r="B499" s="3" t="s">
        <v>2717</v>
      </c>
    </row>
    <row r="500" customHeight="1" spans="1:2">
      <c r="A500" s="3" t="s">
        <v>2872</v>
      </c>
      <c r="B500" s="3" t="s">
        <v>2717</v>
      </c>
    </row>
    <row r="501" customHeight="1" spans="1:2">
      <c r="A501" s="3" t="s">
        <v>1673</v>
      </c>
      <c r="B501" s="3" t="s">
        <v>2719</v>
      </c>
    </row>
    <row r="502" customHeight="1" spans="1:2">
      <c r="A502" s="3" t="s">
        <v>1673</v>
      </c>
      <c r="B502" s="3" t="s">
        <v>2719</v>
      </c>
    </row>
    <row r="503" customHeight="1" spans="1:2">
      <c r="A503" s="3" t="s">
        <v>1676</v>
      </c>
      <c r="B503" s="3" t="s">
        <v>2719</v>
      </c>
    </row>
    <row r="504" customHeight="1" spans="1:2">
      <c r="A504" s="3" t="s">
        <v>1676</v>
      </c>
      <c r="B504" s="3" t="s">
        <v>2719</v>
      </c>
    </row>
    <row r="505" customHeight="1" spans="1:2">
      <c r="A505" s="3" t="s">
        <v>1693</v>
      </c>
      <c r="B505" s="3" t="s">
        <v>2716</v>
      </c>
    </row>
    <row r="506" customHeight="1" spans="1:2">
      <c r="A506" s="3" t="s">
        <v>1693</v>
      </c>
      <c r="B506" s="3" t="s">
        <v>2716</v>
      </c>
    </row>
    <row r="507" customHeight="1" spans="1:2">
      <c r="A507" s="3" t="s">
        <v>1705</v>
      </c>
      <c r="B507" s="3" t="s">
        <v>2716</v>
      </c>
    </row>
    <row r="508" customHeight="1" spans="1:2">
      <c r="A508" s="3" t="s">
        <v>1705</v>
      </c>
      <c r="B508" s="3" t="s">
        <v>2716</v>
      </c>
    </row>
    <row r="509" customHeight="1" spans="1:2">
      <c r="A509" s="3" t="s">
        <v>264</v>
      </c>
      <c r="B509" s="3" t="s">
        <v>2717</v>
      </c>
    </row>
    <row r="510" customHeight="1" spans="1:2">
      <c r="A510" s="3" t="s">
        <v>264</v>
      </c>
      <c r="B510" s="3" t="s">
        <v>2717</v>
      </c>
    </row>
    <row r="511" customHeight="1" spans="1:2">
      <c r="A511" s="3" t="s">
        <v>1726</v>
      </c>
      <c r="B511" s="3" t="s">
        <v>2716</v>
      </c>
    </row>
    <row r="512" customHeight="1" spans="1:2">
      <c r="A512" s="3" t="s">
        <v>1726</v>
      </c>
      <c r="B512" s="3" t="s">
        <v>2716</v>
      </c>
    </row>
    <row r="513" customHeight="1" spans="1:2">
      <c r="A513" s="3" t="s">
        <v>1747</v>
      </c>
      <c r="B513" s="3" t="s">
        <v>2717</v>
      </c>
    </row>
    <row r="514" customHeight="1" spans="1:2">
      <c r="A514" s="3" t="s">
        <v>1747</v>
      </c>
      <c r="B514" s="3" t="s">
        <v>2717</v>
      </c>
    </row>
    <row r="515" customHeight="1" spans="1:2">
      <c r="A515" s="3" t="s">
        <v>1748</v>
      </c>
      <c r="B515" s="3" t="s">
        <v>2719</v>
      </c>
    </row>
    <row r="516" customHeight="1" spans="1:2">
      <c r="A516" s="3" t="s">
        <v>1748</v>
      </c>
      <c r="B516" s="3" t="s">
        <v>2719</v>
      </c>
    </row>
    <row r="517" customHeight="1" spans="1:2">
      <c r="A517" s="3" t="s">
        <v>1750</v>
      </c>
      <c r="B517" s="3" t="s">
        <v>2719</v>
      </c>
    </row>
    <row r="518" customHeight="1" spans="1:2">
      <c r="A518" s="3" t="s">
        <v>1750</v>
      </c>
      <c r="B518" s="3" t="s">
        <v>2719</v>
      </c>
    </row>
    <row r="519" customHeight="1" spans="1:2">
      <c r="A519" s="3" t="s">
        <v>1790</v>
      </c>
      <c r="B519" s="3" t="s">
        <v>2715</v>
      </c>
    </row>
    <row r="520" customHeight="1" spans="1:2">
      <c r="A520" s="3" t="s">
        <v>1790</v>
      </c>
      <c r="B520" s="3" t="s">
        <v>2715</v>
      </c>
    </row>
    <row r="521" customHeight="1" spans="1:2">
      <c r="A521" s="3" t="s">
        <v>1799</v>
      </c>
      <c r="B521" s="3" t="s">
        <v>2715</v>
      </c>
    </row>
    <row r="522" customHeight="1" spans="1:2">
      <c r="A522" s="3" t="s">
        <v>1799</v>
      </c>
      <c r="B522" s="3" t="s">
        <v>2715</v>
      </c>
    </row>
    <row r="523" customHeight="1" spans="1:2">
      <c r="A523" s="3" t="s">
        <v>2873</v>
      </c>
      <c r="B523" s="3" t="s">
        <v>2719</v>
      </c>
    </row>
    <row r="524" customHeight="1" spans="1:2">
      <c r="A524" s="3" t="s">
        <v>2873</v>
      </c>
      <c r="B524" s="3" t="s">
        <v>2719</v>
      </c>
    </row>
    <row r="525" customHeight="1" spans="1:2">
      <c r="A525" s="3" t="s">
        <v>1827</v>
      </c>
      <c r="B525" s="3" t="s">
        <v>2716</v>
      </c>
    </row>
    <row r="526" customHeight="1" spans="1:2">
      <c r="A526" s="3" t="s">
        <v>1827</v>
      </c>
      <c r="B526" s="3" t="s">
        <v>2716</v>
      </c>
    </row>
    <row r="527" customHeight="1" spans="1:2">
      <c r="A527" s="3" t="s">
        <v>2874</v>
      </c>
      <c r="B527" s="3" t="s">
        <v>2717</v>
      </c>
    </row>
    <row r="528" customHeight="1" spans="1:2">
      <c r="A528" s="3" t="s">
        <v>2874</v>
      </c>
      <c r="B528" s="3" t="s">
        <v>2717</v>
      </c>
    </row>
    <row r="529" customHeight="1" spans="1:2">
      <c r="A529" s="3" t="s">
        <v>1838</v>
      </c>
      <c r="B529" s="3" t="s">
        <v>2717</v>
      </c>
    </row>
    <row r="530" customHeight="1" spans="1:2">
      <c r="A530" s="3" t="s">
        <v>1838</v>
      </c>
      <c r="B530" s="3" t="s">
        <v>2717</v>
      </c>
    </row>
    <row r="531" customHeight="1" spans="1:2">
      <c r="A531" s="3" t="s">
        <v>1842</v>
      </c>
      <c r="B531" s="3" t="s">
        <v>2719</v>
      </c>
    </row>
    <row r="532" customHeight="1" spans="1:2">
      <c r="A532" s="3" t="s">
        <v>1842</v>
      </c>
      <c r="B532" s="3" t="s">
        <v>2719</v>
      </c>
    </row>
    <row r="533" customHeight="1" spans="1:2">
      <c r="A533" s="3" t="s">
        <v>2875</v>
      </c>
      <c r="B533" s="3" t="s">
        <v>2716</v>
      </c>
    </row>
    <row r="534" customHeight="1" spans="1:2">
      <c r="A534" s="3" t="s">
        <v>2875</v>
      </c>
      <c r="B534" s="3" t="s">
        <v>2716</v>
      </c>
    </row>
    <row r="535" customHeight="1" spans="1:2">
      <c r="A535" s="3" t="s">
        <v>1845</v>
      </c>
      <c r="B535" s="3" t="s">
        <v>2717</v>
      </c>
    </row>
    <row r="536" customHeight="1" spans="1:2">
      <c r="A536" s="3" t="s">
        <v>1845</v>
      </c>
      <c r="B536" s="3" t="s">
        <v>2717</v>
      </c>
    </row>
    <row r="537" customHeight="1" spans="1:2">
      <c r="A537" s="3" t="s">
        <v>2876</v>
      </c>
      <c r="B537" s="3" t="s">
        <v>2717</v>
      </c>
    </row>
    <row r="538" customHeight="1" spans="1:2">
      <c r="A538" s="3" t="s">
        <v>2876</v>
      </c>
      <c r="B538" s="3" t="s">
        <v>2717</v>
      </c>
    </row>
    <row r="539" customHeight="1" spans="1:2">
      <c r="A539" s="3" t="s">
        <v>1851</v>
      </c>
      <c r="B539" s="3" t="s">
        <v>2719</v>
      </c>
    </row>
    <row r="540" customHeight="1" spans="1:2">
      <c r="A540" s="3" t="s">
        <v>1851</v>
      </c>
      <c r="B540" s="3" t="s">
        <v>2719</v>
      </c>
    </row>
    <row r="541" customHeight="1" spans="1:2">
      <c r="A541" s="3" t="s">
        <v>1860</v>
      </c>
      <c r="B541" s="3" t="s">
        <v>2716</v>
      </c>
    </row>
    <row r="542" customHeight="1" spans="1:2">
      <c r="A542" s="3" t="s">
        <v>1860</v>
      </c>
      <c r="B542" s="3" t="s">
        <v>2716</v>
      </c>
    </row>
    <row r="543" customHeight="1" spans="1:2">
      <c r="A543" s="3" t="s">
        <v>2877</v>
      </c>
      <c r="B543" s="3" t="s">
        <v>2716</v>
      </c>
    </row>
    <row r="544" customHeight="1" spans="1:2">
      <c r="A544" s="3" t="s">
        <v>2877</v>
      </c>
      <c r="B544" s="3" t="s">
        <v>2716</v>
      </c>
    </row>
    <row r="545" customHeight="1" spans="1:2">
      <c r="A545" s="3" t="s">
        <v>1874</v>
      </c>
      <c r="B545" s="3" t="s">
        <v>2717</v>
      </c>
    </row>
    <row r="546" customHeight="1" spans="1:2">
      <c r="A546" s="3" t="s">
        <v>1874</v>
      </c>
      <c r="B546" s="3" t="s">
        <v>2717</v>
      </c>
    </row>
    <row r="547" customHeight="1" spans="1:2">
      <c r="A547" s="3" t="s">
        <v>1876</v>
      </c>
      <c r="B547" s="3" t="s">
        <v>2719</v>
      </c>
    </row>
    <row r="548" customHeight="1" spans="1:2">
      <c r="A548" s="3" t="s">
        <v>1876</v>
      </c>
      <c r="B548" s="3" t="s">
        <v>2719</v>
      </c>
    </row>
  </sheetData>
  <autoFilter ref="A1:Z548">
    <sortState ref="A1:Z548">
      <sortCondition ref="A1:A548"/>
    </sortState>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Z2051"/>
  <sheetViews>
    <sheetView workbookViewId="0">
      <pane ySplit="1" topLeftCell="A2" activePane="bottomLeft" state="frozen"/>
      <selection/>
      <selection pane="bottomLeft" activeCell="B3" sqref="B3"/>
    </sheetView>
  </sheetViews>
  <sheetFormatPr defaultColWidth="12.6296296296296" defaultRowHeight="15.75" customHeight="1"/>
  <cols>
    <col min="1" max="1" width="6.62962962962963" customWidth="1"/>
    <col min="2" max="2" width="6.75" customWidth="1"/>
    <col min="4" max="4" width="10.5" hidden="1" customWidth="1"/>
    <col min="5" max="5" width="11.3796296296296" hidden="1" customWidth="1"/>
    <col min="6" max="6" width="19.5" hidden="1" customWidth="1"/>
    <col min="7" max="7" width="10.75" hidden="1" customWidth="1"/>
    <col min="8" max="8" width="69.3796296296296" customWidth="1"/>
    <col min="9" max="9" width="19.3796296296296" hidden="1" customWidth="1"/>
    <col min="10" max="10" width="8.75" customWidth="1"/>
    <col min="11" max="11" width="9.62962962962963" customWidth="1"/>
    <col min="12" max="12" width="8.75" customWidth="1"/>
    <col min="14" max="14" width="10.1296296296296" customWidth="1"/>
    <col min="15" max="15" width="12.3796296296296" customWidth="1"/>
  </cols>
  <sheetData>
    <row r="1" customHeight="1" spans="1:26">
      <c r="A1" s="25" t="s">
        <v>370</v>
      </c>
      <c r="B1" s="25" t="s">
        <v>2878</v>
      </c>
      <c r="C1" s="25" t="s">
        <v>0</v>
      </c>
      <c r="D1" s="25" t="s">
        <v>2713</v>
      </c>
      <c r="E1" s="25" t="s">
        <v>2879</v>
      </c>
      <c r="F1" s="25" t="s">
        <v>2880</v>
      </c>
      <c r="G1" s="25" t="s">
        <v>2881</v>
      </c>
      <c r="H1" s="25" t="s">
        <v>2</v>
      </c>
      <c r="I1" s="25" t="s">
        <v>2882</v>
      </c>
      <c r="J1" s="25" t="s">
        <v>2883</v>
      </c>
      <c r="K1" s="25" t="s">
        <v>2884</v>
      </c>
      <c r="L1" s="25" t="s">
        <v>2885</v>
      </c>
      <c r="M1" s="25" t="s">
        <v>2886</v>
      </c>
      <c r="N1" s="25" t="s">
        <v>2887</v>
      </c>
      <c r="O1" s="25" t="s">
        <v>2888</v>
      </c>
      <c r="P1" s="25"/>
      <c r="Q1" s="25"/>
      <c r="R1" s="25"/>
      <c r="S1" s="25"/>
      <c r="T1" s="25"/>
      <c r="U1" s="25"/>
      <c r="V1" s="25"/>
      <c r="W1" s="25"/>
      <c r="X1" s="25"/>
      <c r="Y1" s="25"/>
      <c r="Z1" s="25"/>
    </row>
    <row r="2" hidden="1" customHeight="1" spans="1:26">
      <c r="A2" s="26">
        <v>293</v>
      </c>
      <c r="B2" s="26">
        <v>1</v>
      </c>
      <c r="C2" s="26" t="s">
        <v>646</v>
      </c>
      <c r="D2" s="26" t="s">
        <v>1721</v>
      </c>
      <c r="E2" s="26" t="s">
        <v>2889</v>
      </c>
      <c r="F2" s="26" t="str">
        <f t="shared" ref="F2:F1545" si="0">D2&amp;" "&amp;E2</f>
        <v>Temporal Latin Origin</v>
      </c>
      <c r="G2" s="26">
        <f t="shared" ref="G2:G1168" si="1">LEN(C2)</f>
        <v>12</v>
      </c>
      <c r="H2" s="26" t="s">
        <v>2890</v>
      </c>
      <c r="I2" s="26"/>
      <c r="J2" s="26"/>
      <c r="K2" s="26"/>
      <c r="L2" s="26" t="str">
        <f t="shared" ref="L2:L1545" si="2">LEFT(C2,1)</f>
        <v>C</v>
      </c>
      <c r="M2" s="26" t="str">
        <f>IFERROR(__xludf.DUMMYFUNCTION("GOOGLETRANSLATE(C2,""EN"",""KN"")"),"ಸಮಕಾಲೀನ")</f>
        <v>ಸಮಕಾಲೀನ</v>
      </c>
      <c r="N2" s="26">
        <f t="array" ref="N2">_xlfn.XLOOKUP(B2,'Sets Progress'!I:I,'Sets Progress'!I:I,"NOT YET")</f>
        <v>1</v>
      </c>
      <c r="O2" s="26" t="str">
        <f t="array" ref="O2">_xlfn.XLOOKUP(L:L,'Overall Progress'!L:L,'Overall Progress'!L:L,"NOT YET")</f>
        <v>NOT YET</v>
      </c>
      <c r="P2" s="26"/>
      <c r="Q2" s="26"/>
      <c r="R2" s="26"/>
      <c r="S2" s="26"/>
      <c r="T2" s="26"/>
      <c r="U2" s="26"/>
      <c r="V2" s="26"/>
      <c r="W2" s="26"/>
      <c r="X2" s="26"/>
      <c r="Y2" s="26"/>
      <c r="Z2" s="26"/>
    </row>
    <row r="3" hidden="1" customHeight="1" spans="1:26">
      <c r="A3" s="27">
        <v>436</v>
      </c>
      <c r="B3" s="27">
        <v>1</v>
      </c>
      <c r="C3" s="27" t="s">
        <v>785</v>
      </c>
      <c r="D3" s="27" t="s">
        <v>1721</v>
      </c>
      <c r="E3" s="27" t="s">
        <v>2889</v>
      </c>
      <c r="F3" s="27" t="str">
        <f t="shared" si="0"/>
        <v>Temporal Latin Origin</v>
      </c>
      <c r="G3" s="27">
        <f t="shared" si="1"/>
        <v>11</v>
      </c>
      <c r="H3" s="27" t="s">
        <v>2891</v>
      </c>
      <c r="I3" s="27"/>
      <c r="J3" s="27"/>
      <c r="K3" s="27"/>
      <c r="L3" s="27" t="str">
        <f t="shared" si="2"/>
        <v>D</v>
      </c>
      <c r="M3" s="27" t="str">
        <f>IFERROR(__xludf.DUMMYFUNCTION("GOOGLETRANSLATE(C3,""EN"",""KN"")"),"ಪ್ರಸಾರ ಮಾಡಿ")</f>
        <v>ಪ್ರಸಾರ ಮಾಡಿ</v>
      </c>
      <c r="N3" s="27">
        <f t="array" ref="N3">_xlfn.XLOOKUP(B3,'Sets Progress'!I:I,'Sets Progress'!I:I,"NOT YET")</f>
        <v>1</v>
      </c>
      <c r="O3" s="27" t="str">
        <f t="array" ref="O3">_xlfn.XLOOKUP(L:L,'Overall Progress'!L:L,'Overall Progress'!L:L,"NOT YET")</f>
        <v>NOT YET</v>
      </c>
      <c r="P3" s="27"/>
      <c r="Q3" s="27"/>
      <c r="R3" s="27"/>
      <c r="S3" s="27"/>
      <c r="T3" s="27"/>
      <c r="U3" s="27"/>
      <c r="V3" s="27"/>
      <c r="W3" s="27"/>
      <c r="X3" s="27"/>
      <c r="Y3" s="27"/>
      <c r="Z3" s="27"/>
    </row>
    <row r="4" hidden="1" customHeight="1" spans="1:26">
      <c r="A4" s="26">
        <v>470</v>
      </c>
      <c r="B4" s="26">
        <v>1</v>
      </c>
      <c r="C4" s="26" t="s">
        <v>819</v>
      </c>
      <c r="D4" s="26" t="s">
        <v>2892</v>
      </c>
      <c r="E4" s="26" t="s">
        <v>2893</v>
      </c>
      <c r="F4" s="26" t="str">
        <f t="shared" si="0"/>
        <v>Spatial Greek Origin</v>
      </c>
      <c r="G4" s="26">
        <f t="shared" si="1"/>
        <v>10</v>
      </c>
      <c r="H4" s="26" t="s">
        <v>2894</v>
      </c>
      <c r="I4" s="26"/>
      <c r="J4" s="26"/>
      <c r="K4" s="26"/>
      <c r="L4" s="26" t="str">
        <f t="shared" si="2"/>
        <v>E</v>
      </c>
      <c r="M4" s="26" t="str">
        <f>IFERROR(__xludf.DUMMYFUNCTION("GOOGLETRANSLATE(C4,""EN"",""KN"")"),"ಪರಿಸರ ವಿಜ್ಞಾನ")</f>
        <v>ಪರಿಸರ ವಿಜ್ಞಾನ</v>
      </c>
      <c r="N4" s="26">
        <f t="array" ref="N4">_xlfn.XLOOKUP(B4,'Sets Progress'!I:I,'Sets Progress'!I:I,"NOT YET")</f>
        <v>1</v>
      </c>
      <c r="O4" s="26" t="str">
        <f t="array" ref="O4">_xlfn.XLOOKUP(L:L,'Overall Progress'!L:L,'Overall Progress'!L:L,"NOT YET")</f>
        <v>NOT YET</v>
      </c>
      <c r="P4" s="26"/>
      <c r="Q4" s="26"/>
      <c r="R4" s="26"/>
      <c r="S4" s="26"/>
      <c r="T4" s="26"/>
      <c r="U4" s="26"/>
      <c r="V4" s="26"/>
      <c r="W4" s="26"/>
      <c r="X4" s="26"/>
      <c r="Y4" s="26"/>
      <c r="Z4" s="26"/>
    </row>
    <row r="5" hidden="1" customHeight="1" spans="1:26">
      <c r="A5" s="27">
        <v>548</v>
      </c>
      <c r="B5" s="27">
        <v>1</v>
      </c>
      <c r="C5" s="27" t="s">
        <v>894</v>
      </c>
      <c r="D5" s="27" t="s">
        <v>1721</v>
      </c>
      <c r="E5" s="27" t="s">
        <v>2889</v>
      </c>
      <c r="F5" s="27" t="str">
        <f t="shared" si="0"/>
        <v>Temporal Latin Origin</v>
      </c>
      <c r="G5" s="27">
        <f t="shared" si="1"/>
        <v>5</v>
      </c>
      <c r="H5" s="27" t="s">
        <v>2895</v>
      </c>
      <c r="I5" s="27"/>
      <c r="J5" s="27"/>
      <c r="K5" s="27"/>
      <c r="L5" s="27" t="str">
        <f t="shared" si="2"/>
        <v>E</v>
      </c>
      <c r="M5" s="27" t="str">
        <f>IFERROR(__xludf.DUMMYFUNCTION("GOOGLETRANSLATE(C5,""EN"",""KN"")"),"ಉನ್ನತಿಸು")</f>
        <v>ಉನ್ನತಿಸು</v>
      </c>
      <c r="N5" s="27">
        <f t="array" ref="N5">_xlfn.XLOOKUP(B5,'Sets Progress'!I:I,'Sets Progress'!I:I,"NOT YET")</f>
        <v>1</v>
      </c>
      <c r="O5" s="27" t="str">
        <f t="array" ref="O5">_xlfn.XLOOKUP(L:L,'Overall Progress'!L:L,'Overall Progress'!L:L,"NOT YET")</f>
        <v>NOT YET</v>
      </c>
      <c r="P5" s="27"/>
      <c r="Q5" s="27"/>
      <c r="R5" s="27"/>
      <c r="S5" s="27"/>
      <c r="T5" s="27"/>
      <c r="U5" s="27"/>
      <c r="V5" s="27"/>
      <c r="W5" s="27"/>
      <c r="X5" s="27"/>
      <c r="Y5" s="27"/>
      <c r="Z5" s="27"/>
    </row>
    <row r="6" hidden="1" customHeight="1" spans="1:26">
      <c r="A6" s="26">
        <v>592</v>
      </c>
      <c r="B6" s="26">
        <v>1</v>
      </c>
      <c r="C6" s="26" t="s">
        <v>936</v>
      </c>
      <c r="D6" s="26" t="s">
        <v>1721</v>
      </c>
      <c r="E6" s="26" t="s">
        <v>2896</v>
      </c>
      <c r="F6" s="26" t="str">
        <f t="shared" si="0"/>
        <v>Temporal Old French Origin</v>
      </c>
      <c r="G6" s="26">
        <f t="shared" si="1"/>
        <v>5</v>
      </c>
      <c r="H6" s="26" t="s">
        <v>2897</v>
      </c>
      <c r="I6" s="26"/>
      <c r="J6" s="26"/>
      <c r="K6" s="26"/>
      <c r="L6" s="26" t="str">
        <f t="shared" si="2"/>
        <v>F</v>
      </c>
      <c r="M6" s="26" t="str">
        <f>IFERROR(__xludf.DUMMYFUNCTION("GOOGLETRANSLATE(C6,""EN"",""KN"")"),"ಸೋಗು")</f>
        <v>ಸೋಗು</v>
      </c>
      <c r="N6" s="26">
        <f t="array" ref="N6">_xlfn.XLOOKUP(B6,'Sets Progress'!I:I,'Sets Progress'!I:I,"NOT YET")</f>
        <v>1</v>
      </c>
      <c r="O6" s="26" t="str">
        <f t="array" ref="O6">_xlfn.XLOOKUP(L:L,'Overall Progress'!L:L,'Overall Progress'!L:L,"NOT YET")</f>
        <v>NOT YET</v>
      </c>
      <c r="P6" s="26"/>
      <c r="Q6" s="26"/>
      <c r="R6" s="26"/>
      <c r="S6" s="26"/>
      <c r="T6" s="26"/>
      <c r="U6" s="26"/>
      <c r="V6" s="26"/>
      <c r="W6" s="26"/>
      <c r="X6" s="26"/>
      <c r="Y6" s="26"/>
      <c r="Z6" s="26"/>
    </row>
    <row r="7" hidden="1" customHeight="1" spans="1:26">
      <c r="A7" s="27">
        <v>631</v>
      </c>
      <c r="B7" s="27">
        <v>1</v>
      </c>
      <c r="C7" s="27" t="s">
        <v>975</v>
      </c>
      <c r="D7" s="27" t="s">
        <v>2898</v>
      </c>
      <c r="E7" s="27" t="s">
        <v>2899</v>
      </c>
      <c r="F7" s="27" t="str">
        <f t="shared" si="0"/>
        <v>Physical Sensation Middle English Origin</v>
      </c>
      <c r="G7" s="27">
        <f t="shared" si="1"/>
        <v>7</v>
      </c>
      <c r="H7" s="27" t="s">
        <v>2900</v>
      </c>
      <c r="I7" s="27"/>
      <c r="J7" s="27"/>
      <c r="K7" s="27"/>
      <c r="L7" s="27" t="str">
        <f t="shared" si="2"/>
        <v>F</v>
      </c>
      <c r="M7" s="27" t="str">
        <f>IFERROR(__xludf.DUMMYFUNCTION("GOOGLETRANSLATE(C7,""EN"",""KN"")"),"ದುರ್ಬಲತೆ")</f>
        <v>ದುರ್ಬಲತೆ</v>
      </c>
      <c r="N7" s="27">
        <f t="array" ref="N7">_xlfn.XLOOKUP(B7,'Sets Progress'!I:I,'Sets Progress'!I:I,"NOT YET")</f>
        <v>1</v>
      </c>
      <c r="O7" s="27" t="str">
        <f t="array" ref="O7">_xlfn.XLOOKUP(L:L,'Overall Progress'!L:L,'Overall Progress'!L:L,"NOT YET")</f>
        <v>NOT YET</v>
      </c>
      <c r="P7" s="27"/>
      <c r="Q7" s="27"/>
      <c r="R7" s="27"/>
      <c r="S7" s="27"/>
      <c r="T7" s="27"/>
      <c r="U7" s="27"/>
      <c r="V7" s="27"/>
      <c r="W7" s="27"/>
      <c r="X7" s="27"/>
      <c r="Y7" s="27"/>
      <c r="Z7" s="27"/>
    </row>
    <row r="8" hidden="1" customHeight="1" spans="1:26">
      <c r="A8" s="26">
        <v>662</v>
      </c>
      <c r="B8" s="26">
        <v>1</v>
      </c>
      <c r="C8" s="26" t="s">
        <v>1005</v>
      </c>
      <c r="D8" s="26" t="s">
        <v>2717</v>
      </c>
      <c r="E8" s="26" t="s">
        <v>2889</v>
      </c>
      <c r="F8" s="26" t="str">
        <f t="shared" si="0"/>
        <v>Positive Traits Latin Origin</v>
      </c>
      <c r="G8" s="26">
        <f t="shared" si="1"/>
        <v>8</v>
      </c>
      <c r="H8" s="26" t="s">
        <v>2901</v>
      </c>
      <c r="I8" s="26"/>
      <c r="J8" s="26"/>
      <c r="K8" s="26"/>
      <c r="L8" s="26" t="str">
        <f t="shared" si="2"/>
        <v>G</v>
      </c>
      <c r="M8" s="26" t="str">
        <f>IFERROR(__xludf.DUMMYFUNCTION("GOOGLETRANSLATE(C8,""EN"",""KN"")"),"ಕೃಪೆ")</f>
        <v>ಕೃಪೆ</v>
      </c>
      <c r="N8" s="26">
        <f t="array" ref="N8">_xlfn.XLOOKUP(B8,'Sets Progress'!I:I,'Sets Progress'!I:I,"NOT YET")</f>
        <v>1</v>
      </c>
      <c r="O8" s="26" t="str">
        <f t="array" ref="O8">_xlfn.XLOOKUP(L:L,'Overall Progress'!L:L,'Overall Progress'!L:L,"NOT YET")</f>
        <v>NOT YET</v>
      </c>
      <c r="P8" s="26"/>
      <c r="Q8" s="26"/>
      <c r="R8" s="26"/>
      <c r="S8" s="26"/>
      <c r="T8" s="26"/>
      <c r="U8" s="26"/>
      <c r="V8" s="26"/>
      <c r="W8" s="26"/>
      <c r="X8" s="26"/>
      <c r="Y8" s="26"/>
      <c r="Z8" s="26"/>
    </row>
    <row r="9" hidden="1" customHeight="1" spans="1:26">
      <c r="A9" s="27">
        <v>810</v>
      </c>
      <c r="B9" s="27">
        <v>1</v>
      </c>
      <c r="C9" s="27" t="s">
        <v>1150</v>
      </c>
      <c r="D9" s="27" t="s">
        <v>1721</v>
      </c>
      <c r="E9" s="27" t="s">
        <v>2889</v>
      </c>
      <c r="F9" s="27" t="str">
        <f t="shared" si="0"/>
        <v>Temporal Latin Origin</v>
      </c>
      <c r="G9" s="27">
        <f t="shared" si="1"/>
        <v>10</v>
      </c>
      <c r="H9" s="27" t="s">
        <v>2902</v>
      </c>
      <c r="I9" s="27"/>
      <c r="J9" s="27"/>
      <c r="K9" s="27"/>
      <c r="L9" s="27" t="str">
        <f t="shared" si="2"/>
        <v>I</v>
      </c>
      <c r="M9" s="27" t="str">
        <f>IFERROR(__xludf.DUMMYFUNCTION("GOOGLETRANSLATE(C9,""EN"",""KN"")"),"ಆತ್ಮೀಯವಾಗಿ")</f>
        <v>ಆತ್ಮೀಯವಾಗಿ</v>
      </c>
      <c r="N9" s="27">
        <f t="array" ref="N9">_xlfn.XLOOKUP(B9,'Sets Progress'!I:I,'Sets Progress'!I:I,"NOT YET")</f>
        <v>1</v>
      </c>
      <c r="O9" s="27" t="str">
        <f t="array" ref="O9">_xlfn.XLOOKUP(L:L,'Overall Progress'!L:L,'Overall Progress'!L:L,"NOT YET")</f>
        <v>NOT YET</v>
      </c>
      <c r="P9" s="27"/>
      <c r="Q9" s="27"/>
      <c r="R9" s="27"/>
      <c r="S9" s="27"/>
      <c r="T9" s="27"/>
      <c r="U9" s="27"/>
      <c r="V9" s="27"/>
      <c r="W9" s="27"/>
      <c r="X9" s="27"/>
      <c r="Y9" s="27"/>
      <c r="Z9" s="27"/>
    </row>
    <row r="10" hidden="1" customHeight="1" spans="1:26">
      <c r="A10" s="26">
        <v>915</v>
      </c>
      <c r="B10" s="26">
        <v>1</v>
      </c>
      <c r="C10" s="26" t="s">
        <v>1251</v>
      </c>
      <c r="D10" s="26" t="s">
        <v>2716</v>
      </c>
      <c r="E10" s="26" t="s">
        <v>2893</v>
      </c>
      <c r="F10" s="26" t="str">
        <f t="shared" si="0"/>
        <v>Negative Traits Greek Origin</v>
      </c>
      <c r="G10" s="26">
        <f t="shared" si="1"/>
        <v>12</v>
      </c>
      <c r="H10" s="26" t="s">
        <v>2903</v>
      </c>
      <c r="I10" s="26"/>
      <c r="J10" s="26"/>
      <c r="K10" s="26"/>
      <c r="L10" s="26" t="str">
        <f t="shared" si="2"/>
        <v>M</v>
      </c>
      <c r="M10" s="26" t="str">
        <f>IFERROR(__xludf.DUMMYFUNCTION("GOOGLETRANSLATE(C10,""EN"",""KN"")"),"ಮಿಸಾಂತ್ರೋಪಿಕ್")</f>
        <v>ಮಿಸಾಂತ್ರೋಪಿಕ್</v>
      </c>
      <c r="N10" s="26">
        <f t="array" ref="N10">_xlfn.XLOOKUP(B10,'Sets Progress'!I:I,'Sets Progress'!I:I,"NOT YET")</f>
        <v>1</v>
      </c>
      <c r="O10" s="26" t="str">
        <f t="array" ref="O10">_xlfn.XLOOKUP(L:L,'Overall Progress'!L:L,'Overall Progress'!L:L,"NOT YET")</f>
        <v>NOT YET</v>
      </c>
      <c r="P10" s="26"/>
      <c r="Q10" s="26"/>
      <c r="R10" s="26"/>
      <c r="S10" s="26"/>
      <c r="T10" s="26"/>
      <c r="U10" s="26"/>
      <c r="V10" s="26"/>
      <c r="W10" s="26"/>
      <c r="X10" s="26"/>
      <c r="Y10" s="26"/>
      <c r="Z10" s="26"/>
    </row>
    <row r="11" hidden="1" customHeight="1" spans="1:26">
      <c r="A11" s="27">
        <v>930</v>
      </c>
      <c r="B11" s="27">
        <v>1</v>
      </c>
      <c r="C11" s="27" t="s">
        <v>1266</v>
      </c>
      <c r="D11" s="27" t="s">
        <v>1721</v>
      </c>
      <c r="E11" s="27" t="s">
        <v>2889</v>
      </c>
      <c r="F11" s="27" t="str">
        <f t="shared" si="0"/>
        <v>Temporal Latin Origin</v>
      </c>
      <c r="G11" s="27">
        <f t="shared" si="1"/>
        <v>7</v>
      </c>
      <c r="H11" s="27" t="s">
        <v>2904</v>
      </c>
      <c r="I11" s="27"/>
      <c r="J11" s="27"/>
      <c r="K11" s="27"/>
      <c r="L11" s="27" t="str">
        <f t="shared" si="2"/>
        <v>M</v>
      </c>
      <c r="M11" s="27" t="str">
        <f>IFERROR(__xludf.DUMMYFUNCTION("GOOGLETRANSLATE(C11,""EN"",""KN"")"),"ಮಾರ್ಟಿಫೈ")</f>
        <v>ಮಾರ್ಟಿಫೈ</v>
      </c>
      <c r="N11" s="27">
        <f t="array" ref="N11">_xlfn.XLOOKUP(B11,'Sets Progress'!I:I,'Sets Progress'!I:I,"NOT YET")</f>
        <v>1</v>
      </c>
      <c r="O11" s="27" t="str">
        <f t="array" ref="O11">_xlfn.XLOOKUP(L:L,'Overall Progress'!L:L,'Overall Progress'!L:L,"NOT YET")</f>
        <v>NOT YET</v>
      </c>
      <c r="P11" s="27"/>
      <c r="Q11" s="27"/>
      <c r="R11" s="27"/>
      <c r="S11" s="27"/>
      <c r="T11" s="27"/>
      <c r="U11" s="27"/>
      <c r="V11" s="27"/>
      <c r="W11" s="27"/>
      <c r="X11" s="27"/>
      <c r="Y11" s="27"/>
      <c r="Z11" s="27"/>
    </row>
    <row r="12" hidden="1" customHeight="1" spans="1:26">
      <c r="A12" s="26">
        <v>1088</v>
      </c>
      <c r="B12" s="26">
        <v>1</v>
      </c>
      <c r="C12" s="26" t="s">
        <v>1423</v>
      </c>
      <c r="D12" s="26" t="s">
        <v>1721</v>
      </c>
      <c r="E12" s="26" t="s">
        <v>2889</v>
      </c>
      <c r="F12" s="26" t="str">
        <f t="shared" si="0"/>
        <v>Temporal Latin Origin</v>
      </c>
      <c r="G12" s="26">
        <f t="shared" si="1"/>
        <v>10</v>
      </c>
      <c r="H12" s="26" t="s">
        <v>2905</v>
      </c>
      <c r="I12" s="26"/>
      <c r="J12" s="26"/>
      <c r="K12" s="26"/>
      <c r="L12" s="26" t="str">
        <f t="shared" si="2"/>
        <v>P</v>
      </c>
      <c r="M12" s="26" t="str">
        <f>IFERROR(__xludf.DUMMYFUNCTION("GOOGLETRANSLATE(C12,""EN"",""KN"")"),"ಪರ್ಟೆಂಟಸ್")</f>
        <v>ಪರ್ಟೆಂಟಸ್</v>
      </c>
      <c r="N12" s="26">
        <f t="array" ref="N12">_xlfn.XLOOKUP(B12,'Sets Progress'!I:I,'Sets Progress'!I:I,"NOT YET")</f>
        <v>1</v>
      </c>
      <c r="O12" s="26" t="str">
        <f t="array" ref="O12">_xlfn.XLOOKUP(L:L,'Overall Progress'!L:L,'Overall Progress'!L:L,"NOT YET")</f>
        <v>NOT YET</v>
      </c>
      <c r="P12" s="26"/>
      <c r="Q12" s="26"/>
      <c r="R12" s="26"/>
      <c r="S12" s="26"/>
      <c r="T12" s="26"/>
      <c r="U12" s="26"/>
      <c r="V12" s="26"/>
      <c r="W12" s="26"/>
      <c r="X12" s="26"/>
      <c r="Y12" s="26"/>
      <c r="Z12" s="26"/>
    </row>
    <row r="13" hidden="1" customHeight="1" spans="1:26">
      <c r="A13" s="27">
        <v>1093</v>
      </c>
      <c r="B13" s="27">
        <v>1</v>
      </c>
      <c r="C13" s="27" t="s">
        <v>1428</v>
      </c>
      <c r="D13" s="27" t="s">
        <v>2716</v>
      </c>
      <c r="E13" s="27" t="s">
        <v>2889</v>
      </c>
      <c r="F13" s="27" t="str">
        <f t="shared" si="0"/>
        <v>Negative Traits Latin Origin</v>
      </c>
      <c r="G13" s="27">
        <f t="shared" si="1"/>
        <v>10</v>
      </c>
      <c r="H13" s="27" t="s">
        <v>2906</v>
      </c>
      <c r="I13" s="27"/>
      <c r="J13" s="27"/>
      <c r="K13" s="27"/>
      <c r="L13" s="27" t="str">
        <f t="shared" si="2"/>
        <v>P</v>
      </c>
      <c r="M13" s="27" t="str">
        <f>IFERROR(__xludf.DUMMYFUNCTION("GOOGLETRANSLATE(C13,""EN"",""KN"")"),"ಅನಿಶ್ಚಿತ")</f>
        <v>ಅನಿಶ್ಚಿತ</v>
      </c>
      <c r="N13" s="27">
        <f t="array" ref="N13">_xlfn.XLOOKUP(B13,'Sets Progress'!I:I,'Sets Progress'!I:I,"NOT YET")</f>
        <v>1</v>
      </c>
      <c r="O13" s="27" t="str">
        <f t="array" ref="O13">_xlfn.XLOOKUP(L:L,'Overall Progress'!L:L,'Overall Progress'!L:L,"NOT YET")</f>
        <v>NOT YET</v>
      </c>
      <c r="P13" s="27"/>
      <c r="Q13" s="27"/>
      <c r="R13" s="27"/>
      <c r="S13" s="27"/>
      <c r="T13" s="27"/>
      <c r="U13" s="27"/>
      <c r="V13" s="27"/>
      <c r="W13" s="27"/>
      <c r="X13" s="27"/>
      <c r="Y13" s="27"/>
      <c r="Z13" s="27"/>
    </row>
    <row r="14" hidden="1" customHeight="1" spans="1:26">
      <c r="A14" s="26">
        <v>1154</v>
      </c>
      <c r="B14" s="26">
        <v>1</v>
      </c>
      <c r="C14" s="26" t="s">
        <v>1485</v>
      </c>
      <c r="D14" s="26" t="s">
        <v>2716</v>
      </c>
      <c r="E14" s="26" t="s">
        <v>2889</v>
      </c>
      <c r="F14" s="26" t="str">
        <f t="shared" si="0"/>
        <v>Negative Traits Latin Origin</v>
      </c>
      <c r="G14" s="26">
        <f t="shared" si="1"/>
        <v>8</v>
      </c>
      <c r="H14" s="26" t="s">
        <v>2907</v>
      </c>
      <c r="I14" s="26"/>
      <c r="J14" s="26"/>
      <c r="K14" s="26"/>
      <c r="L14" s="26" t="str">
        <f t="shared" si="2"/>
        <v>Q</v>
      </c>
      <c r="M14" s="26" t="str">
        <f>IFERROR(__xludf.DUMMYFUNCTION("GOOGLETRANSLATE(C14,""EN"",""KN"")"),"ಇಕ್ಕಟ್ಟು")</f>
        <v>ಇಕ್ಕಟ್ಟು</v>
      </c>
      <c r="N14" s="26">
        <f t="array" ref="N14">_xlfn.XLOOKUP(B14,'Sets Progress'!I:I,'Sets Progress'!I:I,"NOT YET")</f>
        <v>1</v>
      </c>
      <c r="O14" s="26" t="str">
        <f t="array" ref="O14">_xlfn.XLOOKUP(L:L,'Overall Progress'!L:L,'Overall Progress'!L:L,"NOT YET")</f>
        <v>NOT YET</v>
      </c>
      <c r="P14" s="26"/>
      <c r="Q14" s="26"/>
      <c r="R14" s="26"/>
      <c r="S14" s="26"/>
      <c r="T14" s="26"/>
      <c r="U14" s="26"/>
      <c r="V14" s="26"/>
      <c r="W14" s="26"/>
      <c r="X14" s="26"/>
      <c r="Y14" s="26"/>
      <c r="Z14" s="26"/>
    </row>
    <row r="15" hidden="1" customHeight="1" spans="1:26">
      <c r="A15" s="27">
        <v>1297</v>
      </c>
      <c r="B15" s="27">
        <v>1</v>
      </c>
      <c r="C15" s="27" t="s">
        <v>1628</v>
      </c>
      <c r="D15" s="27" t="s">
        <v>2716</v>
      </c>
      <c r="E15" s="27" t="s">
        <v>2908</v>
      </c>
      <c r="F15" s="27" t="str">
        <f t="shared" si="0"/>
        <v>Negative Traits Old English Origin</v>
      </c>
      <c r="G15" s="27">
        <f t="shared" si="1"/>
        <v>8</v>
      </c>
      <c r="H15" s="27" t="s">
        <v>2909</v>
      </c>
      <c r="I15" s="27"/>
      <c r="J15" s="27"/>
      <c r="K15" s="27"/>
      <c r="L15" s="27" t="str">
        <f t="shared" si="2"/>
        <v>S</v>
      </c>
      <c r="M15" s="27" t="str">
        <f>IFERROR(__xludf.DUMMYFUNCTION("GOOGLETRANSLATE(C15,""EN"",""KN"")"),"ಜಡ")</f>
        <v>ಜಡ</v>
      </c>
      <c r="N15" s="27">
        <f t="array" ref="N15">_xlfn.XLOOKUP(B15,'Sets Progress'!I:I,'Sets Progress'!I:I,"NOT YET")</f>
        <v>1</v>
      </c>
      <c r="O15" s="27" t="str">
        <f t="array" ref="O15">_xlfn.XLOOKUP(L:L,'Overall Progress'!L:L,'Overall Progress'!L:L,"NOT YET")</f>
        <v>NOT YET</v>
      </c>
      <c r="P15" s="27"/>
      <c r="Q15" s="27"/>
      <c r="R15" s="27"/>
      <c r="S15" s="27"/>
      <c r="T15" s="27"/>
      <c r="U15" s="27"/>
      <c r="V15" s="27"/>
      <c r="W15" s="27"/>
      <c r="X15" s="27"/>
      <c r="Y15" s="27"/>
      <c r="Z15" s="27"/>
    </row>
    <row r="16" hidden="1" customHeight="1" spans="1:26">
      <c r="A16" s="26">
        <v>1387</v>
      </c>
      <c r="B16" s="26">
        <v>1</v>
      </c>
      <c r="C16" s="26" t="s">
        <v>1718</v>
      </c>
      <c r="D16" s="26" t="s">
        <v>1721</v>
      </c>
      <c r="E16" s="26" t="s">
        <v>2889</v>
      </c>
      <c r="F16" s="26" t="str">
        <f t="shared" si="0"/>
        <v>Temporal Latin Origin</v>
      </c>
      <c r="G16" s="26">
        <f t="shared" si="1"/>
        <v>6</v>
      </c>
      <c r="H16" s="26" t="s">
        <v>2910</v>
      </c>
      <c r="I16" s="26"/>
      <c r="J16" s="26"/>
      <c r="K16" s="26"/>
      <c r="L16" s="26" t="str">
        <f t="shared" si="2"/>
        <v>T</v>
      </c>
      <c r="M16" s="26" t="str">
        <f>IFERROR(__xludf.DUMMYFUNCTION("GOOGLETRANSLATE(C16,""EN"",""KN"")"),"ಉದ್ವೇಗ")</f>
        <v>ಉದ್ವೇಗ</v>
      </c>
      <c r="N16" s="26">
        <f t="array" ref="N16">_xlfn.XLOOKUP(B16,'Sets Progress'!I:I,'Sets Progress'!I:I,"NOT YET")</f>
        <v>1</v>
      </c>
      <c r="O16" s="26" t="str">
        <f t="array" ref="O16">_xlfn.XLOOKUP(L:L,'Overall Progress'!L:L,'Overall Progress'!L:L,"NOT YET")</f>
        <v>NOT YET</v>
      </c>
      <c r="P16" s="26"/>
      <c r="Q16" s="26"/>
      <c r="R16" s="26"/>
      <c r="S16" s="26"/>
      <c r="T16" s="26"/>
      <c r="U16" s="26"/>
      <c r="V16" s="26"/>
      <c r="W16" s="26"/>
      <c r="X16" s="26"/>
      <c r="Y16" s="26"/>
      <c r="Z16" s="26"/>
    </row>
    <row r="17" hidden="1" customHeight="1" spans="1:26">
      <c r="A17" s="27">
        <v>37</v>
      </c>
      <c r="B17" s="27">
        <v>2</v>
      </c>
      <c r="C17" s="27" t="s">
        <v>341</v>
      </c>
      <c r="D17" s="27" t="s">
        <v>2717</v>
      </c>
      <c r="E17" s="27" t="s">
        <v>2911</v>
      </c>
      <c r="F17" s="27" t="str">
        <f t="shared" si="0"/>
        <v>Positive Traits French Origin</v>
      </c>
      <c r="G17" s="27">
        <f t="shared" si="1"/>
        <v>6</v>
      </c>
      <c r="H17" s="27" t="s">
        <v>2912</v>
      </c>
      <c r="I17" s="27"/>
      <c r="J17" s="27"/>
      <c r="K17" s="27"/>
      <c r="L17" s="27" t="str">
        <f t="shared" si="2"/>
        <v>A</v>
      </c>
      <c r="M17" s="27" t="str">
        <f>IFERROR(__xludf.DUMMYFUNCTION("GOOGLETRANSLATE(C17,""EN"",""KN"")"),"ಚಾಣಾಕ್ಷ")</f>
        <v>ಚಾಣಾಕ್ಷ</v>
      </c>
      <c r="N17" s="27">
        <f t="array" ref="N17">_xlfn.XLOOKUP(B17,'Sets Progress'!I:I,'Sets Progress'!I:I,"NOT YET")</f>
        <v>2</v>
      </c>
      <c r="O17" s="27" t="str">
        <f t="array" ref="O17">_xlfn.XLOOKUP(L:L,'Overall Progress'!L:L,'Overall Progress'!L:L,"NOT YET")</f>
        <v>NOT YET</v>
      </c>
      <c r="P17" s="27"/>
      <c r="Q17" s="27"/>
      <c r="R17" s="27"/>
      <c r="S17" s="27"/>
      <c r="T17" s="27"/>
      <c r="U17" s="27"/>
      <c r="V17" s="27"/>
      <c r="W17" s="27"/>
      <c r="X17" s="27"/>
      <c r="Y17" s="27"/>
      <c r="Z17" s="27"/>
    </row>
    <row r="18" hidden="1" customHeight="1" spans="1:26">
      <c r="A18" s="26">
        <v>66</v>
      </c>
      <c r="B18" s="26">
        <v>2</v>
      </c>
      <c r="C18" s="26" t="s">
        <v>419</v>
      </c>
      <c r="D18" s="26" t="s">
        <v>2717</v>
      </c>
      <c r="E18" s="26" t="s">
        <v>2889</v>
      </c>
      <c r="F18" s="26" t="str">
        <f t="shared" si="0"/>
        <v>Positive Traits Latin Origin</v>
      </c>
      <c r="G18" s="26">
        <f t="shared" si="1"/>
        <v>8</v>
      </c>
      <c r="H18" s="26" t="s">
        <v>2913</v>
      </c>
      <c r="I18" s="26"/>
      <c r="J18" s="26"/>
      <c r="K18" s="26"/>
      <c r="L18" s="26" t="str">
        <f t="shared" si="2"/>
        <v>A</v>
      </c>
      <c r="M18" s="26" t="str">
        <f>IFERROR(__xludf.DUMMYFUNCTION("GOOGLETRANSLATE(C18,""EN"",""KN"")"),"ಅನುಕೂಲಕರ")</f>
        <v>ಅನುಕೂಲಕರ</v>
      </c>
      <c r="N18" s="26">
        <f t="array" ref="N18">_xlfn.XLOOKUP(B18,'Sets Progress'!I:I,'Sets Progress'!I:I,"NOT YET")</f>
        <v>2</v>
      </c>
      <c r="O18" s="26" t="str">
        <f t="array" ref="O18">_xlfn.XLOOKUP(L:L,'Overall Progress'!L:L,'Overall Progress'!L:L,"NOT YET")</f>
        <v>NOT YET</v>
      </c>
      <c r="P18" s="26"/>
      <c r="Q18" s="26"/>
      <c r="R18" s="26"/>
      <c r="S18" s="26"/>
      <c r="T18" s="26"/>
      <c r="U18" s="26"/>
      <c r="V18" s="26"/>
      <c r="W18" s="26"/>
      <c r="X18" s="26"/>
      <c r="Y18" s="26"/>
      <c r="Z18" s="26"/>
    </row>
    <row r="19" hidden="1" customHeight="1" spans="1:26">
      <c r="A19" s="27">
        <v>200</v>
      </c>
      <c r="B19" s="27">
        <v>2</v>
      </c>
      <c r="C19" s="27" t="s">
        <v>550</v>
      </c>
      <c r="D19" s="27" t="s">
        <v>2716</v>
      </c>
      <c r="E19" s="27" t="s">
        <v>2889</v>
      </c>
      <c r="F19" s="27" t="str">
        <f t="shared" si="0"/>
        <v>Negative Traits Latin Origin</v>
      </c>
      <c r="G19" s="27">
        <f t="shared" si="1"/>
        <v>7</v>
      </c>
      <c r="H19" s="27" t="s">
        <v>2914</v>
      </c>
      <c r="I19" s="27"/>
      <c r="J19" s="27" t="s">
        <v>2915</v>
      </c>
      <c r="K19" s="27"/>
      <c r="L19" s="27" t="str">
        <f t="shared" si="2"/>
        <v>C</v>
      </c>
      <c r="M19" s="27" t="str">
        <f>IFERROR(__xludf.DUMMYFUNCTION("GOOGLETRANSLATE(C19,""EN"",""KN"")"),"ಕ್ಯಾಲಮ್ನಿ")</f>
        <v>ಕ್ಯಾಲಮ್ನಿ</v>
      </c>
      <c r="N19" s="27">
        <f t="array" ref="N19">_xlfn.XLOOKUP(B19,'Sets Progress'!I:I,'Sets Progress'!I:I,"NOT YET")</f>
        <v>2</v>
      </c>
      <c r="O19" s="27" t="str">
        <f t="array" ref="O19">_xlfn.XLOOKUP(L:L,'Overall Progress'!L:L,'Overall Progress'!L:L,"NOT YET")</f>
        <v>NOT YET</v>
      </c>
      <c r="P19" s="27"/>
      <c r="Q19" s="27"/>
      <c r="R19" s="27"/>
      <c r="S19" s="27"/>
      <c r="T19" s="27"/>
      <c r="U19" s="27"/>
      <c r="V19" s="27"/>
      <c r="W19" s="27"/>
      <c r="X19" s="27"/>
      <c r="Y19" s="27"/>
      <c r="Z19" s="27"/>
    </row>
    <row r="20" hidden="1" customHeight="1" spans="1:26">
      <c r="A20" s="26">
        <v>227</v>
      </c>
      <c r="B20" s="26">
        <v>2</v>
      </c>
      <c r="C20" s="26" t="s">
        <v>578</v>
      </c>
      <c r="D20" s="26" t="s">
        <v>2716</v>
      </c>
      <c r="E20" s="26" t="s">
        <v>2911</v>
      </c>
      <c r="F20" s="26" t="str">
        <f t="shared" si="0"/>
        <v>Negative Traits French Origin</v>
      </c>
      <c r="G20" s="26">
        <f t="shared" si="1"/>
        <v>12</v>
      </c>
      <c r="H20" s="26" t="s">
        <v>2916</v>
      </c>
      <c r="I20" s="26"/>
      <c r="J20" s="26" t="s">
        <v>2917</v>
      </c>
      <c r="K20" s="26"/>
      <c r="L20" s="26" t="str">
        <f t="shared" si="2"/>
        <v>C</v>
      </c>
      <c r="M20" s="26" t="str">
        <f>IFERROR(__xludf.DUMMYFUNCTION("GOOGLETRANSLATE(C20,""EN"",""KN"")"),"ಛಲವಾದಿ")</f>
        <v>ಛಲವಾದಿ</v>
      </c>
      <c r="N20" s="26">
        <f t="array" ref="N20">_xlfn.XLOOKUP(B20,'Sets Progress'!I:I,'Sets Progress'!I:I,"NOT YET")</f>
        <v>2</v>
      </c>
      <c r="O20" s="26" t="str">
        <f t="array" ref="O20">_xlfn.XLOOKUP(L:L,'Overall Progress'!L:L,'Overall Progress'!L:L,"NOT YET")</f>
        <v>NOT YET</v>
      </c>
      <c r="P20" s="26"/>
      <c r="Q20" s="26"/>
      <c r="R20" s="26"/>
      <c r="S20" s="26"/>
      <c r="T20" s="26"/>
      <c r="U20" s="26"/>
      <c r="V20" s="26"/>
      <c r="W20" s="26"/>
      <c r="X20" s="26"/>
      <c r="Y20" s="26"/>
      <c r="Z20" s="26"/>
    </row>
    <row r="21" hidden="1" customHeight="1" spans="1:26">
      <c r="A21" s="27">
        <v>267</v>
      </c>
      <c r="B21" s="27">
        <v>2</v>
      </c>
      <c r="C21" s="27" t="s">
        <v>620</v>
      </c>
      <c r="D21" s="27" t="s">
        <v>1721</v>
      </c>
      <c r="E21" s="27" t="s">
        <v>2889</v>
      </c>
      <c r="F21" s="27" t="str">
        <f t="shared" si="0"/>
        <v>Temporal Latin Origin</v>
      </c>
      <c r="G21" s="27">
        <f t="shared" si="1"/>
        <v>10</v>
      </c>
      <c r="H21" s="27" t="s">
        <v>2918</v>
      </c>
      <c r="I21" s="27"/>
      <c r="J21" s="27"/>
      <c r="K21" s="27"/>
      <c r="L21" s="27" t="str">
        <f t="shared" si="2"/>
        <v>C</v>
      </c>
      <c r="M21" s="27" t="str">
        <f>IFERROR(__xludf.DUMMYFUNCTION("GOOGLETRANSLATE(C21,""EN"",""KN"")"),"ಅನುಸರಣೆ")</f>
        <v>ಅನುಸರಣೆ</v>
      </c>
      <c r="N21" s="27">
        <f t="array" ref="N21">_xlfn.XLOOKUP(B21,'Sets Progress'!I:I,'Sets Progress'!I:I,"NOT YET")</f>
        <v>2</v>
      </c>
      <c r="O21" s="27" t="str">
        <f t="array" ref="O21">_xlfn.XLOOKUP(L:L,'Overall Progress'!L:L,'Overall Progress'!L:L,"NOT YET")</f>
        <v>NOT YET</v>
      </c>
      <c r="P21" s="27"/>
      <c r="Q21" s="27"/>
      <c r="R21" s="27"/>
      <c r="S21" s="27"/>
      <c r="T21" s="27"/>
      <c r="U21" s="27"/>
      <c r="V21" s="27"/>
      <c r="W21" s="27"/>
      <c r="X21" s="27"/>
      <c r="Y21" s="27"/>
      <c r="Z21" s="27"/>
    </row>
    <row r="22" hidden="1" customHeight="1" spans="1:26">
      <c r="A22" s="26">
        <v>358</v>
      </c>
      <c r="B22" s="26">
        <v>2</v>
      </c>
      <c r="C22" s="26" t="s">
        <v>708</v>
      </c>
      <c r="D22" s="26" t="s">
        <v>2717</v>
      </c>
      <c r="E22" s="26" t="s">
        <v>2889</v>
      </c>
      <c r="F22" s="26" t="str">
        <f t="shared" si="0"/>
        <v>Positive Traits Latin Origin</v>
      </c>
      <c r="G22" s="26">
        <f t="shared" si="1"/>
        <v>11</v>
      </c>
      <c r="H22" s="26" t="s">
        <v>2919</v>
      </c>
      <c r="I22" s="26"/>
      <c r="J22" s="26"/>
      <c r="K22" s="26"/>
      <c r="L22" s="26" t="str">
        <f t="shared" si="2"/>
        <v>D</v>
      </c>
      <c r="M22" s="26" t="str">
        <f>IFERROR(__xludf.DUMMYFUNCTION("GOOGLETRANSLATE(C22,""EN"",""KN"")"),"ಸಮರ್ಥನೀಯ")</f>
        <v>ಸಮರ್ಥನೀಯ</v>
      </c>
      <c r="N22" s="26">
        <f t="array" ref="N22">_xlfn.XLOOKUP(B22,'Sets Progress'!I:I,'Sets Progress'!I:I,"NOT YET")</f>
        <v>2</v>
      </c>
      <c r="O22" s="26" t="str">
        <f t="array" ref="O22">_xlfn.XLOOKUP(L:L,'Overall Progress'!L:L,'Overall Progress'!L:L,"NOT YET")</f>
        <v>NOT YET</v>
      </c>
      <c r="P22" s="26"/>
      <c r="Q22" s="26"/>
      <c r="R22" s="26"/>
      <c r="S22" s="26"/>
      <c r="T22" s="26"/>
      <c r="U22" s="26"/>
      <c r="V22" s="26"/>
      <c r="W22" s="26"/>
      <c r="X22" s="26"/>
      <c r="Y22" s="26"/>
      <c r="Z22" s="26"/>
    </row>
    <row r="23" hidden="1" customHeight="1" spans="1:26">
      <c r="A23" s="27">
        <v>448</v>
      </c>
      <c r="B23" s="27">
        <v>2</v>
      </c>
      <c r="C23" s="27" t="s">
        <v>797</v>
      </c>
      <c r="D23" s="27" t="s">
        <v>1721</v>
      </c>
      <c r="E23" s="27" t="s">
        <v>2889</v>
      </c>
      <c r="F23" s="27" t="str">
        <f t="shared" si="0"/>
        <v>Temporal Latin Origin</v>
      </c>
      <c r="G23" s="27">
        <f t="shared" si="1"/>
        <v>7</v>
      </c>
      <c r="H23" s="27" t="s">
        <v>2920</v>
      </c>
      <c r="I23" s="27"/>
      <c r="J23" s="27"/>
      <c r="K23" s="27"/>
      <c r="L23" s="27" t="str">
        <f t="shared" si="2"/>
        <v>D</v>
      </c>
      <c r="M23" s="27" t="str">
        <f>IFERROR(__xludf.DUMMYFUNCTION("GOOGLETRANSLATE(C23,""EN"",""KN"")"),"ಬಹಿರಂಗಪಡಿಸು")</f>
        <v>ಬಹಿರಂಗಪಡಿಸು</v>
      </c>
      <c r="N23" s="27">
        <f t="array" ref="N23">_xlfn.XLOOKUP(B23,'Sets Progress'!I:I,'Sets Progress'!I:I,"NOT YET")</f>
        <v>2</v>
      </c>
      <c r="O23" s="27" t="str">
        <f t="array" ref="O23">_xlfn.XLOOKUP(L:L,'Overall Progress'!L:L,'Overall Progress'!L:L,"NOT YET")</f>
        <v>NOT YET</v>
      </c>
      <c r="P23" s="27"/>
      <c r="Q23" s="27"/>
      <c r="R23" s="27"/>
      <c r="S23" s="27"/>
      <c r="T23" s="27"/>
      <c r="U23" s="27"/>
      <c r="V23" s="27"/>
      <c r="W23" s="27"/>
      <c r="X23" s="27"/>
      <c r="Y23" s="27"/>
      <c r="Z23" s="27"/>
    </row>
    <row r="24" hidden="1" customHeight="1" spans="1:26">
      <c r="A24" s="26">
        <v>612</v>
      </c>
      <c r="B24" s="26">
        <v>2</v>
      </c>
      <c r="C24" s="26" t="s">
        <v>956</v>
      </c>
      <c r="D24" s="26" t="s">
        <v>1721</v>
      </c>
      <c r="E24" s="26" t="s">
        <v>2921</v>
      </c>
      <c r="F24" s="26" t="str">
        <f t="shared" si="0"/>
        <v>Temporal Unknown Origin</v>
      </c>
      <c r="G24" s="26">
        <f t="shared" si="1"/>
        <v>9</v>
      </c>
      <c r="H24" s="26" t="s">
        <v>2922</v>
      </c>
      <c r="I24" s="26"/>
      <c r="J24" s="26"/>
      <c r="K24" s="26"/>
      <c r="L24" s="26" t="str">
        <f t="shared" si="2"/>
        <v>F</v>
      </c>
      <c r="M24" s="26" t="str">
        <f>IFERROR(__xludf.DUMMYFUNCTION("GOOGLETRANSLATE(C24,""EN"",""KN"")"),"Flummoxed")</f>
        <v>Flummoxed</v>
      </c>
      <c r="N24" s="26">
        <f t="array" ref="N24">_xlfn.XLOOKUP(B24,'Sets Progress'!I:I,'Sets Progress'!I:I,"NOT YET")</f>
        <v>2</v>
      </c>
      <c r="O24" s="26" t="str">
        <f t="array" ref="O24">_xlfn.XLOOKUP(L:L,'Overall Progress'!L:L,'Overall Progress'!L:L,"NOT YET")</f>
        <v>NOT YET</v>
      </c>
      <c r="P24" s="26"/>
      <c r="Q24" s="26"/>
      <c r="R24" s="26"/>
      <c r="S24" s="26"/>
      <c r="T24" s="26"/>
      <c r="U24" s="26"/>
      <c r="V24" s="26"/>
      <c r="W24" s="26"/>
      <c r="X24" s="26"/>
      <c r="Y24" s="26"/>
      <c r="Z24" s="26"/>
    </row>
    <row r="25" hidden="1" customHeight="1" spans="1:26">
      <c r="A25" s="27">
        <v>625</v>
      </c>
      <c r="B25" s="27">
        <v>2</v>
      </c>
      <c r="C25" s="27" t="s">
        <v>969</v>
      </c>
      <c r="D25" s="27" t="s">
        <v>1721</v>
      </c>
      <c r="E25" s="27" t="s">
        <v>2908</v>
      </c>
      <c r="F25" s="27" t="str">
        <f t="shared" si="0"/>
        <v>Temporal Old English Origin</v>
      </c>
      <c r="G25" s="27">
        <f t="shared" si="1"/>
        <v>5</v>
      </c>
      <c r="H25" s="27" t="s">
        <v>2923</v>
      </c>
      <c r="I25" s="27"/>
      <c r="J25" s="27"/>
      <c r="K25" s="27"/>
      <c r="L25" s="27" t="str">
        <f t="shared" si="2"/>
        <v>F</v>
      </c>
      <c r="M25" s="27" t="str">
        <f>IFERROR(__xludf.DUMMYFUNCTION("GOOGLETRANSLATE(C25,""EN"",""KN"")"),"ಬಿಟ್ಟುಬಿಡಿ")</f>
        <v>ಬಿಟ್ಟುಬಿಡಿ</v>
      </c>
      <c r="N25" s="27">
        <f t="array" ref="N25">_xlfn.XLOOKUP(B25,'Sets Progress'!I:I,'Sets Progress'!I:I,"NOT YET")</f>
        <v>2</v>
      </c>
      <c r="O25" s="27" t="str">
        <f t="array" ref="O25">_xlfn.XLOOKUP(L:L,'Overall Progress'!L:L,'Overall Progress'!L:L,"NOT YET")</f>
        <v>NOT YET</v>
      </c>
      <c r="P25" s="27"/>
      <c r="Q25" s="27"/>
      <c r="R25" s="27"/>
      <c r="S25" s="27"/>
      <c r="T25" s="27"/>
      <c r="U25" s="27"/>
      <c r="V25" s="27"/>
      <c r="W25" s="27"/>
      <c r="X25" s="27"/>
      <c r="Y25" s="27"/>
      <c r="Z25" s="27"/>
    </row>
    <row r="26" hidden="1" customHeight="1" spans="1:26">
      <c r="A26" s="26">
        <v>1030</v>
      </c>
      <c r="B26" s="26">
        <v>2</v>
      </c>
      <c r="C26" s="26" t="s">
        <v>1365</v>
      </c>
      <c r="D26" s="26" t="s">
        <v>2716</v>
      </c>
      <c r="E26" s="26" t="s">
        <v>2889</v>
      </c>
      <c r="F26" s="26" t="str">
        <f t="shared" si="0"/>
        <v>Negative Traits Latin Origin</v>
      </c>
      <c r="G26" s="26">
        <f t="shared" si="1"/>
        <v>8</v>
      </c>
      <c r="H26" s="26" t="s">
        <v>2924</v>
      </c>
      <c r="I26" s="26"/>
      <c r="J26" s="26"/>
      <c r="K26" s="26"/>
      <c r="L26" s="26" t="str">
        <f t="shared" si="2"/>
        <v>P</v>
      </c>
      <c r="M26" s="26" t="str">
        <f>IFERROR(__xludf.DUMMYFUNCTION("GOOGLETRANSLATE(C26,""EN"",""KN"")"),"ವಿಶಿಷ್ಟ")</f>
        <v>ವಿಶಿಷ್ಟ</v>
      </c>
      <c r="N26" s="26">
        <f t="array" ref="N26">_xlfn.XLOOKUP(B26,'Sets Progress'!I:I,'Sets Progress'!I:I,"NOT YET")</f>
        <v>2</v>
      </c>
      <c r="O26" s="26" t="str">
        <f t="array" ref="O26">_xlfn.XLOOKUP(L:L,'Overall Progress'!L:L,'Overall Progress'!L:L,"NOT YET")</f>
        <v>NOT YET</v>
      </c>
      <c r="P26" s="26"/>
      <c r="Q26" s="26"/>
      <c r="R26" s="26"/>
      <c r="S26" s="26"/>
      <c r="T26" s="26"/>
      <c r="U26" s="26"/>
      <c r="V26" s="26"/>
      <c r="W26" s="26"/>
      <c r="X26" s="26"/>
      <c r="Y26" s="26"/>
      <c r="Z26" s="26"/>
    </row>
    <row r="27" hidden="1" customHeight="1" spans="1:26">
      <c r="A27" s="27">
        <v>1056</v>
      </c>
      <c r="B27" s="27">
        <v>2</v>
      </c>
      <c r="C27" s="27" t="s">
        <v>1391</v>
      </c>
      <c r="D27" s="27" t="s">
        <v>2717</v>
      </c>
      <c r="E27" s="27" t="s">
        <v>2889</v>
      </c>
      <c r="F27" s="27" t="str">
        <f t="shared" si="0"/>
        <v>Positive Traits Latin Origin</v>
      </c>
      <c r="G27" s="27">
        <f t="shared" si="1"/>
        <v>12</v>
      </c>
      <c r="H27" s="27" t="s">
        <v>2925</v>
      </c>
      <c r="I27" s="27"/>
      <c r="J27" s="27"/>
      <c r="K27" s="27"/>
      <c r="L27" s="27" t="str">
        <f t="shared" si="2"/>
        <v>P</v>
      </c>
      <c r="M27" s="27" t="str">
        <f>IFERROR(__xludf.DUMMYFUNCTION("GOOGLETRANSLATE(C27,""EN"",""KN"")"),"ಸಂಬಂಧಿತ")</f>
        <v>ಸಂಬಂಧಿತ</v>
      </c>
      <c r="N27" s="27">
        <f t="array" ref="N27">_xlfn.XLOOKUP(B27,'Sets Progress'!I:I,'Sets Progress'!I:I,"NOT YET")</f>
        <v>2</v>
      </c>
      <c r="O27" s="27" t="str">
        <f t="array" ref="O27">_xlfn.XLOOKUP(L:L,'Overall Progress'!L:L,'Overall Progress'!L:L,"NOT YET")</f>
        <v>NOT YET</v>
      </c>
      <c r="P27" s="27"/>
      <c r="Q27" s="27"/>
      <c r="R27" s="27"/>
      <c r="S27" s="27"/>
      <c r="T27" s="27"/>
      <c r="U27" s="27"/>
      <c r="V27" s="27"/>
      <c r="W27" s="27"/>
      <c r="X27" s="27"/>
      <c r="Y27" s="27"/>
      <c r="Z27" s="27"/>
    </row>
    <row r="28" hidden="1" customHeight="1" spans="1:26">
      <c r="A28" s="26">
        <v>1063</v>
      </c>
      <c r="B28" s="26">
        <v>2</v>
      </c>
      <c r="C28" s="26" t="s">
        <v>1398</v>
      </c>
      <c r="D28" s="26" t="s">
        <v>2716</v>
      </c>
      <c r="E28" s="26" t="s">
        <v>2921</v>
      </c>
      <c r="F28" s="26" t="str">
        <f t="shared" si="0"/>
        <v>Negative Traits Unknown Origin</v>
      </c>
      <c r="G28" s="26">
        <f t="shared" si="1"/>
        <v>5</v>
      </c>
      <c r="H28" s="26" t="s">
        <v>2926</v>
      </c>
      <c r="I28" s="26"/>
      <c r="J28" s="26"/>
      <c r="K28" s="26"/>
      <c r="L28" s="26" t="str">
        <f t="shared" si="2"/>
        <v>P</v>
      </c>
      <c r="M28" s="26" t="str">
        <f>IFERROR(__xludf.DUMMYFUNCTION("GOOGLETRANSLATE(C28,""EN"",""KN"")"),"ಫೋನಿ")</f>
        <v>ಫೋನಿ</v>
      </c>
      <c r="N28" s="26">
        <f t="array" ref="N28">_xlfn.XLOOKUP(B28,'Sets Progress'!I:I,'Sets Progress'!I:I,"NOT YET")</f>
        <v>2</v>
      </c>
      <c r="O28" s="26" t="str">
        <f t="array" ref="O28">_xlfn.XLOOKUP(L:L,'Overall Progress'!L:L,'Overall Progress'!L:L,"NOT YET")</f>
        <v>NOT YET</v>
      </c>
      <c r="P28" s="26"/>
      <c r="Q28" s="26"/>
      <c r="R28" s="26"/>
      <c r="S28" s="26"/>
      <c r="T28" s="26"/>
      <c r="U28" s="26"/>
      <c r="V28" s="26"/>
      <c r="W28" s="26"/>
      <c r="X28" s="26"/>
      <c r="Y28" s="26"/>
      <c r="Z28" s="26"/>
    </row>
    <row r="29" hidden="1" customHeight="1" spans="1:26">
      <c r="A29" s="27">
        <v>1092</v>
      </c>
      <c r="B29" s="27">
        <v>2</v>
      </c>
      <c r="C29" s="27" t="s">
        <v>1427</v>
      </c>
      <c r="D29" s="27" t="s">
        <v>2717</v>
      </c>
      <c r="E29" s="27" t="s">
        <v>2893</v>
      </c>
      <c r="F29" s="27" t="str">
        <f t="shared" si="0"/>
        <v>Positive Traits Greek Origin</v>
      </c>
      <c r="G29" s="27">
        <f t="shared" si="1"/>
        <v>10</v>
      </c>
      <c r="H29" s="27" t="s">
        <v>2927</v>
      </c>
      <c r="I29" s="27"/>
      <c r="J29" s="27"/>
      <c r="K29" s="27"/>
      <c r="L29" s="27" t="str">
        <f t="shared" si="2"/>
        <v>P</v>
      </c>
      <c r="M29" s="27" t="str">
        <f>IFERROR(__xludf.DUMMYFUNCTION("GOOGLETRANSLATE(C29,""EN"",""KN"")"),"ವ್ಯಾವಹಾರಿಕವಾದ")</f>
        <v>ವ್ಯಾವಹಾರಿಕವಾದ</v>
      </c>
      <c r="N29" s="27">
        <f t="array" ref="N29">_xlfn.XLOOKUP(B29,'Sets Progress'!I:I,'Sets Progress'!I:I,"NOT YET")</f>
        <v>2</v>
      </c>
      <c r="O29" s="27" t="str">
        <f t="array" ref="O29">_xlfn.XLOOKUP(L:L,'Overall Progress'!L:L,'Overall Progress'!L:L,"NOT YET")</f>
        <v>NOT YET</v>
      </c>
      <c r="P29" s="27"/>
      <c r="Q29" s="27"/>
      <c r="R29" s="27"/>
      <c r="S29" s="27"/>
      <c r="T29" s="27"/>
      <c r="U29" s="27"/>
      <c r="V29" s="27"/>
      <c r="W29" s="27"/>
      <c r="X29" s="27"/>
      <c r="Y29" s="27"/>
      <c r="Z29" s="27"/>
    </row>
    <row r="30" hidden="1" customHeight="1" spans="1:26">
      <c r="A30" s="26">
        <v>9</v>
      </c>
      <c r="B30" s="26">
        <v>3</v>
      </c>
      <c r="C30" s="26" t="s">
        <v>378</v>
      </c>
      <c r="D30" s="26" t="s">
        <v>2928</v>
      </c>
      <c r="E30" s="26" t="s">
        <v>2889</v>
      </c>
      <c r="F30" s="26" t="str">
        <f t="shared" si="0"/>
        <v>Philosophical Latin Origin</v>
      </c>
      <c r="G30" s="26">
        <f t="shared" si="1"/>
        <v>6</v>
      </c>
      <c r="H30" s="26" t="s">
        <v>2929</v>
      </c>
      <c r="I30" s="26"/>
      <c r="J30" s="26"/>
      <c r="K30" s="26"/>
      <c r="L30" s="26" t="str">
        <f t="shared" si="2"/>
        <v>A</v>
      </c>
      <c r="M30" s="26" t="str">
        <f>IFERROR(__xludf.DUMMYFUNCTION("GOOGLETRANSLATE(C30,""EN"",""KN"")"),"ತ್ಯಜಿಸು")</f>
        <v>ತ್ಯಜಿಸು</v>
      </c>
      <c r="N30" s="26">
        <f t="array" ref="N30">_xlfn.XLOOKUP(B30,'Sets Progress'!I:I,'Sets Progress'!I:I,"NOT YET")</f>
        <v>3</v>
      </c>
      <c r="O30" s="26" t="str">
        <f t="array" ref="O30">_xlfn.XLOOKUP(L:L,'Overall Progress'!L:L,'Overall Progress'!L:L,"NOT YET")</f>
        <v>NOT YET</v>
      </c>
      <c r="P30" s="26"/>
      <c r="Q30" s="26"/>
      <c r="R30" s="26"/>
      <c r="S30" s="26"/>
      <c r="T30" s="26"/>
      <c r="U30" s="26"/>
      <c r="V30" s="26"/>
      <c r="W30" s="26"/>
      <c r="X30" s="26"/>
      <c r="Y30" s="26"/>
      <c r="Z30" s="26"/>
    </row>
    <row r="31" hidden="1" customHeight="1" spans="1:26">
      <c r="A31" s="27">
        <v>97</v>
      </c>
      <c r="B31" s="27">
        <v>3</v>
      </c>
      <c r="C31" s="27" t="s">
        <v>448</v>
      </c>
      <c r="D31" s="27" t="s">
        <v>2928</v>
      </c>
      <c r="E31" s="27" t="s">
        <v>2889</v>
      </c>
      <c r="F31" s="27" t="str">
        <f t="shared" si="0"/>
        <v>Philosophical Latin Origin</v>
      </c>
      <c r="G31" s="27">
        <f t="shared" si="1"/>
        <v>11</v>
      </c>
      <c r="H31" s="27" t="s">
        <v>2930</v>
      </c>
      <c r="I31" s="27"/>
      <c r="J31" s="27"/>
      <c r="K31" s="27"/>
      <c r="L31" s="27" t="str">
        <f t="shared" si="2"/>
        <v>A</v>
      </c>
      <c r="M31" s="27" t="str">
        <f>IFERROR(__xludf.DUMMYFUNCTION("GOOGLETRANSLATE(C31,""EN"",""KN"")"),"ಸೂಕ್ತ")</f>
        <v>ಸೂಕ್ತ</v>
      </c>
      <c r="N31" s="27">
        <f t="array" ref="N31">_xlfn.XLOOKUP(B31,'Sets Progress'!I:I,'Sets Progress'!I:I,"NOT YET")</f>
        <v>3</v>
      </c>
      <c r="O31" s="27" t="str">
        <f t="array" ref="O31">_xlfn.XLOOKUP(L:L,'Overall Progress'!L:L,'Overall Progress'!L:L,"NOT YET")</f>
        <v>NOT YET</v>
      </c>
      <c r="P31" s="27"/>
      <c r="Q31" s="27"/>
      <c r="R31" s="27"/>
      <c r="S31" s="27"/>
      <c r="T31" s="27"/>
      <c r="U31" s="27"/>
      <c r="V31" s="27"/>
      <c r="W31" s="27"/>
      <c r="X31" s="27"/>
      <c r="Y31" s="27"/>
      <c r="Z31" s="27"/>
    </row>
    <row r="32" hidden="1" customHeight="1" spans="1:26">
      <c r="A32" s="26">
        <v>130</v>
      </c>
      <c r="B32" s="26">
        <v>3</v>
      </c>
      <c r="C32" s="26" t="s">
        <v>479</v>
      </c>
      <c r="D32" s="26" t="s">
        <v>2717</v>
      </c>
      <c r="E32" s="26" t="s">
        <v>2889</v>
      </c>
      <c r="F32" s="26" t="str">
        <f t="shared" si="0"/>
        <v>Positive Traits Latin Origin</v>
      </c>
      <c r="G32" s="26">
        <f t="shared" si="1"/>
        <v>10</v>
      </c>
      <c r="H32" s="26" t="s">
        <v>2931</v>
      </c>
      <c r="I32" s="26"/>
      <c r="J32" s="26"/>
      <c r="K32" s="26"/>
      <c r="L32" s="26" t="str">
        <f t="shared" si="2"/>
        <v>A</v>
      </c>
      <c r="M32" s="26" t="str">
        <f>IFERROR(__xludf.DUMMYFUNCTION("GOOGLETRANSLATE(C32,""EN"",""KN"")"),"ಮಂಗಳಕರ")</f>
        <v>ಮಂಗಳಕರ</v>
      </c>
      <c r="N32" s="26">
        <f t="array" ref="N32">_xlfn.XLOOKUP(B32,'Sets Progress'!I:I,'Sets Progress'!I:I,"NOT YET")</f>
        <v>3</v>
      </c>
      <c r="O32" s="26" t="str">
        <f t="array" ref="O32">_xlfn.XLOOKUP(L:L,'Overall Progress'!L:L,'Overall Progress'!L:L,"NOT YET")</f>
        <v>NOT YET</v>
      </c>
      <c r="P32" s="26"/>
      <c r="Q32" s="26"/>
      <c r="R32" s="26"/>
      <c r="S32" s="26"/>
      <c r="T32" s="26"/>
      <c r="U32" s="26"/>
      <c r="V32" s="26"/>
      <c r="W32" s="26"/>
      <c r="X32" s="26"/>
      <c r="Y32" s="26"/>
      <c r="Z32" s="26"/>
    </row>
    <row r="33" hidden="1" customHeight="1" spans="1:26">
      <c r="A33" s="27">
        <v>189</v>
      </c>
      <c r="B33" s="27">
        <v>3</v>
      </c>
      <c r="C33" s="27" t="s">
        <v>539</v>
      </c>
      <c r="D33" s="27" t="s">
        <v>2892</v>
      </c>
      <c r="E33" s="27" t="s">
        <v>2911</v>
      </c>
      <c r="F33" s="27" t="str">
        <f t="shared" si="0"/>
        <v>Spatial French Origin</v>
      </c>
      <c r="G33" s="27">
        <f t="shared" si="1"/>
        <v>7</v>
      </c>
      <c r="H33" s="27" t="s">
        <v>2932</v>
      </c>
      <c r="I33" s="27"/>
      <c r="J33" s="27"/>
      <c r="K33" s="27"/>
      <c r="L33" s="27" t="str">
        <f t="shared" si="2"/>
        <v>B</v>
      </c>
      <c r="M33" s="27" t="str">
        <f>IFERROR(__xludf.DUMMYFUNCTION("GOOGLETRANSLATE(C33,""EN"",""KN"")"),"ತೇಲುವ")</f>
        <v>ತೇಲುವ</v>
      </c>
      <c r="N33" s="27">
        <f t="array" ref="N33">_xlfn.XLOOKUP(B33,'Sets Progress'!I:I,'Sets Progress'!I:I,"NOT YET")</f>
        <v>3</v>
      </c>
      <c r="O33" s="27" t="str">
        <f t="array" ref="O33">_xlfn.XLOOKUP(L:L,'Overall Progress'!L:L,'Overall Progress'!L:L,"NOT YET")</f>
        <v>NOT YET</v>
      </c>
      <c r="P33" s="27"/>
      <c r="Q33" s="27"/>
      <c r="R33" s="27"/>
      <c r="S33" s="27"/>
      <c r="T33" s="27"/>
      <c r="U33" s="27"/>
      <c r="V33" s="27"/>
      <c r="W33" s="27"/>
      <c r="X33" s="27"/>
      <c r="Y33" s="27"/>
      <c r="Z33" s="27"/>
    </row>
    <row r="34" hidden="1" customHeight="1" spans="1:26">
      <c r="A34" s="26">
        <v>229</v>
      </c>
      <c r="B34" s="26">
        <v>3</v>
      </c>
      <c r="C34" s="26" t="s">
        <v>580</v>
      </c>
      <c r="D34" s="26" t="s">
        <v>2717</v>
      </c>
      <c r="E34" s="26" t="s">
        <v>2908</v>
      </c>
      <c r="F34" s="26" t="str">
        <f t="shared" si="0"/>
        <v>Positive Traits Old English Origin</v>
      </c>
      <c r="G34" s="26">
        <f t="shared" si="1"/>
        <v>7</v>
      </c>
      <c r="H34" s="26" t="s">
        <v>2933</v>
      </c>
      <c r="I34" s="26"/>
      <c r="J34" s="26"/>
      <c r="K34" s="26"/>
      <c r="L34" s="26" t="str">
        <f t="shared" si="2"/>
        <v>C</v>
      </c>
      <c r="M34" s="26" t="str">
        <f>IFERROR(__xludf.DUMMYFUNCTION("GOOGLETRANSLATE(C34,""EN"",""KN"")"),"ಪಾಲಿಸು")</f>
        <v>ಪಾಲಿಸು</v>
      </c>
      <c r="N34" s="26">
        <f t="array" ref="N34">_xlfn.XLOOKUP(B34,'Sets Progress'!I:I,'Sets Progress'!I:I,"NOT YET")</f>
        <v>3</v>
      </c>
      <c r="O34" s="26" t="str">
        <f t="array" ref="O34">_xlfn.XLOOKUP(L:L,'Overall Progress'!L:L,'Overall Progress'!L:L,"NOT YET")</f>
        <v>NOT YET</v>
      </c>
      <c r="P34" s="26"/>
      <c r="Q34" s="26"/>
      <c r="R34" s="26"/>
      <c r="S34" s="26"/>
      <c r="T34" s="26"/>
      <c r="U34" s="26"/>
      <c r="V34" s="26"/>
      <c r="W34" s="26"/>
      <c r="X34" s="26"/>
      <c r="Y34" s="26"/>
      <c r="Z34" s="26"/>
    </row>
    <row r="35" hidden="1" customHeight="1" spans="1:26">
      <c r="A35" s="27">
        <v>272</v>
      </c>
      <c r="B35" s="27">
        <v>3</v>
      </c>
      <c r="C35" s="27" t="s">
        <v>625</v>
      </c>
      <c r="D35" s="27" t="s">
        <v>1721</v>
      </c>
      <c r="E35" s="27" t="s">
        <v>2889</v>
      </c>
      <c r="F35" s="27" t="str">
        <f t="shared" si="0"/>
        <v>Temporal Latin Origin</v>
      </c>
      <c r="G35" s="27">
        <f t="shared" si="1"/>
        <v>10</v>
      </c>
      <c r="H35" s="27" t="s">
        <v>2934</v>
      </c>
      <c r="I35" s="27"/>
      <c r="J35" s="27"/>
      <c r="K35" s="27"/>
      <c r="L35" s="27" t="str">
        <f t="shared" si="2"/>
        <v>C</v>
      </c>
      <c r="M35" s="27" t="str">
        <f>IFERROR(__xludf.DUMMYFUNCTION("GOOGLETRANSLATE(C35,""EN"",""KN"")"),"ಸಂಯೋಜಿತ")</f>
        <v>ಸಂಯೋಜಿತ</v>
      </c>
      <c r="N35" s="27">
        <f t="array" ref="N35">_xlfn.XLOOKUP(B35,'Sets Progress'!I:I,'Sets Progress'!I:I,"NOT YET")</f>
        <v>3</v>
      </c>
      <c r="O35" s="27" t="str">
        <f t="array" ref="O35">_xlfn.XLOOKUP(L:L,'Overall Progress'!L:L,'Overall Progress'!L:L,"NOT YET")</f>
        <v>NOT YET</v>
      </c>
      <c r="P35" s="27"/>
      <c r="Q35" s="27"/>
      <c r="R35" s="27"/>
      <c r="S35" s="27"/>
      <c r="T35" s="27"/>
      <c r="U35" s="27"/>
      <c r="V35" s="27"/>
      <c r="W35" s="27"/>
      <c r="X35" s="27"/>
      <c r="Y35" s="27"/>
      <c r="Z35" s="27"/>
    </row>
    <row r="36" hidden="1" customHeight="1" spans="1:26">
      <c r="A36" s="26">
        <v>546</v>
      </c>
      <c r="B36" s="26">
        <v>3</v>
      </c>
      <c r="C36" s="26" t="s">
        <v>892</v>
      </c>
      <c r="D36" s="26" t="s">
        <v>1721</v>
      </c>
      <c r="E36" s="26" t="s">
        <v>2889</v>
      </c>
      <c r="F36" s="26" t="str">
        <f t="shared" si="0"/>
        <v>Temporal Latin Origin</v>
      </c>
      <c r="G36" s="26">
        <f t="shared" si="1"/>
        <v>5</v>
      </c>
      <c r="H36" s="26" t="s">
        <v>2935</v>
      </c>
      <c r="I36" s="26"/>
      <c r="J36" s="26"/>
      <c r="K36" s="26"/>
      <c r="L36" s="26" t="str">
        <f t="shared" si="2"/>
        <v>E</v>
      </c>
      <c r="M36" s="26" t="str">
        <f>IFERROR(__xludf.DUMMYFUNCTION("GOOGLETRANSLATE(C36,""EN"",""KN"")"),"ನಿಖರ")</f>
        <v>ನಿಖರ</v>
      </c>
      <c r="N36" s="26">
        <f t="array" ref="N36">_xlfn.XLOOKUP(B36,'Sets Progress'!I:I,'Sets Progress'!I:I,"NOT YET")</f>
        <v>3</v>
      </c>
      <c r="O36" s="26" t="str">
        <f t="array" ref="O36">_xlfn.XLOOKUP(L:L,'Overall Progress'!L:L,'Overall Progress'!L:L,"NOT YET")</f>
        <v>NOT YET</v>
      </c>
      <c r="P36" s="26"/>
      <c r="Q36" s="26"/>
      <c r="R36" s="26"/>
      <c r="S36" s="26"/>
      <c r="T36" s="26"/>
      <c r="U36" s="26"/>
      <c r="V36" s="26"/>
      <c r="W36" s="26"/>
      <c r="X36" s="26"/>
      <c r="Y36" s="26"/>
      <c r="Z36" s="26"/>
    </row>
    <row r="37" hidden="1" customHeight="1" spans="1:26">
      <c r="A37" s="27">
        <v>585</v>
      </c>
      <c r="B37" s="27">
        <v>3</v>
      </c>
      <c r="C37" s="27" t="s">
        <v>930</v>
      </c>
      <c r="D37" s="27" t="s">
        <v>1721</v>
      </c>
      <c r="E37" s="27" t="s">
        <v>2889</v>
      </c>
      <c r="F37" s="27" t="str">
        <f t="shared" si="0"/>
        <v>Temporal Latin Origin</v>
      </c>
      <c r="G37" s="27">
        <f t="shared" si="1"/>
        <v>9</v>
      </c>
      <c r="H37" s="27" t="s">
        <v>2936</v>
      </c>
      <c r="I37" s="27"/>
      <c r="J37" s="27"/>
      <c r="K37" s="27"/>
      <c r="L37" s="27" t="str">
        <f t="shared" si="2"/>
        <v>F</v>
      </c>
      <c r="M37" s="27" t="str">
        <f>IFERROR(__xludf.DUMMYFUNCTION("GOOGLETRANSLATE(C37,""EN"",""KN"")"),"ಆಕರ್ಷಕ")</f>
        <v>ಆಕರ್ಷಕ</v>
      </c>
      <c r="N37" s="27">
        <f t="array" ref="N37">_xlfn.XLOOKUP(B37,'Sets Progress'!I:I,'Sets Progress'!I:I,"NOT YET")</f>
        <v>3</v>
      </c>
      <c r="O37" s="27" t="str">
        <f t="array" ref="O37">_xlfn.XLOOKUP(L:L,'Overall Progress'!L:L,'Overall Progress'!L:L,"NOT YET")</f>
        <v>NOT YET</v>
      </c>
      <c r="P37" s="27"/>
      <c r="Q37" s="27"/>
      <c r="R37" s="27"/>
      <c r="S37" s="27"/>
      <c r="T37" s="27"/>
      <c r="U37" s="27"/>
      <c r="V37" s="27"/>
      <c r="W37" s="27"/>
      <c r="X37" s="27"/>
      <c r="Y37" s="27"/>
      <c r="Z37" s="27"/>
    </row>
    <row r="38" hidden="1" customHeight="1" spans="1:26">
      <c r="A38" s="26">
        <v>605</v>
      </c>
      <c r="B38" s="26">
        <v>3</v>
      </c>
      <c r="C38" s="26" t="s">
        <v>949</v>
      </c>
      <c r="D38" s="26" t="s">
        <v>2717</v>
      </c>
      <c r="E38" s="26" t="s">
        <v>2911</v>
      </c>
      <c r="F38" s="26" t="str">
        <f t="shared" si="0"/>
        <v>Positive Traits French Origin</v>
      </c>
      <c r="G38" s="26">
        <f t="shared" si="1"/>
        <v>10</v>
      </c>
      <c r="H38" s="26" t="s">
        <v>2937</v>
      </c>
      <c r="I38" s="26"/>
      <c r="J38" s="26"/>
      <c r="K38" s="26"/>
      <c r="L38" s="26" t="str">
        <f t="shared" si="2"/>
        <v>F</v>
      </c>
      <c r="M38" s="26" t="str">
        <f>IFERROR(__xludf.DUMMYFUNCTION("GOOGLETRANSLATE(C38,""EN"",""KN"")"),"ಅಬ್ಬರದ")</f>
        <v>ಅಬ್ಬರದ</v>
      </c>
      <c r="N38" s="26">
        <f t="array" ref="N38">_xlfn.XLOOKUP(B38,'Sets Progress'!I:I,'Sets Progress'!I:I,"NOT YET")</f>
        <v>3</v>
      </c>
      <c r="O38" s="26" t="str">
        <f t="array" ref="O38">_xlfn.XLOOKUP(L:L,'Overall Progress'!L:L,'Overall Progress'!L:L,"NOT YET")</f>
        <v>NOT YET</v>
      </c>
      <c r="P38" s="26"/>
      <c r="Q38" s="26"/>
      <c r="R38" s="26"/>
      <c r="S38" s="26"/>
      <c r="T38" s="26"/>
      <c r="U38" s="26"/>
      <c r="V38" s="26"/>
      <c r="W38" s="26"/>
      <c r="X38" s="26"/>
      <c r="Y38" s="26"/>
      <c r="Z38" s="26"/>
    </row>
    <row r="39" hidden="1" customHeight="1" spans="1:26">
      <c r="A39" s="27">
        <v>924</v>
      </c>
      <c r="B39" s="27">
        <v>3</v>
      </c>
      <c r="C39" s="27" t="s">
        <v>1260</v>
      </c>
      <c r="D39" s="27" t="s">
        <v>1721</v>
      </c>
      <c r="E39" s="27" t="s">
        <v>2889</v>
      </c>
      <c r="F39" s="27" t="str">
        <f t="shared" si="0"/>
        <v>Temporal Latin Origin</v>
      </c>
      <c r="G39" s="27">
        <f t="shared" si="1"/>
        <v>9</v>
      </c>
      <c r="H39" s="27" t="s">
        <v>2938</v>
      </c>
      <c r="I39" s="27"/>
      <c r="J39" s="27"/>
      <c r="K39" s="27"/>
      <c r="L39" s="27" t="str">
        <f t="shared" si="2"/>
        <v>M</v>
      </c>
      <c r="M39" s="27" t="str">
        <f>IFERROR(__xludf.DUMMYFUNCTION("GOOGLETRANSLATE(C39,""EN"",""KN"")"),"ಕ್ಷಣಿಕ")</f>
        <v>ಕ್ಷಣಿಕ</v>
      </c>
      <c r="N39" s="27">
        <f t="array" ref="N39">_xlfn.XLOOKUP(B39,'Sets Progress'!I:I,'Sets Progress'!I:I,"NOT YET")</f>
        <v>3</v>
      </c>
      <c r="O39" s="27" t="str">
        <f t="array" ref="O39">_xlfn.XLOOKUP(L:L,'Overall Progress'!L:L,'Overall Progress'!L:L,"NOT YET")</f>
        <v>NOT YET</v>
      </c>
      <c r="P39" s="27"/>
      <c r="Q39" s="27"/>
      <c r="R39" s="27"/>
      <c r="S39" s="27"/>
      <c r="T39" s="27"/>
      <c r="U39" s="27"/>
      <c r="V39" s="27"/>
      <c r="W39" s="27"/>
      <c r="X39" s="27"/>
      <c r="Y39" s="27"/>
      <c r="Z39" s="27"/>
    </row>
    <row r="40" hidden="1" customHeight="1" spans="1:26">
      <c r="A40" s="26">
        <v>1012</v>
      </c>
      <c r="B40" s="26">
        <v>3</v>
      </c>
      <c r="C40" s="26" t="s">
        <v>1347</v>
      </c>
      <c r="D40" s="26" t="s">
        <v>1721</v>
      </c>
      <c r="E40" s="26" t="s">
        <v>2889</v>
      </c>
      <c r="F40" s="26" t="str">
        <f t="shared" si="0"/>
        <v>Temporal Latin Origin</v>
      </c>
      <c r="G40" s="26">
        <f t="shared" si="1"/>
        <v>7</v>
      </c>
      <c r="H40" s="26" t="s">
        <v>2939</v>
      </c>
      <c r="I40" s="26"/>
      <c r="J40" s="26"/>
      <c r="K40" s="26"/>
      <c r="L40" s="26" t="str">
        <f t="shared" si="2"/>
        <v>P</v>
      </c>
      <c r="M40" s="26" t="str">
        <f>IFERROR(__xludf.DUMMYFUNCTION("GOOGLETRANSLATE(C40,""EN"",""KN"")"),"ಸರ್ವರೋಗ ನಿವಾರಕ")</f>
        <v>ಸರ್ವರೋಗ ನಿವಾರಕ</v>
      </c>
      <c r="N40" s="26">
        <f t="array" ref="N40">_xlfn.XLOOKUP(B40,'Sets Progress'!I:I,'Sets Progress'!I:I,"NOT YET")</f>
        <v>3</v>
      </c>
      <c r="O40" s="26" t="str">
        <f t="array" ref="O40">_xlfn.XLOOKUP(L:L,'Overall Progress'!L:L,'Overall Progress'!L:L,"NOT YET")</f>
        <v>NOT YET</v>
      </c>
      <c r="P40" s="26"/>
      <c r="Q40" s="26"/>
      <c r="R40" s="26"/>
      <c r="S40" s="26"/>
      <c r="T40" s="26"/>
      <c r="U40" s="26"/>
      <c r="V40" s="26"/>
      <c r="W40" s="26"/>
      <c r="X40" s="26"/>
      <c r="Y40" s="26"/>
      <c r="Z40" s="26"/>
    </row>
    <row r="41" hidden="1" customHeight="1" spans="1:26">
      <c r="A41" s="27">
        <v>1065</v>
      </c>
      <c r="B41" s="27">
        <v>3</v>
      </c>
      <c r="C41" s="27" t="s">
        <v>1400</v>
      </c>
      <c r="D41" s="27" t="s">
        <v>2717</v>
      </c>
      <c r="E41" s="27" t="s">
        <v>2889</v>
      </c>
      <c r="F41" s="27" t="str">
        <f t="shared" si="0"/>
        <v>Positive Traits Latin Origin</v>
      </c>
      <c r="G41" s="27">
        <f t="shared" si="1"/>
        <v>5</v>
      </c>
      <c r="H41" s="27" t="s">
        <v>2940</v>
      </c>
      <c r="I41" s="27"/>
      <c r="J41" s="27"/>
      <c r="K41" s="27"/>
      <c r="L41" s="27" t="str">
        <f t="shared" si="2"/>
        <v>P</v>
      </c>
      <c r="M41" s="27" t="str">
        <f>IFERROR(__xludf.DUMMYFUNCTION("GOOGLETRANSLATE(C41,""EN"",""KN"")"),"ಪುಣ್ಯಾತ್ಮ")</f>
        <v>ಪುಣ್ಯಾತ್ಮ</v>
      </c>
      <c r="N41" s="27">
        <f t="array" ref="N41">_xlfn.XLOOKUP(B41,'Sets Progress'!I:I,'Sets Progress'!I:I,"NOT YET")</f>
        <v>3</v>
      </c>
      <c r="O41" s="27" t="str">
        <f t="array" ref="O41">_xlfn.XLOOKUP(L:L,'Overall Progress'!L:L,'Overall Progress'!L:L,"NOT YET")</f>
        <v>NOT YET</v>
      </c>
      <c r="P41" s="27"/>
      <c r="Q41" s="27"/>
      <c r="R41" s="27"/>
      <c r="S41" s="27"/>
      <c r="T41" s="27"/>
      <c r="U41" s="27"/>
      <c r="V41" s="27"/>
      <c r="W41" s="27"/>
      <c r="X41" s="27"/>
      <c r="Y41" s="27"/>
      <c r="Z41" s="27"/>
    </row>
    <row r="42" hidden="1" customHeight="1" spans="1:26">
      <c r="A42" s="26">
        <v>1183</v>
      </c>
      <c r="B42" s="26">
        <v>3</v>
      </c>
      <c r="C42" s="26" t="s">
        <v>1514</v>
      </c>
      <c r="D42" s="26" t="s">
        <v>1721</v>
      </c>
      <c r="E42" s="26" t="s">
        <v>2889</v>
      </c>
      <c r="F42" s="26" t="str">
        <f t="shared" si="0"/>
        <v>Temporal Latin Origin</v>
      </c>
      <c r="G42" s="26">
        <f t="shared" si="1"/>
        <v>8</v>
      </c>
      <c r="H42" s="26" t="s">
        <v>2941</v>
      </c>
      <c r="I42" s="26"/>
      <c r="J42" s="26"/>
      <c r="K42" s="26"/>
      <c r="L42" s="26" t="str">
        <f t="shared" si="2"/>
        <v>R</v>
      </c>
      <c r="M42" s="26" t="str">
        <f>IFERROR(__xludf.DUMMYFUNCTION("GOOGLETRANSLATE(C42,""EN"",""KN"")"),"ದ್ವಿಗುಣಗೊಳಿಸು")</f>
        <v>ದ್ವಿಗುಣಗೊಳಿಸು</v>
      </c>
      <c r="N42" s="26">
        <f t="array" ref="N42">_xlfn.XLOOKUP(B42,'Sets Progress'!I:I,'Sets Progress'!I:I,"NOT YET")</f>
        <v>3</v>
      </c>
      <c r="O42" s="26" t="str">
        <f t="array" ref="O42">_xlfn.XLOOKUP(L:L,'Overall Progress'!L:L,'Overall Progress'!L:L,"NOT YET")</f>
        <v>NOT YET</v>
      </c>
      <c r="P42" s="26"/>
      <c r="Q42" s="26"/>
      <c r="R42" s="26"/>
      <c r="S42" s="26"/>
      <c r="T42" s="26"/>
      <c r="U42" s="26"/>
      <c r="V42" s="26"/>
      <c r="W42" s="26"/>
      <c r="X42" s="26"/>
      <c r="Y42" s="26"/>
      <c r="Z42" s="26"/>
    </row>
    <row r="43" hidden="1" customHeight="1" spans="1:26">
      <c r="A43" s="27">
        <v>1323</v>
      </c>
      <c r="B43" s="27">
        <v>3</v>
      </c>
      <c r="C43" s="27" t="s">
        <v>1654</v>
      </c>
      <c r="D43" s="27" t="s">
        <v>1721</v>
      </c>
      <c r="E43" s="27" t="s">
        <v>2908</v>
      </c>
      <c r="F43" s="27" t="str">
        <f t="shared" si="0"/>
        <v>Temporal Old English Origin</v>
      </c>
      <c r="G43" s="27">
        <f t="shared" si="1"/>
        <v>9</v>
      </c>
      <c r="H43" s="27" t="s">
        <v>2942</v>
      </c>
      <c r="I43" s="27"/>
      <c r="J43" s="27"/>
      <c r="K43" s="27"/>
      <c r="L43" s="27" t="str">
        <f t="shared" si="2"/>
        <v>S</v>
      </c>
      <c r="M43" s="27" t="str">
        <f>IFERROR(__xludf.DUMMYFUNCTION("GOOGLETRANSLATE(C43,""EN"",""KN"")"),"ಗಾಬರಿ ಹುಟ್ಟಿಸುವಂಥದ್ದು")</f>
        <v>ಗಾಬರಿ ಹುಟ್ಟಿಸುವಂಥದ್ದು</v>
      </c>
      <c r="N43" s="27">
        <f t="array" ref="N43">_xlfn.XLOOKUP(B43,'Sets Progress'!I:I,'Sets Progress'!I:I,"NOT YET")</f>
        <v>3</v>
      </c>
      <c r="O43" s="27" t="str">
        <f t="array" ref="O43">_xlfn.XLOOKUP(L:L,'Overall Progress'!L:L,'Overall Progress'!L:L,"NOT YET")</f>
        <v>NOT YET</v>
      </c>
      <c r="P43" s="27"/>
      <c r="Q43" s="27"/>
      <c r="R43" s="27"/>
      <c r="S43" s="27"/>
      <c r="T43" s="27"/>
      <c r="U43" s="27"/>
      <c r="V43" s="27"/>
      <c r="W43" s="27"/>
      <c r="X43" s="27"/>
      <c r="Y43" s="27"/>
      <c r="Z43" s="27"/>
    </row>
    <row r="44" hidden="1" customHeight="1" spans="1:26">
      <c r="A44" s="26">
        <v>1489</v>
      </c>
      <c r="B44" s="26">
        <v>3</v>
      </c>
      <c r="C44" s="26" t="s">
        <v>1817</v>
      </c>
      <c r="D44" s="26" t="s">
        <v>1721</v>
      </c>
      <c r="E44" s="26" t="s">
        <v>2908</v>
      </c>
      <c r="F44" s="26" t="str">
        <f t="shared" si="0"/>
        <v>Temporal Old English Origin</v>
      </c>
      <c r="G44" s="26">
        <f t="shared" si="1"/>
        <v>7</v>
      </c>
      <c r="H44" s="26" t="s">
        <v>2943</v>
      </c>
      <c r="I44" s="26"/>
      <c r="J44" s="26"/>
      <c r="K44" s="26"/>
      <c r="L44" s="26" t="str">
        <f t="shared" si="2"/>
        <v>U</v>
      </c>
      <c r="M44" s="26" t="str">
        <f>IFERROR(__xludf.DUMMYFUNCTION("GOOGLETRANSLATE(C44,""EN"",""KN"")"),"ಸಂಪೂರ್ಣವಾಗಿ")</f>
        <v>ಸಂಪೂರ್ಣವಾಗಿ</v>
      </c>
      <c r="N44" s="26">
        <f t="array" ref="N44">_xlfn.XLOOKUP(B44,'Sets Progress'!I:I,'Sets Progress'!I:I,"NOT YET")</f>
        <v>3</v>
      </c>
      <c r="O44" s="26" t="str">
        <f t="array" ref="O44">_xlfn.XLOOKUP(L:L,'Overall Progress'!L:L,'Overall Progress'!L:L,"NOT YET")</f>
        <v>NOT YET</v>
      </c>
      <c r="P44" s="26"/>
      <c r="Q44" s="26"/>
      <c r="R44" s="26"/>
      <c r="S44" s="26"/>
      <c r="T44" s="26"/>
      <c r="U44" s="26"/>
      <c r="V44" s="26"/>
      <c r="W44" s="26"/>
      <c r="X44" s="26"/>
      <c r="Y44" s="26"/>
      <c r="Z44" s="26"/>
    </row>
    <row r="45" hidden="1" customHeight="1" spans="1:26">
      <c r="A45" s="27">
        <v>1506</v>
      </c>
      <c r="B45" s="27">
        <v>3</v>
      </c>
      <c r="C45" s="27" t="s">
        <v>1834</v>
      </c>
      <c r="D45" s="27" t="s">
        <v>2717</v>
      </c>
      <c r="E45" s="27" t="s">
        <v>2889</v>
      </c>
      <c r="F45" s="27" t="str">
        <f t="shared" si="0"/>
        <v>Positive Traits Latin Origin</v>
      </c>
      <c r="G45" s="27">
        <f t="shared" si="1"/>
        <v>6</v>
      </c>
      <c r="H45" s="27" t="s">
        <v>2944</v>
      </c>
      <c r="I45" s="27"/>
      <c r="J45" s="27"/>
      <c r="K45" s="27"/>
      <c r="L45" s="27" t="str">
        <f t="shared" si="2"/>
        <v>V</v>
      </c>
      <c r="M45" s="27" t="str">
        <f>IFERROR(__xludf.DUMMYFUNCTION("GOOGLETRANSLATE(C45,""EN"",""KN"")"),"ಕಾರ್ಯಸಾಧ್ಯ")</f>
        <v>ಕಾರ್ಯಸಾಧ್ಯ</v>
      </c>
      <c r="N45" s="27">
        <f t="array" ref="N45">_xlfn.XLOOKUP(B45,'Sets Progress'!I:I,'Sets Progress'!I:I,"NOT YET")</f>
        <v>3</v>
      </c>
      <c r="O45" s="27" t="str">
        <f t="array" ref="O45">_xlfn.XLOOKUP(L:L,'Overall Progress'!L:L,'Overall Progress'!L:L,"NOT YET")</f>
        <v>NOT YET</v>
      </c>
      <c r="P45" s="27"/>
      <c r="Q45" s="27"/>
      <c r="R45" s="27"/>
      <c r="S45" s="27"/>
      <c r="T45" s="27"/>
      <c r="U45" s="27"/>
      <c r="V45" s="27"/>
      <c r="W45" s="27"/>
      <c r="X45" s="27"/>
      <c r="Y45" s="27"/>
      <c r="Z45" s="27"/>
    </row>
    <row r="46" hidden="1" customHeight="1" spans="1:26">
      <c r="A46" s="26">
        <v>14</v>
      </c>
      <c r="B46" s="26">
        <v>4</v>
      </c>
      <c r="C46" s="26" t="s">
        <v>380</v>
      </c>
      <c r="D46" s="26" t="s">
        <v>2928</v>
      </c>
      <c r="E46" s="26" t="s">
        <v>2889</v>
      </c>
      <c r="F46" s="26" t="str">
        <f t="shared" si="0"/>
        <v>Philosophical Latin Origin</v>
      </c>
      <c r="G46" s="26">
        <f t="shared" si="1"/>
        <v>8</v>
      </c>
      <c r="H46" s="26" t="s">
        <v>2945</v>
      </c>
      <c r="I46" s="26"/>
      <c r="J46" s="26"/>
      <c r="K46" s="26"/>
      <c r="L46" s="26" t="str">
        <f t="shared" si="2"/>
        <v>A</v>
      </c>
      <c r="M46" s="26" t="str">
        <f>IFERROR(__xludf.DUMMYFUNCTION("GOOGLETRANSLATE(C46,""EN"",""KN"")"),"ರದ್ದುಗೊಳಿಸಿ")</f>
        <v>ರದ್ದುಗೊಳಿಸಿ</v>
      </c>
      <c r="N46" s="26">
        <f t="array" ref="N46">_xlfn.XLOOKUP(B46,'Sets Progress'!I:I,'Sets Progress'!I:I,"NOT YET")</f>
        <v>4</v>
      </c>
      <c r="O46" s="26" t="str">
        <f t="array" ref="O46">_xlfn.XLOOKUP(L:L,'Overall Progress'!L:L,'Overall Progress'!L:L,"NOT YET")</f>
        <v>NOT YET</v>
      </c>
      <c r="P46" s="26"/>
      <c r="Q46" s="26"/>
      <c r="R46" s="26"/>
      <c r="S46" s="26"/>
      <c r="T46" s="26"/>
      <c r="U46" s="26"/>
      <c r="V46" s="26"/>
      <c r="W46" s="26"/>
      <c r="X46" s="26"/>
      <c r="Y46" s="26"/>
      <c r="Z46" s="26"/>
    </row>
    <row r="47" hidden="1" customHeight="1" spans="1:26">
      <c r="A47" s="27">
        <v>142</v>
      </c>
      <c r="B47" s="27">
        <v>4</v>
      </c>
      <c r="C47" s="27" t="s">
        <v>491</v>
      </c>
      <c r="D47" s="27" t="s">
        <v>2946</v>
      </c>
      <c r="E47" s="27" t="s">
        <v>2947</v>
      </c>
      <c r="F47" s="27" t="str">
        <f t="shared" si="0"/>
        <v>Emotional Scottish Origin</v>
      </c>
      <c r="G47" s="27">
        <f t="shared" si="1"/>
        <v>8</v>
      </c>
      <c r="H47" s="27" t="s">
        <v>2948</v>
      </c>
      <c r="I47" s="27"/>
      <c r="J47" s="27"/>
      <c r="K47" s="27"/>
      <c r="L47" s="27" t="str">
        <f t="shared" si="2"/>
        <v>B</v>
      </c>
      <c r="M47" s="27" t="str">
        <f>IFERROR(__xludf.DUMMYFUNCTION("GOOGLETRANSLATE(C47,""EN"",""KN"")"),"ಭಗ್ನಗೊಳಿಸುವಿಕೆ")</f>
        <v>ಭಗ್ನಗೊಳಿಸುವಿಕೆ</v>
      </c>
      <c r="N47" s="27">
        <f t="array" ref="N47">_xlfn.XLOOKUP(B47,'Sets Progress'!I:I,'Sets Progress'!I:I,"NOT YET")</f>
        <v>4</v>
      </c>
      <c r="O47" s="27" t="str">
        <f t="array" ref="O47">_xlfn.XLOOKUP(L:L,'Overall Progress'!L:L,'Overall Progress'!L:L,"NOT YET")</f>
        <v>NOT YET</v>
      </c>
      <c r="P47" s="27"/>
      <c r="Q47" s="27"/>
      <c r="R47" s="27"/>
      <c r="S47" s="27"/>
      <c r="T47" s="27"/>
      <c r="U47" s="27"/>
      <c r="V47" s="27"/>
      <c r="W47" s="27"/>
      <c r="X47" s="27"/>
      <c r="Y47" s="27"/>
      <c r="Z47" s="27"/>
    </row>
    <row r="48" hidden="1" customHeight="1" spans="1:26">
      <c r="A48" s="26">
        <v>218</v>
      </c>
      <c r="B48" s="26">
        <v>4</v>
      </c>
      <c r="C48" s="26" t="s">
        <v>567</v>
      </c>
      <c r="D48" s="26" t="s">
        <v>1721</v>
      </c>
      <c r="E48" s="26" t="s">
        <v>2889</v>
      </c>
      <c r="F48" s="26" t="str">
        <f t="shared" si="0"/>
        <v>Temporal Latin Origin</v>
      </c>
      <c r="G48" s="26">
        <f t="shared" si="1"/>
        <v>5</v>
      </c>
      <c r="H48" s="26" t="s">
        <v>2949</v>
      </c>
      <c r="I48" s="26"/>
      <c r="J48" s="26"/>
      <c r="K48" s="26"/>
      <c r="L48" s="26" t="str">
        <f t="shared" si="2"/>
        <v>C</v>
      </c>
      <c r="M48" s="26" t="str">
        <f>IFERROR(__xludf.DUMMYFUNCTION("GOOGLETRANSLATE(C48,""EN"",""KN"")"),"ನಿಲ್ಲಿಸು")</f>
        <v>ನಿಲ್ಲಿಸು</v>
      </c>
      <c r="N48" s="26">
        <f t="array" ref="N48">_xlfn.XLOOKUP(B48,'Sets Progress'!I:I,'Sets Progress'!I:I,"NOT YET")</f>
        <v>4</v>
      </c>
      <c r="O48" s="26" t="str">
        <f t="array" ref="O48">_xlfn.XLOOKUP(L:L,'Overall Progress'!L:L,'Overall Progress'!L:L,"NOT YET")</f>
        <v>NOT YET</v>
      </c>
      <c r="P48" s="26"/>
      <c r="Q48" s="26"/>
      <c r="R48" s="26"/>
      <c r="S48" s="26"/>
      <c r="T48" s="26"/>
      <c r="U48" s="26"/>
      <c r="V48" s="26"/>
      <c r="W48" s="26"/>
      <c r="X48" s="26"/>
      <c r="Y48" s="26"/>
      <c r="Z48" s="26"/>
    </row>
    <row r="49" hidden="1" customHeight="1" spans="1:26">
      <c r="A49" s="27">
        <v>228</v>
      </c>
      <c r="B49" s="27">
        <v>4</v>
      </c>
      <c r="C49" s="27" t="s">
        <v>579</v>
      </c>
      <c r="D49" s="27" t="s">
        <v>2892</v>
      </c>
      <c r="E49" s="27" t="s">
        <v>2896</v>
      </c>
      <c r="F49" s="27" t="str">
        <f t="shared" si="0"/>
        <v>Spatial Old French Origin</v>
      </c>
      <c r="G49" s="27">
        <f t="shared" si="1"/>
        <v>5</v>
      </c>
      <c r="H49" s="27" t="s">
        <v>2950</v>
      </c>
      <c r="I49" s="27"/>
      <c r="J49" s="27"/>
      <c r="K49" s="27"/>
      <c r="L49" s="27" t="str">
        <f t="shared" si="2"/>
        <v>C</v>
      </c>
      <c r="M49" s="27" t="str">
        <f>IFERROR(__xludf.DUMMYFUNCTION("GOOGLETRANSLATE(C49,""EN"",""KN"")"),"ಪರಿಶೀಲಿಸಿ")</f>
        <v>ಪರಿಶೀಲಿಸಿ</v>
      </c>
      <c r="N49" s="27">
        <f t="array" ref="N49">_xlfn.XLOOKUP(B49,'Sets Progress'!I:I,'Sets Progress'!I:I,"NOT YET")</f>
        <v>4</v>
      </c>
      <c r="O49" s="27" t="str">
        <f t="array" ref="O49">_xlfn.XLOOKUP(L:L,'Overall Progress'!L:L,'Overall Progress'!L:L,"NOT YET")</f>
        <v>NOT YET</v>
      </c>
      <c r="P49" s="27"/>
      <c r="Q49" s="27"/>
      <c r="R49" s="27"/>
      <c r="S49" s="27"/>
      <c r="T49" s="27"/>
      <c r="U49" s="27"/>
      <c r="V49" s="27"/>
      <c r="W49" s="27"/>
      <c r="X49" s="27"/>
      <c r="Y49" s="27"/>
      <c r="Z49" s="27"/>
    </row>
    <row r="50" hidden="1" customHeight="1" spans="1:26">
      <c r="A50" s="26">
        <v>376</v>
      </c>
      <c r="B50" s="26">
        <v>4</v>
      </c>
      <c r="C50" s="26" t="s">
        <v>726</v>
      </c>
      <c r="D50" s="26" t="s">
        <v>2716</v>
      </c>
      <c r="E50" s="26" t="s">
        <v>2889</v>
      </c>
      <c r="F50" s="26" t="str">
        <f t="shared" si="0"/>
        <v>Negative Traits Latin Origin</v>
      </c>
      <c r="G50" s="26">
        <f t="shared" si="1"/>
        <v>9</v>
      </c>
      <c r="H50" s="26" t="s">
        <v>2951</v>
      </c>
      <c r="I50" s="26"/>
      <c r="J50" s="26"/>
      <c r="K50" s="26"/>
      <c r="L50" s="26" t="str">
        <f t="shared" si="2"/>
        <v>D</v>
      </c>
      <c r="M50" s="26" t="str">
        <f>IFERROR(__xludf.DUMMYFUNCTION("GOOGLETRANSLATE(C50,""EN"",""KN"")"),"ಅಸಮ್ಮತಿಸು")</f>
        <v>ಅಸಮ್ಮತಿಸು</v>
      </c>
      <c r="N50" s="26">
        <f t="array" ref="N50">_xlfn.XLOOKUP(B50,'Sets Progress'!I:I,'Sets Progress'!I:I,"NOT YET")</f>
        <v>4</v>
      </c>
      <c r="O50" s="26" t="str">
        <f t="array" ref="O50">_xlfn.XLOOKUP(L:L,'Overall Progress'!L:L,'Overall Progress'!L:L,"NOT YET")</f>
        <v>NOT YET</v>
      </c>
      <c r="P50" s="26"/>
      <c r="Q50" s="26"/>
      <c r="R50" s="26"/>
      <c r="S50" s="26"/>
      <c r="T50" s="26"/>
      <c r="U50" s="26"/>
      <c r="V50" s="26"/>
      <c r="W50" s="26"/>
      <c r="X50" s="26"/>
      <c r="Y50" s="26"/>
      <c r="Z50" s="26"/>
    </row>
    <row r="51" hidden="1" customHeight="1" spans="1:26">
      <c r="A51" s="27">
        <v>473</v>
      </c>
      <c r="B51" s="27">
        <v>4</v>
      </c>
      <c r="C51" s="27" t="s">
        <v>822</v>
      </c>
      <c r="D51" s="27" t="s">
        <v>2946</v>
      </c>
      <c r="E51" s="27" t="s">
        <v>2893</v>
      </c>
      <c r="F51" s="27" t="str">
        <f t="shared" si="0"/>
        <v>Emotional Greek Origin</v>
      </c>
      <c r="G51" s="27">
        <f t="shared" si="1"/>
        <v>8</v>
      </c>
      <c r="H51" s="27" t="s">
        <v>2952</v>
      </c>
      <c r="I51" s="27"/>
      <c r="J51" s="27"/>
      <c r="K51" s="27"/>
      <c r="L51" s="27" t="str">
        <f t="shared" si="2"/>
        <v>E</v>
      </c>
      <c r="M51" s="27" t="str">
        <f>IFERROR(__xludf.DUMMYFUNCTION("GOOGLETRANSLATE(C51,""EN"",""KN"")"),"ಭಾವಪರವಶ")</f>
        <v>ಭಾವಪರವಶ</v>
      </c>
      <c r="N51" s="27">
        <f t="array" ref="N51">_xlfn.XLOOKUP(B51,'Sets Progress'!I:I,'Sets Progress'!I:I,"NOT YET")</f>
        <v>4</v>
      </c>
      <c r="O51" s="27" t="str">
        <f t="array" ref="O51">_xlfn.XLOOKUP(L:L,'Overall Progress'!L:L,'Overall Progress'!L:L,"NOT YET")</f>
        <v>NOT YET</v>
      </c>
      <c r="P51" s="27"/>
      <c r="Q51" s="27"/>
      <c r="R51" s="27"/>
      <c r="S51" s="27"/>
      <c r="T51" s="27"/>
      <c r="U51" s="27"/>
      <c r="V51" s="27"/>
      <c r="W51" s="27"/>
      <c r="X51" s="27"/>
      <c r="Y51" s="27"/>
      <c r="Z51" s="27"/>
    </row>
    <row r="52" hidden="1" customHeight="1" spans="1:26">
      <c r="A52" s="26">
        <v>511</v>
      </c>
      <c r="B52" s="26">
        <v>4</v>
      </c>
      <c r="C52" s="26" t="s">
        <v>860</v>
      </c>
      <c r="D52" s="26" t="s">
        <v>2716</v>
      </c>
      <c r="E52" s="26" t="s">
        <v>2896</v>
      </c>
      <c r="F52" s="26" t="str">
        <f t="shared" si="0"/>
        <v>Negative Traits Old French Origin</v>
      </c>
      <c r="G52" s="26">
        <f t="shared" si="1"/>
        <v>6</v>
      </c>
      <c r="H52" s="26" t="s">
        <v>2953</v>
      </c>
      <c r="I52" s="26"/>
      <c r="J52" s="26"/>
      <c r="K52" s="26"/>
      <c r="L52" s="26" t="str">
        <f t="shared" si="2"/>
        <v>E</v>
      </c>
      <c r="M52" s="26" t="str">
        <f>IFERROR(__xludf.DUMMYFUNCTION("GOOGLETRANSLATE(C52,""EN"",""KN"")"),"ಹಗೆತನ")</f>
        <v>ಹಗೆತನ</v>
      </c>
      <c r="N52" s="26">
        <f t="array" ref="N52">_xlfn.XLOOKUP(B52,'Sets Progress'!I:I,'Sets Progress'!I:I,"NOT YET")</f>
        <v>4</v>
      </c>
      <c r="O52" s="26" t="str">
        <f t="array" ref="O52">_xlfn.XLOOKUP(L:L,'Overall Progress'!L:L,'Overall Progress'!L:L,"NOT YET")</f>
        <v>NOT YET</v>
      </c>
      <c r="P52" s="26"/>
      <c r="Q52" s="26"/>
      <c r="R52" s="26"/>
      <c r="S52" s="26"/>
      <c r="T52" s="26"/>
      <c r="U52" s="26"/>
      <c r="V52" s="26"/>
      <c r="W52" s="26"/>
      <c r="X52" s="26"/>
      <c r="Y52" s="26"/>
      <c r="Z52" s="26"/>
    </row>
    <row r="53" hidden="1" customHeight="1" spans="1:26">
      <c r="A53" s="27">
        <v>560</v>
      </c>
      <c r="B53" s="27">
        <v>4</v>
      </c>
      <c r="C53" s="27" t="s">
        <v>906</v>
      </c>
      <c r="D53" s="27" t="s">
        <v>2892</v>
      </c>
      <c r="E53" s="27" t="s">
        <v>2893</v>
      </c>
      <c r="F53" s="27" t="str">
        <f t="shared" si="0"/>
        <v>Spatial Greek Origin</v>
      </c>
      <c r="G53" s="27">
        <f t="shared" si="1"/>
        <v>6</v>
      </c>
      <c r="H53" s="27" t="s">
        <v>2954</v>
      </c>
      <c r="I53" s="27"/>
      <c r="J53" s="27"/>
      <c r="K53" s="27"/>
      <c r="L53" s="27" t="str">
        <f t="shared" si="2"/>
        <v>E</v>
      </c>
      <c r="M53" s="27" t="str">
        <f>IFERROR(__xludf.DUMMYFUNCTION("GOOGLETRANSLATE(C53,""EN"",""KN"")"),"ವಿಲಕ್ಷಣ")</f>
        <v>ವಿಲಕ್ಷಣ</v>
      </c>
      <c r="N53" s="27">
        <f t="array" ref="N53">_xlfn.XLOOKUP(B53,'Sets Progress'!I:I,'Sets Progress'!I:I,"NOT YET")</f>
        <v>4</v>
      </c>
      <c r="O53" s="27" t="str">
        <f t="array" ref="O53">_xlfn.XLOOKUP(L:L,'Overall Progress'!L:L,'Overall Progress'!L:L,"NOT YET")</f>
        <v>NOT YET</v>
      </c>
      <c r="P53" s="27"/>
      <c r="Q53" s="27"/>
      <c r="R53" s="27"/>
      <c r="S53" s="27"/>
      <c r="T53" s="27"/>
      <c r="U53" s="27"/>
      <c r="V53" s="27"/>
      <c r="W53" s="27"/>
      <c r="X53" s="27"/>
      <c r="Y53" s="27"/>
      <c r="Z53" s="27"/>
    </row>
    <row r="54" hidden="1" customHeight="1" spans="1:26">
      <c r="A54" s="26">
        <v>721</v>
      </c>
      <c r="B54" s="26">
        <v>4</v>
      </c>
      <c r="C54" s="26" t="s">
        <v>1063</v>
      </c>
      <c r="D54" s="26" t="s">
        <v>1721</v>
      </c>
      <c r="E54" s="26" t="s">
        <v>2889</v>
      </c>
      <c r="F54" s="26" t="str">
        <f t="shared" si="0"/>
        <v>Temporal Latin Origin</v>
      </c>
      <c r="G54" s="26">
        <f t="shared" si="1"/>
        <v>10</v>
      </c>
      <c r="H54" s="26" t="s">
        <v>2955</v>
      </c>
      <c r="I54" s="26"/>
      <c r="J54" s="26"/>
      <c r="K54" s="26"/>
      <c r="L54" s="26" t="str">
        <f t="shared" si="2"/>
        <v>I</v>
      </c>
      <c r="M54" s="26" t="str">
        <f>IFERROR(__xludf.DUMMYFUNCTION("GOOGLETRANSLATE(C54,""EN"",""KN"")"),"ಅಡಚಣೆ")</f>
        <v>ಅಡಚಣೆ</v>
      </c>
      <c r="N54" s="26">
        <f t="array" ref="N54">_xlfn.XLOOKUP(B54,'Sets Progress'!I:I,'Sets Progress'!I:I,"NOT YET")</f>
        <v>4</v>
      </c>
      <c r="O54" s="26" t="str">
        <f t="array" ref="O54">_xlfn.XLOOKUP(L:L,'Overall Progress'!L:L,'Overall Progress'!L:L,"NOT YET")</f>
        <v>NOT YET</v>
      </c>
      <c r="P54" s="26"/>
      <c r="Q54" s="26"/>
      <c r="R54" s="26"/>
      <c r="S54" s="26"/>
      <c r="T54" s="26"/>
      <c r="U54" s="26"/>
      <c r="V54" s="26"/>
      <c r="W54" s="26"/>
      <c r="X54" s="26"/>
      <c r="Y54" s="26"/>
      <c r="Z54" s="26"/>
    </row>
    <row r="55" hidden="1" customHeight="1" spans="1:26">
      <c r="A55" s="27">
        <v>722</v>
      </c>
      <c r="B55" s="27">
        <v>4</v>
      </c>
      <c r="C55" s="27" t="s">
        <v>1064</v>
      </c>
      <c r="D55" s="27" t="s">
        <v>1721</v>
      </c>
      <c r="E55" s="27" t="s">
        <v>2889</v>
      </c>
      <c r="F55" s="27" t="str">
        <f t="shared" si="0"/>
        <v>Temporal Latin Origin</v>
      </c>
      <c r="G55" s="27">
        <f t="shared" si="1"/>
        <v>12</v>
      </c>
      <c r="H55" s="27" t="s">
        <v>2956</v>
      </c>
      <c r="I55" s="27"/>
      <c r="J55" s="27"/>
      <c r="K55" s="27"/>
      <c r="L55" s="27" t="str">
        <f t="shared" si="2"/>
        <v>I</v>
      </c>
      <c r="M55" s="27" t="str">
        <f>IFERROR(__xludf.DUMMYFUNCTION("GOOGLETRANSLATE(C55,""EN"",""KN"")"),"ಅಭೇದ್ಯ")</f>
        <v>ಅಭೇದ್ಯ</v>
      </c>
      <c r="N55" s="27">
        <f t="array" ref="N55">_xlfn.XLOOKUP(B55,'Sets Progress'!I:I,'Sets Progress'!I:I,"NOT YET")</f>
        <v>4</v>
      </c>
      <c r="O55" s="27" t="str">
        <f t="array" ref="O55">_xlfn.XLOOKUP(L:L,'Overall Progress'!L:L,'Overall Progress'!L:L,"NOT YET")</f>
        <v>NOT YET</v>
      </c>
      <c r="P55" s="27"/>
      <c r="Q55" s="27"/>
      <c r="R55" s="27"/>
      <c r="S55" s="27"/>
      <c r="T55" s="27"/>
      <c r="U55" s="27"/>
      <c r="V55" s="27"/>
      <c r="W55" s="27"/>
      <c r="X55" s="27"/>
      <c r="Y55" s="27"/>
      <c r="Z55" s="27"/>
    </row>
    <row r="56" hidden="1" customHeight="1" spans="1:26">
      <c r="A56" s="26">
        <v>731</v>
      </c>
      <c r="B56" s="26">
        <v>4</v>
      </c>
      <c r="C56" s="26" t="s">
        <v>1072</v>
      </c>
      <c r="D56" s="26" t="s">
        <v>1721</v>
      </c>
      <c r="E56" s="26" t="s">
        <v>2889</v>
      </c>
      <c r="F56" s="26" t="str">
        <f t="shared" si="0"/>
        <v>Temporal Latin Origin</v>
      </c>
      <c r="G56" s="26">
        <f t="shared" si="1"/>
        <v>11</v>
      </c>
      <c r="H56" s="26" t="s">
        <v>2957</v>
      </c>
      <c r="I56" s="26"/>
      <c r="J56" s="26"/>
      <c r="K56" s="26"/>
      <c r="L56" s="26" t="str">
        <f t="shared" si="2"/>
        <v>I</v>
      </c>
      <c r="M56" s="26" t="str">
        <f>IFERROR(__xludf.DUMMYFUNCTION("GOOGLETRANSLATE(C56,""EN"",""KN"")"),"ಅಗ್ರಾಹ್ಯ")</f>
        <v>ಅಗ್ರಾಹ್ಯ</v>
      </c>
      <c r="N56" s="26">
        <f t="array" ref="N56">_xlfn.XLOOKUP(B56,'Sets Progress'!I:I,'Sets Progress'!I:I,"NOT YET")</f>
        <v>4</v>
      </c>
      <c r="O56" s="26" t="str">
        <f t="array" ref="O56">_xlfn.XLOOKUP(L:L,'Overall Progress'!L:L,'Overall Progress'!L:L,"NOT YET")</f>
        <v>NOT YET</v>
      </c>
      <c r="P56" s="26"/>
      <c r="Q56" s="26"/>
      <c r="R56" s="26"/>
      <c r="S56" s="26"/>
      <c r="T56" s="26"/>
      <c r="U56" s="26"/>
      <c r="V56" s="26"/>
      <c r="W56" s="26"/>
      <c r="X56" s="26"/>
      <c r="Y56" s="26"/>
      <c r="Z56" s="26"/>
    </row>
    <row r="57" hidden="1" customHeight="1" spans="1:26">
      <c r="A57" s="27">
        <v>743</v>
      </c>
      <c r="B57" s="27">
        <v>4</v>
      </c>
      <c r="C57" s="27" t="s">
        <v>1084</v>
      </c>
      <c r="D57" s="27" t="s">
        <v>2946</v>
      </c>
      <c r="E57" s="27" t="s">
        <v>2889</v>
      </c>
      <c r="F57" s="27" t="str">
        <f t="shared" si="0"/>
        <v>Emotional Latin Origin</v>
      </c>
      <c r="G57" s="27">
        <f t="shared" si="1"/>
        <v>8</v>
      </c>
      <c r="H57" s="27" t="s">
        <v>2958</v>
      </c>
      <c r="I57" s="27"/>
      <c r="J57" s="27"/>
      <c r="K57" s="27"/>
      <c r="L57" s="27" t="str">
        <f t="shared" si="2"/>
        <v>I</v>
      </c>
      <c r="M57" s="27" t="str">
        <f>IFERROR(__xludf.DUMMYFUNCTION("GOOGLETRANSLATE(C57,""EN"",""KN"")"),"ಕೆರಳಿದ")</f>
        <v>ಕೆರಳಿದ</v>
      </c>
      <c r="N57" s="27">
        <f t="array" ref="N57">_xlfn.XLOOKUP(B57,'Sets Progress'!I:I,'Sets Progress'!I:I,"NOT YET")</f>
        <v>4</v>
      </c>
      <c r="O57" s="27" t="str">
        <f t="array" ref="O57">_xlfn.XLOOKUP(L:L,'Overall Progress'!L:L,'Overall Progress'!L:L,"NOT YET")</f>
        <v>NOT YET</v>
      </c>
      <c r="P57" s="27"/>
      <c r="Q57" s="27"/>
      <c r="R57" s="27"/>
      <c r="S57" s="27"/>
      <c r="T57" s="27"/>
      <c r="U57" s="27"/>
      <c r="V57" s="27"/>
      <c r="W57" s="27"/>
      <c r="X57" s="27"/>
      <c r="Y57" s="27"/>
      <c r="Z57" s="27"/>
    </row>
    <row r="58" hidden="1" customHeight="1" spans="1:26">
      <c r="A58" s="26">
        <v>771</v>
      </c>
      <c r="B58" s="26">
        <v>4</v>
      </c>
      <c r="C58" s="26" t="s">
        <v>1112</v>
      </c>
      <c r="D58" s="26" t="s">
        <v>1721</v>
      </c>
      <c r="E58" s="26" t="s">
        <v>2889</v>
      </c>
      <c r="F58" s="26" t="str">
        <f t="shared" si="0"/>
        <v>Temporal Latin Origin</v>
      </c>
      <c r="G58" s="26">
        <f t="shared" si="1"/>
        <v>11</v>
      </c>
      <c r="H58" s="26" t="s">
        <v>2959</v>
      </c>
      <c r="I58" s="26"/>
      <c r="J58" s="26"/>
      <c r="K58" s="26"/>
      <c r="L58" s="26" t="str">
        <f t="shared" si="2"/>
        <v>I</v>
      </c>
      <c r="M58" s="26" t="str">
        <f>IFERROR(__xludf.DUMMYFUNCTION("GOOGLETRANSLATE(C58,""EN"",""KN"")"),"ಶ್ರಮಜೀವಿ")</f>
        <v>ಶ್ರಮಜೀವಿ</v>
      </c>
      <c r="N58" s="26">
        <f t="array" ref="N58">_xlfn.XLOOKUP(B58,'Sets Progress'!I:I,'Sets Progress'!I:I,"NOT YET")</f>
        <v>4</v>
      </c>
      <c r="O58" s="26" t="str">
        <f t="array" ref="O58">_xlfn.XLOOKUP(L:L,'Overall Progress'!L:L,'Overall Progress'!L:L,"NOT YET")</f>
        <v>NOT YET</v>
      </c>
      <c r="P58" s="26"/>
      <c r="Q58" s="26"/>
      <c r="R58" s="26"/>
      <c r="S58" s="26"/>
      <c r="T58" s="26"/>
      <c r="U58" s="26"/>
      <c r="V58" s="26"/>
      <c r="W58" s="26"/>
      <c r="X58" s="26"/>
      <c r="Y58" s="26"/>
      <c r="Z58" s="26"/>
    </row>
    <row r="59" hidden="1" customHeight="1" spans="1:26">
      <c r="A59" s="27">
        <v>782</v>
      </c>
      <c r="B59" s="27">
        <v>4</v>
      </c>
      <c r="C59" s="27" t="s">
        <v>1123</v>
      </c>
      <c r="D59" s="27" t="s">
        <v>2717</v>
      </c>
      <c r="E59" s="27" t="s">
        <v>2889</v>
      </c>
      <c r="F59" s="27" t="str">
        <f t="shared" si="0"/>
        <v>Positive Traits Latin Origin</v>
      </c>
      <c r="G59" s="27">
        <f t="shared" si="1"/>
        <v>9</v>
      </c>
      <c r="H59" s="27" t="s">
        <v>2960</v>
      </c>
      <c r="I59" s="27"/>
      <c r="J59" s="27"/>
      <c r="K59" s="27"/>
      <c r="L59" s="27" t="str">
        <f t="shared" si="2"/>
        <v>I</v>
      </c>
      <c r="M59" s="27" t="str">
        <f>IFERROR(__xludf.DUMMYFUNCTION("GOOGLETRANSLATE(C59,""EN"",""KN"")"),"ಚತುರ")</f>
        <v>ಚತುರ</v>
      </c>
      <c r="N59" s="27">
        <f t="array" ref="N59">_xlfn.XLOOKUP(B59,'Sets Progress'!I:I,'Sets Progress'!I:I,"NOT YET")</f>
        <v>4</v>
      </c>
      <c r="O59" s="27" t="str">
        <f t="array" ref="O59">_xlfn.XLOOKUP(L:L,'Overall Progress'!L:L,'Overall Progress'!L:L,"NOT YET")</f>
        <v>NOT YET</v>
      </c>
      <c r="P59" s="27"/>
      <c r="Q59" s="27"/>
      <c r="R59" s="27"/>
      <c r="S59" s="27"/>
      <c r="T59" s="27"/>
      <c r="U59" s="27"/>
      <c r="V59" s="27"/>
      <c r="W59" s="27"/>
      <c r="X59" s="27"/>
      <c r="Y59" s="27"/>
      <c r="Z59" s="27"/>
    </row>
    <row r="60" hidden="1" customHeight="1" spans="1:26">
      <c r="A60" s="26">
        <v>829</v>
      </c>
      <c r="B60" s="26">
        <v>4</v>
      </c>
      <c r="C60" s="26" t="s">
        <v>1169</v>
      </c>
      <c r="D60" s="26" t="s">
        <v>1721</v>
      </c>
      <c r="E60" s="26" t="s">
        <v>2908</v>
      </c>
      <c r="F60" s="26" t="str">
        <f t="shared" si="0"/>
        <v>Temporal Old English Origin</v>
      </c>
      <c r="G60" s="26">
        <f t="shared" si="1"/>
        <v>8</v>
      </c>
      <c r="H60" s="26" t="s">
        <v>2961</v>
      </c>
      <c r="I60" s="26"/>
      <c r="J60" s="26"/>
      <c r="K60" s="26"/>
      <c r="L60" s="26" t="str">
        <f t="shared" si="2"/>
        <v>I</v>
      </c>
      <c r="M60" s="26" t="str">
        <f>IFERROR(__xludf.DUMMYFUNCTION("GOOGLETRANSLATE(C60,""EN"",""KN"")"),"ಕಬ್ಬಿಣದ ಹೊದಿಕೆ")</f>
        <v>ಕಬ್ಬಿಣದ ಹೊದಿಕೆ</v>
      </c>
      <c r="N60" s="26">
        <f t="array" ref="N60">_xlfn.XLOOKUP(B60,'Sets Progress'!I:I,'Sets Progress'!I:I,"NOT YET")</f>
        <v>4</v>
      </c>
      <c r="O60" s="26" t="str">
        <f t="array" ref="O60">_xlfn.XLOOKUP(L:L,'Overall Progress'!L:L,'Overall Progress'!L:L,"NOT YET")</f>
        <v>NOT YET</v>
      </c>
      <c r="P60" s="26"/>
      <c r="Q60" s="26"/>
      <c r="R60" s="26"/>
      <c r="S60" s="26"/>
      <c r="T60" s="26"/>
      <c r="U60" s="26"/>
      <c r="V60" s="26"/>
      <c r="W60" s="26"/>
      <c r="X60" s="26"/>
      <c r="Y60" s="26"/>
      <c r="Z60" s="26"/>
    </row>
    <row r="61" hidden="1" customHeight="1" spans="1:26">
      <c r="A61" s="27">
        <v>1033</v>
      </c>
      <c r="B61" s="27">
        <v>4</v>
      </c>
      <c r="C61" s="27" t="s">
        <v>1368</v>
      </c>
      <c r="D61" s="27" t="s">
        <v>2716</v>
      </c>
      <c r="E61" s="27" t="s">
        <v>2889</v>
      </c>
      <c r="F61" s="27" t="str">
        <f t="shared" si="0"/>
        <v>Negative Traits Latin Origin</v>
      </c>
      <c r="G61" s="27">
        <f t="shared" si="1"/>
        <v>10</v>
      </c>
      <c r="H61" s="27" t="s">
        <v>2962</v>
      </c>
      <c r="I61" s="27"/>
      <c r="J61" s="27"/>
      <c r="K61" s="27"/>
      <c r="L61" s="27" t="str">
        <f t="shared" si="2"/>
        <v>P</v>
      </c>
      <c r="M61" s="27" t="str">
        <f>IFERROR(__xludf.DUMMYFUNCTION("GOOGLETRANSLATE(C61,""EN"",""KN"")"),"ಅವಹೇಳನಕಾರಿ")</f>
        <v>ಅವಹೇಳನಕಾರಿ</v>
      </c>
      <c r="N61" s="27">
        <f t="array" ref="N61">_xlfn.XLOOKUP(B61,'Sets Progress'!I:I,'Sets Progress'!I:I,"NOT YET")</f>
        <v>4</v>
      </c>
      <c r="O61" s="27" t="str">
        <f t="array" ref="O61">_xlfn.XLOOKUP(L:L,'Overall Progress'!L:L,'Overall Progress'!L:L,"NOT YET")</f>
        <v>NOT YET</v>
      </c>
      <c r="P61" s="27"/>
      <c r="Q61" s="27"/>
      <c r="R61" s="27"/>
      <c r="S61" s="27"/>
      <c r="T61" s="27"/>
      <c r="U61" s="27"/>
      <c r="V61" s="27"/>
      <c r="W61" s="27"/>
      <c r="X61" s="27"/>
      <c r="Y61" s="27"/>
      <c r="Z61" s="27"/>
    </row>
    <row r="62" hidden="1" customHeight="1" spans="1:26">
      <c r="A62" s="26">
        <v>1043</v>
      </c>
      <c r="B62" s="26">
        <v>4</v>
      </c>
      <c r="C62" s="26" t="s">
        <v>1378</v>
      </c>
      <c r="D62" s="26" t="s">
        <v>2716</v>
      </c>
      <c r="E62" s="26" t="s">
        <v>2889</v>
      </c>
      <c r="F62" s="26" t="str">
        <f t="shared" si="0"/>
        <v>Negative Traits Latin Origin</v>
      </c>
      <c r="G62" s="26">
        <f t="shared" si="1"/>
        <v>11</v>
      </c>
      <c r="H62" s="26" t="s">
        <v>2963</v>
      </c>
      <c r="I62" s="26"/>
      <c r="J62" s="26"/>
      <c r="K62" s="26"/>
      <c r="L62" s="26" t="str">
        <f t="shared" si="2"/>
        <v>P</v>
      </c>
      <c r="M62" s="26" t="str">
        <f>IFERROR(__xludf.DUMMYFUNCTION("GOOGLETRANSLATE(C62,""EN"",""KN"")"),"ಪರ್ಫಂಕ್ಟರಿ")</f>
        <v>ಪರ್ಫಂಕ್ಟರಿ</v>
      </c>
      <c r="N62" s="26">
        <f t="array" ref="N62">_xlfn.XLOOKUP(B62,'Sets Progress'!I:I,'Sets Progress'!I:I,"NOT YET")</f>
        <v>4</v>
      </c>
      <c r="O62" s="26" t="str">
        <f t="array" ref="O62">_xlfn.XLOOKUP(L:L,'Overall Progress'!L:L,'Overall Progress'!L:L,"NOT YET")</f>
        <v>NOT YET</v>
      </c>
      <c r="P62" s="26"/>
      <c r="Q62" s="26"/>
      <c r="R62" s="26"/>
      <c r="S62" s="26"/>
      <c r="T62" s="26"/>
      <c r="U62" s="26"/>
      <c r="V62" s="26"/>
      <c r="W62" s="26"/>
      <c r="X62" s="26"/>
      <c r="Y62" s="26"/>
      <c r="Z62" s="26"/>
    </row>
    <row r="63" hidden="1" customHeight="1" spans="1:26">
      <c r="A63" s="27">
        <v>1096</v>
      </c>
      <c r="B63" s="27">
        <v>4</v>
      </c>
      <c r="C63" s="27" t="s">
        <v>1430</v>
      </c>
      <c r="D63" s="27" t="s">
        <v>2716</v>
      </c>
      <c r="E63" s="27" t="s">
        <v>2889</v>
      </c>
      <c r="F63" s="27" t="str">
        <f t="shared" si="0"/>
        <v>Negative Traits Latin Origin</v>
      </c>
      <c r="G63" s="27">
        <f t="shared" si="1"/>
        <v>11</v>
      </c>
      <c r="H63" s="27" t="s">
        <v>2964</v>
      </c>
      <c r="I63" s="27"/>
      <c r="J63" s="27"/>
      <c r="K63" s="27"/>
      <c r="L63" s="27" t="str">
        <f t="shared" si="2"/>
        <v>P</v>
      </c>
      <c r="M63" s="27" t="str">
        <f>IFERROR(__xludf.DUMMYFUNCTION("GOOGLETRANSLATE(C63,""EN"",""KN"")"),"ಪ್ರಪಾತದ")</f>
        <v>ಪ್ರಪಾತದ</v>
      </c>
      <c r="N63" s="27">
        <f t="array" ref="N63">_xlfn.XLOOKUP(B63,'Sets Progress'!I:I,'Sets Progress'!I:I,"NOT YET")</f>
        <v>4</v>
      </c>
      <c r="O63" s="27" t="str">
        <f t="array" ref="O63">_xlfn.XLOOKUP(L:L,'Overall Progress'!L:L,'Overall Progress'!L:L,"NOT YET")</f>
        <v>NOT YET</v>
      </c>
      <c r="P63" s="27"/>
      <c r="Q63" s="27"/>
      <c r="R63" s="27"/>
      <c r="S63" s="27"/>
      <c r="T63" s="27"/>
      <c r="U63" s="27"/>
      <c r="V63" s="27"/>
      <c r="W63" s="27"/>
      <c r="X63" s="27"/>
      <c r="Y63" s="27"/>
      <c r="Z63" s="27"/>
    </row>
    <row r="64" hidden="1" customHeight="1" spans="1:26">
      <c r="A64" s="26">
        <v>1123</v>
      </c>
      <c r="B64" s="26">
        <v>4</v>
      </c>
      <c r="C64" s="26" t="s">
        <v>1456</v>
      </c>
      <c r="D64" s="26" t="s">
        <v>2716</v>
      </c>
      <c r="E64" s="26" t="s">
        <v>2889</v>
      </c>
      <c r="F64" s="26" t="str">
        <f t="shared" si="0"/>
        <v>Negative Traits Latin Origin</v>
      </c>
      <c r="G64" s="26">
        <f t="shared" si="1"/>
        <v>10</v>
      </c>
      <c r="H64" s="26" t="s">
        <v>2965</v>
      </c>
      <c r="I64" s="26"/>
      <c r="J64" s="26"/>
      <c r="K64" s="26"/>
      <c r="L64" s="26" t="str">
        <f t="shared" si="2"/>
        <v>P</v>
      </c>
      <c r="M64" s="26" t="str">
        <f>IFERROR(__xludf.DUMMYFUNCTION("GOOGLETRANSLATE(C64,""EN"",""KN"")"),"ಅಪಪ್ರಚಾರ")</f>
        <v>ಅಪಪ್ರಚಾರ</v>
      </c>
      <c r="N64" s="26">
        <f t="array" ref="N64">_xlfn.XLOOKUP(B64,'Sets Progress'!I:I,'Sets Progress'!I:I,"NOT YET")</f>
        <v>4</v>
      </c>
      <c r="O64" s="26" t="str">
        <f t="array" ref="O64">_xlfn.XLOOKUP(L:L,'Overall Progress'!L:L,'Overall Progress'!L:L,"NOT YET")</f>
        <v>NOT YET</v>
      </c>
      <c r="P64" s="26"/>
      <c r="Q64" s="26"/>
      <c r="R64" s="26"/>
      <c r="S64" s="26"/>
      <c r="T64" s="26"/>
      <c r="U64" s="26"/>
      <c r="V64" s="26"/>
      <c r="W64" s="26"/>
      <c r="X64" s="26"/>
      <c r="Y64" s="26"/>
      <c r="Z64" s="26"/>
    </row>
    <row r="65" hidden="1" customHeight="1" spans="1:26">
      <c r="A65" s="27">
        <v>1213</v>
      </c>
      <c r="B65" s="27">
        <v>4</v>
      </c>
      <c r="C65" s="27" t="s">
        <v>1544</v>
      </c>
      <c r="D65" s="27" t="s">
        <v>2716</v>
      </c>
      <c r="E65" s="27" t="s">
        <v>2889</v>
      </c>
      <c r="F65" s="27" t="str">
        <f t="shared" si="0"/>
        <v>Negative Traits Latin Origin</v>
      </c>
      <c r="G65" s="27">
        <f t="shared" si="1"/>
        <v>9</v>
      </c>
      <c r="H65" s="27" t="s">
        <v>2966</v>
      </c>
      <c r="I65" s="27"/>
      <c r="J65" s="27"/>
      <c r="K65" s="27"/>
      <c r="L65" s="27" t="str">
        <f t="shared" si="2"/>
        <v>R</v>
      </c>
      <c r="M65" s="27" t="str">
        <f>IFERROR(__xludf.DUMMYFUNCTION("GOOGLETRANSLATE(C65,""EN"",""KN"")"),"ನಿರಾಕರಿಸು")</f>
        <v>ನಿರಾಕರಿಸು</v>
      </c>
      <c r="N65" s="27">
        <f t="array" ref="N65">_xlfn.XLOOKUP(B65,'Sets Progress'!I:I,'Sets Progress'!I:I,"NOT YET")</f>
        <v>4</v>
      </c>
      <c r="O65" s="27" t="str">
        <f t="array" ref="O65">_xlfn.XLOOKUP(L:L,'Overall Progress'!L:L,'Overall Progress'!L:L,"NOT YET")</f>
        <v>NOT YET</v>
      </c>
      <c r="P65" s="27"/>
      <c r="Q65" s="27"/>
      <c r="R65" s="27"/>
      <c r="S65" s="27"/>
      <c r="T65" s="27"/>
      <c r="U65" s="27"/>
      <c r="V65" s="27"/>
      <c r="W65" s="27"/>
      <c r="X65" s="27"/>
      <c r="Y65" s="27"/>
      <c r="Z65" s="27"/>
    </row>
    <row r="66" hidden="1" customHeight="1" spans="1:26">
      <c r="A66" s="26">
        <v>1240</v>
      </c>
      <c r="B66" s="26">
        <v>4</v>
      </c>
      <c r="C66" s="26" t="s">
        <v>1571</v>
      </c>
      <c r="D66" s="26" t="s">
        <v>2716</v>
      </c>
      <c r="E66" s="26" t="s">
        <v>2889</v>
      </c>
      <c r="F66" s="26" t="str">
        <f t="shared" si="0"/>
        <v>Negative Traits Latin Origin</v>
      </c>
      <c r="G66" s="26">
        <f t="shared" si="1"/>
        <v>7</v>
      </c>
      <c r="H66" s="26" t="s">
        <v>2967</v>
      </c>
      <c r="I66" s="26"/>
      <c r="J66" s="26"/>
      <c r="K66" s="26"/>
      <c r="L66" s="26" t="str">
        <f t="shared" si="2"/>
        <v>R</v>
      </c>
      <c r="M66" s="26" t="str">
        <f>IFERROR(__xludf.DUMMYFUNCTION("GOOGLETRANSLATE(C66,""EN"",""KN"")"),"ವಿನಾಶಕಾರಿ")</f>
        <v>ವಿನಾಶಕಾರಿ</v>
      </c>
      <c r="N66" s="26">
        <f t="array" ref="N66">_xlfn.XLOOKUP(B66,'Sets Progress'!I:I,'Sets Progress'!I:I,"NOT YET")</f>
        <v>4</v>
      </c>
      <c r="O66" s="26" t="str">
        <f t="array" ref="O66">_xlfn.XLOOKUP(L:L,'Overall Progress'!L:L,'Overall Progress'!L:L,"NOT YET")</f>
        <v>NOT YET</v>
      </c>
      <c r="P66" s="26"/>
      <c r="Q66" s="26"/>
      <c r="R66" s="26"/>
      <c r="S66" s="26"/>
      <c r="T66" s="26"/>
      <c r="U66" s="26"/>
      <c r="V66" s="26"/>
      <c r="W66" s="26"/>
      <c r="X66" s="26"/>
      <c r="Y66" s="26"/>
      <c r="Z66" s="26"/>
    </row>
    <row r="67" hidden="1" customHeight="1" spans="1:26">
      <c r="A67" s="27">
        <v>1274</v>
      </c>
      <c r="B67" s="27">
        <v>4</v>
      </c>
      <c r="C67" s="27" t="s">
        <v>1605</v>
      </c>
      <c r="D67" s="27" t="s">
        <v>2716</v>
      </c>
      <c r="E67" s="27" t="s">
        <v>2908</v>
      </c>
      <c r="F67" s="27" t="str">
        <f t="shared" si="0"/>
        <v>Negative Traits Old English Origin</v>
      </c>
      <c r="G67" s="27">
        <f t="shared" si="1"/>
        <v>11</v>
      </c>
      <c r="H67" s="27" t="s">
        <v>2968</v>
      </c>
      <c r="I67" s="27"/>
      <c r="J67" s="27"/>
      <c r="K67" s="27"/>
      <c r="L67" s="27" t="str">
        <f t="shared" si="2"/>
        <v>S</v>
      </c>
      <c r="M67" s="27" t="str">
        <f>IFERROR(__xludf.DUMMYFUNCTION("GOOGLETRANSLATE(C67,""EN"",""KN"")"),"ನಿಸ್ಸಾರತೆ")</f>
        <v>ನಿಸ್ಸಾರತೆ</v>
      </c>
      <c r="N67" s="27">
        <f t="array" ref="N67">_xlfn.XLOOKUP(B67,'Sets Progress'!I:I,'Sets Progress'!I:I,"NOT YET")</f>
        <v>4</v>
      </c>
      <c r="O67" s="27" t="str">
        <f t="array" ref="O67">_xlfn.XLOOKUP(L:L,'Overall Progress'!L:L,'Overall Progress'!L:L,"NOT YET")</f>
        <v>NOT YET</v>
      </c>
      <c r="P67" s="27"/>
      <c r="Q67" s="27"/>
      <c r="R67" s="27"/>
      <c r="S67" s="27"/>
      <c r="T67" s="27"/>
      <c r="U67" s="27"/>
      <c r="V67" s="27"/>
      <c r="W67" s="27"/>
      <c r="X67" s="27"/>
      <c r="Y67" s="27"/>
      <c r="Z67" s="27"/>
    </row>
    <row r="68" hidden="1" customHeight="1" spans="1:26">
      <c r="A68" s="26">
        <v>1406</v>
      </c>
      <c r="B68" s="26">
        <v>4</v>
      </c>
      <c r="C68" s="26" t="s">
        <v>1737</v>
      </c>
      <c r="D68" s="26" t="s">
        <v>1721</v>
      </c>
      <c r="E68" s="26" t="s">
        <v>2969</v>
      </c>
      <c r="F68" s="26" t="str">
        <f t="shared" si="0"/>
        <v>Temporal Old Norse Origin</v>
      </c>
      <c r="G68" s="26">
        <f t="shared" si="1"/>
        <v>8</v>
      </c>
      <c r="H68" s="26" t="s">
        <v>2970</v>
      </c>
      <c r="I68" s="26"/>
      <c r="J68" s="26" t="s">
        <v>2971</v>
      </c>
      <c r="K68" s="26"/>
      <c r="L68" s="26" t="str">
        <f t="shared" si="2"/>
        <v>T</v>
      </c>
      <c r="M68" s="26" t="str">
        <f>IFERROR(__xludf.DUMMYFUNCTION("GOOGLETRANSLATE(C68,""EN"",""KN"")"),"ತಡೆಯೊಡ್ಡಿದೆ")</f>
        <v>ತಡೆಯೊಡ್ಡಿದೆ</v>
      </c>
      <c r="N68" s="26">
        <f t="array" ref="N68">_xlfn.XLOOKUP(B68,'Sets Progress'!I:I,'Sets Progress'!I:I,"NOT YET")</f>
        <v>4</v>
      </c>
      <c r="O68" s="26" t="str">
        <f t="array" ref="O68">_xlfn.XLOOKUP(L:L,'Overall Progress'!L:L,'Overall Progress'!L:L,"NOT YET")</f>
        <v>NOT YET</v>
      </c>
      <c r="P68" s="26"/>
      <c r="Q68" s="26"/>
      <c r="R68" s="26"/>
      <c r="S68" s="26"/>
      <c r="T68" s="26"/>
      <c r="U68" s="26"/>
      <c r="V68" s="26"/>
      <c r="W68" s="26"/>
      <c r="X68" s="26"/>
      <c r="Y68" s="26"/>
      <c r="Z68" s="26"/>
    </row>
    <row r="69" hidden="1" customHeight="1" spans="1:26">
      <c r="A69" s="27">
        <v>1505</v>
      </c>
      <c r="B69" s="27">
        <v>4</v>
      </c>
      <c r="C69" s="27" t="s">
        <v>1833</v>
      </c>
      <c r="D69" s="27" t="s">
        <v>1721</v>
      </c>
      <c r="E69" s="27" t="s">
        <v>2889</v>
      </c>
      <c r="F69" s="27" t="str">
        <f t="shared" si="0"/>
        <v>Temporal Latin Origin</v>
      </c>
      <c r="G69" s="27">
        <f t="shared" si="1"/>
        <v>8</v>
      </c>
      <c r="H69" s="27" t="s">
        <v>2972</v>
      </c>
      <c r="I69" s="27"/>
      <c r="J69" s="27"/>
      <c r="K69" s="27"/>
      <c r="L69" s="27" t="str">
        <f t="shared" si="2"/>
        <v>V</v>
      </c>
      <c r="M69" s="27" t="str">
        <f>IFERROR(__xludf.DUMMYFUNCTION("GOOGLETRANSLATE(C69,""EN"",""KN"")"),"ಕಿರಿಕಿರಿ")</f>
        <v>ಕಿರಿಕಿರಿ</v>
      </c>
      <c r="N69" s="27">
        <f t="array" ref="N69">_xlfn.XLOOKUP(B69,'Sets Progress'!I:I,'Sets Progress'!I:I,"NOT YET")</f>
        <v>4</v>
      </c>
      <c r="O69" s="27" t="str">
        <f t="array" ref="O69">_xlfn.XLOOKUP(L:L,'Overall Progress'!L:L,'Overall Progress'!L:L,"NOT YET")</f>
        <v>NOT YET</v>
      </c>
      <c r="P69" s="27"/>
      <c r="Q69" s="27"/>
      <c r="R69" s="27"/>
      <c r="S69" s="27"/>
      <c r="T69" s="27"/>
      <c r="U69" s="27"/>
      <c r="V69" s="27"/>
      <c r="W69" s="27"/>
      <c r="X69" s="27"/>
      <c r="Y69" s="27"/>
      <c r="Z69" s="27"/>
    </row>
    <row r="70" hidden="1" customHeight="1" spans="1:26">
      <c r="A70" s="26">
        <v>65</v>
      </c>
      <c r="B70" s="26">
        <v>5</v>
      </c>
      <c r="C70" s="26" t="s">
        <v>418</v>
      </c>
      <c r="D70" s="26" t="s">
        <v>2717</v>
      </c>
      <c r="E70" s="26" t="s">
        <v>2889</v>
      </c>
      <c r="F70" s="26" t="str">
        <f t="shared" si="0"/>
        <v>Positive Traits Latin Origin</v>
      </c>
      <c r="G70" s="26">
        <f t="shared" si="1"/>
        <v>10</v>
      </c>
      <c r="H70" s="26" t="s">
        <v>2973</v>
      </c>
      <c r="I70" s="26"/>
      <c r="J70" s="26"/>
      <c r="K70" s="26"/>
      <c r="L70" s="26" t="str">
        <f t="shared" si="2"/>
        <v>A</v>
      </c>
      <c r="M70" s="26" t="str">
        <f>IFERROR(__xludf.DUMMYFUNCTION("GOOGLETRANSLATE(C70,""EN"",""KN"")"),"ಸುಧಾರಿಸಿ")</f>
        <v>ಸುಧಾರಿಸಿ</v>
      </c>
      <c r="N70" s="26">
        <f t="array" ref="N70">_xlfn.XLOOKUP(B70,'Sets Progress'!I:I,'Sets Progress'!I:I,"NOT YET")</f>
        <v>5</v>
      </c>
      <c r="O70" s="26" t="str">
        <f t="array" ref="O70">_xlfn.XLOOKUP(L:L,'Overall Progress'!L:L,'Overall Progress'!L:L,"NOT YET")</f>
        <v>NOT YET</v>
      </c>
      <c r="P70" s="26"/>
      <c r="Q70" s="26"/>
      <c r="R70" s="26"/>
      <c r="S70" s="26"/>
      <c r="T70" s="26"/>
      <c r="U70" s="26"/>
      <c r="V70" s="26"/>
      <c r="W70" s="26"/>
      <c r="X70" s="26"/>
      <c r="Y70" s="26"/>
      <c r="Z70" s="26"/>
    </row>
    <row r="71" hidden="1" customHeight="1" spans="1:26">
      <c r="A71" s="27">
        <v>68</v>
      </c>
      <c r="B71" s="27">
        <v>5</v>
      </c>
      <c r="C71" s="27" t="s">
        <v>421</v>
      </c>
      <c r="D71" s="27" t="s">
        <v>2717</v>
      </c>
      <c r="E71" s="27" t="s">
        <v>2889</v>
      </c>
      <c r="F71" s="27" t="str">
        <f t="shared" si="0"/>
        <v>Positive Traits Latin Origin</v>
      </c>
      <c r="G71" s="27">
        <f t="shared" si="1"/>
        <v>7</v>
      </c>
      <c r="H71" s="27" t="s">
        <v>2974</v>
      </c>
      <c r="I71" s="27"/>
      <c r="J71" s="27"/>
      <c r="K71" s="27"/>
      <c r="L71" s="27" t="str">
        <f t="shared" si="2"/>
        <v>A</v>
      </c>
      <c r="M71" s="27" t="str">
        <f>IFERROR(__xludf.DUMMYFUNCTION("GOOGLETRANSLATE(C71,""EN"",""KN"")"),"ಸೌಹಾರ್ದಯುತ")</f>
        <v>ಸೌಹಾರ್ದಯುತ</v>
      </c>
      <c r="N71" s="27">
        <f t="array" ref="N71">_xlfn.XLOOKUP(B71,'Sets Progress'!I:I,'Sets Progress'!I:I,"NOT YET")</f>
        <v>5</v>
      </c>
      <c r="O71" s="27" t="str">
        <f t="array" ref="O71">_xlfn.XLOOKUP(L:L,'Overall Progress'!L:L,'Overall Progress'!L:L,"NOT YET")</f>
        <v>NOT YET</v>
      </c>
      <c r="P71" s="27"/>
      <c r="Q71" s="27"/>
      <c r="R71" s="27"/>
      <c r="S71" s="27"/>
      <c r="T71" s="27"/>
      <c r="U71" s="27"/>
      <c r="V71" s="27"/>
      <c r="W71" s="27"/>
      <c r="X71" s="27"/>
      <c r="Y71" s="27"/>
      <c r="Z71" s="27"/>
    </row>
    <row r="72" hidden="1" customHeight="1" spans="1:26">
      <c r="A72" s="26">
        <v>86</v>
      </c>
      <c r="B72" s="26">
        <v>5</v>
      </c>
      <c r="C72" s="26" t="s">
        <v>437</v>
      </c>
      <c r="D72" s="26" t="s">
        <v>2928</v>
      </c>
      <c r="E72" s="26" t="s">
        <v>2893</v>
      </c>
      <c r="F72" s="26" t="str">
        <f t="shared" si="0"/>
        <v>Philosophical Greek Origin</v>
      </c>
      <c r="G72" s="26">
        <f t="shared" si="1"/>
        <v>10</v>
      </c>
      <c r="H72" s="26" t="s">
        <v>2975</v>
      </c>
      <c r="I72" s="26"/>
      <c r="J72" s="26"/>
      <c r="K72" s="26"/>
      <c r="L72" s="26" t="str">
        <f t="shared" si="2"/>
        <v>A</v>
      </c>
      <c r="M72" s="26" t="str">
        <f>IFERROR(__xludf.DUMMYFUNCTION("GOOGLETRANSLATE(C72,""EN"",""KN"")"),"ವಿರೋಧಾಭಾಸ")</f>
        <v>ವಿರೋಧಾಭಾಸ</v>
      </c>
      <c r="N72" s="26">
        <f t="array" ref="N72">_xlfn.XLOOKUP(B72,'Sets Progress'!I:I,'Sets Progress'!I:I,"NOT YET")</f>
        <v>5</v>
      </c>
      <c r="O72" s="26" t="str">
        <f t="array" ref="O72">_xlfn.XLOOKUP(L:L,'Overall Progress'!L:L,'Overall Progress'!L:L,"NOT YET")</f>
        <v>NOT YET</v>
      </c>
      <c r="P72" s="26"/>
      <c r="Q72" s="26"/>
      <c r="R72" s="26"/>
      <c r="S72" s="26"/>
      <c r="T72" s="26"/>
      <c r="U72" s="26"/>
      <c r="V72" s="26"/>
      <c r="W72" s="26"/>
      <c r="X72" s="26"/>
      <c r="Y72" s="26"/>
      <c r="Z72" s="26"/>
    </row>
    <row r="73" hidden="1" customHeight="1" spans="1:26">
      <c r="A73" s="27">
        <v>111</v>
      </c>
      <c r="B73" s="27">
        <v>5</v>
      </c>
      <c r="C73" s="27" t="s">
        <v>461</v>
      </c>
      <c r="D73" s="27" t="s">
        <v>2928</v>
      </c>
      <c r="E73" s="27" t="s">
        <v>2893</v>
      </c>
      <c r="F73" s="27" t="str">
        <f t="shared" si="0"/>
        <v>Philosophical Greek Origin</v>
      </c>
      <c r="G73" s="27">
        <f t="shared" si="1"/>
        <v>7</v>
      </c>
      <c r="H73" s="27" t="s">
        <v>2976</v>
      </c>
      <c r="I73" s="27"/>
      <c r="J73" s="27"/>
      <c r="K73" s="27"/>
      <c r="L73" s="27" t="str">
        <f t="shared" si="2"/>
        <v>A</v>
      </c>
      <c r="M73" s="27" t="str">
        <f>IFERROR(__xludf.DUMMYFUNCTION("GOOGLETRANSLATE(C73,""EN"",""KN"")"),"ತಪಸ್ವಿ")</f>
        <v>ತಪಸ್ವಿ</v>
      </c>
      <c r="N73" s="27">
        <f t="array" ref="N73">_xlfn.XLOOKUP(B73,'Sets Progress'!I:I,'Sets Progress'!I:I,"NOT YET")</f>
        <v>5</v>
      </c>
      <c r="O73" s="27" t="str">
        <f t="array" ref="O73">_xlfn.XLOOKUP(L:L,'Overall Progress'!L:L,'Overall Progress'!L:L,"NOT YET")</f>
        <v>NOT YET</v>
      </c>
      <c r="P73" s="27"/>
      <c r="Q73" s="27"/>
      <c r="R73" s="27"/>
      <c r="S73" s="27"/>
      <c r="T73" s="27"/>
      <c r="U73" s="27"/>
      <c r="V73" s="27"/>
      <c r="W73" s="27"/>
      <c r="X73" s="27"/>
      <c r="Y73" s="27"/>
      <c r="Z73" s="27"/>
    </row>
    <row r="74" hidden="1" customHeight="1" spans="1:26">
      <c r="A74" s="26">
        <v>163</v>
      </c>
      <c r="B74" s="26">
        <v>5</v>
      </c>
      <c r="C74" s="26" t="s">
        <v>512</v>
      </c>
      <c r="D74" s="26" t="s">
        <v>2717</v>
      </c>
      <c r="E74" s="26" t="s">
        <v>2889</v>
      </c>
      <c r="F74" s="26" t="str">
        <f t="shared" si="0"/>
        <v>Positive Traits Latin Origin</v>
      </c>
      <c r="G74" s="26">
        <f t="shared" si="1"/>
        <v>10</v>
      </c>
      <c r="H74" s="26" t="s">
        <v>2977</v>
      </c>
      <c r="I74" s="26"/>
      <c r="J74" s="26"/>
      <c r="K74" s="26"/>
      <c r="L74" s="26" t="str">
        <f t="shared" si="2"/>
        <v>B</v>
      </c>
      <c r="M74" s="26" t="str">
        <f>IFERROR(__xludf.DUMMYFUNCTION("GOOGLETRANSLATE(C74,""EN"",""KN"")"),"ಪರೋಪಕಾರಿ")</f>
        <v>ಪರೋಪಕಾರಿ</v>
      </c>
      <c r="N74" s="26">
        <f t="array" ref="N74">_xlfn.XLOOKUP(B74,'Sets Progress'!I:I,'Sets Progress'!I:I,"NOT YET")</f>
        <v>5</v>
      </c>
      <c r="O74" s="26" t="str">
        <f t="array" ref="O74">_xlfn.XLOOKUP(L:L,'Overall Progress'!L:L,'Overall Progress'!L:L,"NOT YET")</f>
        <v>NOT YET</v>
      </c>
      <c r="P74" s="26"/>
      <c r="Q74" s="26"/>
      <c r="R74" s="26"/>
      <c r="S74" s="26"/>
      <c r="T74" s="26"/>
      <c r="U74" s="26"/>
      <c r="V74" s="26"/>
      <c r="W74" s="26"/>
      <c r="X74" s="26"/>
      <c r="Y74" s="26"/>
      <c r="Z74" s="26"/>
    </row>
    <row r="75" hidden="1" customHeight="1" spans="1:26">
      <c r="A75" s="27">
        <v>233</v>
      </c>
      <c r="B75" s="27">
        <v>5</v>
      </c>
      <c r="C75" s="27" t="s">
        <v>584</v>
      </c>
      <c r="D75" s="27" t="s">
        <v>2892</v>
      </c>
      <c r="E75" s="27" t="s">
        <v>2889</v>
      </c>
      <c r="F75" s="27" t="str">
        <f t="shared" si="0"/>
        <v>Spatial Latin Origin</v>
      </c>
      <c r="G75" s="27">
        <f t="shared" si="1"/>
        <v>12</v>
      </c>
      <c r="H75" s="27" t="s">
        <v>2978</v>
      </c>
      <c r="I75" s="27"/>
      <c r="J75" s="27"/>
      <c r="K75" s="27"/>
      <c r="L75" s="27" t="str">
        <f t="shared" si="2"/>
        <v>C</v>
      </c>
      <c r="M75" s="27" t="str">
        <f>IFERROR(__xludf.DUMMYFUNCTION("GOOGLETRANSLATE(C75,""EN"",""KN"")"),"ಸುತ್ತು ಹಾಕು")</f>
        <v>ಸುತ್ತು ಹಾಕು</v>
      </c>
      <c r="N75" s="27">
        <f t="array" ref="N75">_xlfn.XLOOKUP(B75,'Sets Progress'!I:I,'Sets Progress'!I:I,"NOT YET")</f>
        <v>5</v>
      </c>
      <c r="O75" s="27" t="str">
        <f t="array" ref="O75">_xlfn.XLOOKUP(L:L,'Overall Progress'!L:L,'Overall Progress'!L:L,"NOT YET")</f>
        <v>NOT YET</v>
      </c>
      <c r="P75" s="27"/>
      <c r="Q75" s="27"/>
      <c r="R75" s="27"/>
      <c r="S75" s="27"/>
      <c r="T75" s="27"/>
      <c r="U75" s="27"/>
      <c r="V75" s="27"/>
      <c r="W75" s="27"/>
      <c r="X75" s="27"/>
      <c r="Y75" s="27"/>
      <c r="Z75" s="27"/>
    </row>
    <row r="76" hidden="1" customHeight="1" spans="1:26">
      <c r="A76" s="26">
        <v>253</v>
      </c>
      <c r="B76" s="26">
        <v>5</v>
      </c>
      <c r="C76" s="26" t="s">
        <v>604</v>
      </c>
      <c r="D76" s="26" t="s">
        <v>2717</v>
      </c>
      <c r="E76" s="26" t="s">
        <v>2889</v>
      </c>
      <c r="F76" s="26" t="str">
        <f t="shared" si="0"/>
        <v>Positive Traits Latin Origin</v>
      </c>
      <c r="G76" s="26">
        <f t="shared" si="1"/>
        <v>11</v>
      </c>
      <c r="H76" s="26" t="s">
        <v>2979</v>
      </c>
      <c r="I76" s="26"/>
      <c r="J76" s="26"/>
      <c r="K76" s="26" t="s">
        <v>2980</v>
      </c>
      <c r="L76" s="26" t="str">
        <f t="shared" si="2"/>
        <v>C</v>
      </c>
      <c r="M76" s="26" t="str">
        <f>IFERROR(__xludf.DUMMYFUNCTION("GOOGLETRANSLATE(C76,""EN"",""KN"")"),"ಸಹಕರಿಸಿ")</f>
        <v>ಸಹಕರಿಸಿ</v>
      </c>
      <c r="N76" s="26">
        <f t="array" ref="N76">_xlfn.XLOOKUP(B76,'Sets Progress'!I:I,'Sets Progress'!I:I,"NOT YET")</f>
        <v>5</v>
      </c>
      <c r="O76" s="26" t="str">
        <f t="array" ref="O76">_xlfn.XLOOKUP(L:L,'Overall Progress'!L:L,'Overall Progress'!L:L,"NOT YET")</f>
        <v>NOT YET</v>
      </c>
      <c r="P76" s="26"/>
      <c r="Q76" s="26"/>
      <c r="R76" s="26"/>
      <c r="S76" s="26"/>
      <c r="T76" s="26"/>
      <c r="U76" s="26"/>
      <c r="V76" s="26"/>
      <c r="W76" s="26"/>
      <c r="X76" s="26"/>
      <c r="Y76" s="26"/>
      <c r="Z76" s="26"/>
    </row>
    <row r="77" hidden="1" customHeight="1" spans="1:26">
      <c r="A77" s="27">
        <v>282</v>
      </c>
      <c r="B77" s="27">
        <v>5</v>
      </c>
      <c r="C77" s="27" t="s">
        <v>635</v>
      </c>
      <c r="D77" s="27" t="s">
        <v>2946</v>
      </c>
      <c r="E77" s="27" t="s">
        <v>2889</v>
      </c>
      <c r="F77" s="27" t="str">
        <f t="shared" si="0"/>
        <v>Emotional Latin Origin</v>
      </c>
      <c r="G77" s="27">
        <f t="shared" si="1"/>
        <v>8</v>
      </c>
      <c r="H77" s="27" t="s">
        <v>2981</v>
      </c>
      <c r="I77" s="27"/>
      <c r="J77" s="27"/>
      <c r="K77" s="27"/>
      <c r="L77" s="27" t="str">
        <f t="shared" si="2"/>
        <v>C</v>
      </c>
      <c r="M77" s="27" t="str">
        <f>IFERROR(__xludf.DUMMYFUNCTION("GOOGLETRANSLATE(C77,""EN"",""KN"")"),"ಗೊಂದಲ")</f>
        <v>ಗೊಂದಲ</v>
      </c>
      <c r="N77" s="27">
        <f t="array" ref="N77">_xlfn.XLOOKUP(B77,'Sets Progress'!I:I,'Sets Progress'!I:I,"NOT YET")</f>
        <v>5</v>
      </c>
      <c r="O77" s="27" t="str">
        <f t="array" ref="O77">_xlfn.XLOOKUP(L:L,'Overall Progress'!L:L,'Overall Progress'!L:L,"NOT YET")</f>
        <v>NOT YET</v>
      </c>
      <c r="P77" s="27"/>
      <c r="Q77" s="27"/>
      <c r="R77" s="27"/>
      <c r="S77" s="27"/>
      <c r="T77" s="27"/>
      <c r="U77" s="27"/>
      <c r="V77" s="27"/>
      <c r="W77" s="27"/>
      <c r="X77" s="27"/>
      <c r="Y77" s="27"/>
      <c r="Z77" s="27"/>
    </row>
    <row r="78" hidden="1" customHeight="1" spans="1:26">
      <c r="A78" s="26">
        <v>384</v>
      </c>
      <c r="B78" s="26">
        <v>5</v>
      </c>
      <c r="C78" s="26" t="s">
        <v>734</v>
      </c>
      <c r="D78" s="26" t="s">
        <v>1721</v>
      </c>
      <c r="E78" s="26" t="s">
        <v>2911</v>
      </c>
      <c r="F78" s="26" t="str">
        <f t="shared" si="0"/>
        <v>Temporal French Origin</v>
      </c>
      <c r="G78" s="26">
        <f t="shared" si="1"/>
        <v>7</v>
      </c>
      <c r="H78" s="26" t="s">
        <v>2982</v>
      </c>
      <c r="I78" s="26"/>
      <c r="J78" s="26"/>
      <c r="K78" s="26"/>
      <c r="L78" s="26" t="str">
        <f t="shared" si="2"/>
        <v>D</v>
      </c>
      <c r="M78" s="26" t="str">
        <f>IFERROR(__xludf.DUMMYFUNCTION("GOOGLETRANSLATE(C78,""EN"",""KN"")"),"ಡಿಟೆಂಟೆ")</f>
        <v>ಡಿಟೆಂಟೆ</v>
      </c>
      <c r="N78" s="26">
        <f t="array" ref="N78">_xlfn.XLOOKUP(B78,'Sets Progress'!I:I,'Sets Progress'!I:I,"NOT YET")</f>
        <v>5</v>
      </c>
      <c r="O78" s="26" t="str">
        <f t="array" ref="O78">_xlfn.XLOOKUP(L:L,'Overall Progress'!L:L,'Overall Progress'!L:L,"NOT YET")</f>
        <v>NOT YET</v>
      </c>
      <c r="P78" s="26"/>
      <c r="Q78" s="26"/>
      <c r="R78" s="26"/>
      <c r="S78" s="26"/>
      <c r="T78" s="26"/>
      <c r="U78" s="26"/>
      <c r="V78" s="26"/>
      <c r="W78" s="26"/>
      <c r="X78" s="26"/>
      <c r="Y78" s="26"/>
      <c r="Z78" s="26"/>
    </row>
    <row r="79" hidden="1" customHeight="1" spans="1:26">
      <c r="A79" s="27">
        <v>664</v>
      </c>
      <c r="B79" s="27">
        <v>5</v>
      </c>
      <c r="C79" s="27" t="s">
        <v>1007</v>
      </c>
      <c r="D79" s="27" t="s">
        <v>2716</v>
      </c>
      <c r="E79" s="27" t="s">
        <v>2889</v>
      </c>
      <c r="F79" s="27" t="str">
        <f t="shared" si="0"/>
        <v>Negative Traits Latin Origin</v>
      </c>
      <c r="G79" s="27">
        <f t="shared" si="1"/>
        <v>10</v>
      </c>
      <c r="H79" s="27" t="s">
        <v>2983</v>
      </c>
      <c r="I79" s="27"/>
      <c r="J79" s="27" t="s">
        <v>2984</v>
      </c>
      <c r="K79" s="27"/>
      <c r="L79" s="27" t="str">
        <f t="shared" si="2"/>
        <v>G</v>
      </c>
      <c r="M79" s="27" t="str">
        <f>IFERROR(__xludf.DUMMYFUNCTION("GOOGLETRANSLATE(C79,""EN"",""KN"")"),"ಅನಪೇಕ್ಷಿತ")</f>
        <v>ಅನಪೇಕ್ಷಿತ</v>
      </c>
      <c r="N79" s="27">
        <f t="array" ref="N79">_xlfn.XLOOKUP(B79,'Sets Progress'!I:I,'Sets Progress'!I:I,"NOT YET")</f>
        <v>5</v>
      </c>
      <c r="O79" s="27" t="str">
        <f t="array" ref="O79">_xlfn.XLOOKUP(L:L,'Overall Progress'!L:L,'Overall Progress'!L:L,"NOT YET")</f>
        <v>NOT YET</v>
      </c>
      <c r="P79" s="27"/>
      <c r="Q79" s="27"/>
      <c r="R79" s="27"/>
      <c r="S79" s="27"/>
      <c r="T79" s="27"/>
      <c r="U79" s="27"/>
      <c r="V79" s="27"/>
      <c r="W79" s="27"/>
      <c r="X79" s="27"/>
      <c r="Y79" s="27"/>
      <c r="Z79" s="27"/>
    </row>
    <row r="80" hidden="1" customHeight="1" spans="1:26">
      <c r="A80" s="26">
        <v>709</v>
      </c>
      <c r="B80" s="26">
        <v>5</v>
      </c>
      <c r="C80" s="26" t="s">
        <v>1051</v>
      </c>
      <c r="D80" s="26" t="s">
        <v>1721</v>
      </c>
      <c r="E80" s="26" t="s">
        <v>2889</v>
      </c>
      <c r="F80" s="26" t="str">
        <f t="shared" si="0"/>
        <v>Temporal Latin Origin</v>
      </c>
      <c r="G80" s="26">
        <f t="shared" si="1"/>
        <v>12</v>
      </c>
      <c r="H80" s="26" t="s">
        <v>2985</v>
      </c>
      <c r="I80" s="26"/>
      <c r="J80" s="26"/>
      <c r="K80" s="26"/>
      <c r="L80" s="26" t="str">
        <f t="shared" si="2"/>
        <v>I</v>
      </c>
      <c r="M80" s="26" t="str">
        <f>IFERROR(__xludf.DUMMYFUNCTION("GOOGLETRANSLATE(C80,""EN"",""KN"")"),"ವಿವರಣಾತ್ಮಕ")</f>
        <v>ವಿವರಣಾತ್ಮಕ</v>
      </c>
      <c r="N80" s="26">
        <f t="array" ref="N80">_xlfn.XLOOKUP(B80,'Sets Progress'!I:I,'Sets Progress'!I:I,"NOT YET")</f>
        <v>5</v>
      </c>
      <c r="O80" s="26" t="str">
        <f t="array" ref="O80">_xlfn.XLOOKUP(L:L,'Overall Progress'!L:L,'Overall Progress'!L:L,"NOT YET")</f>
        <v>NOT YET</v>
      </c>
      <c r="P80" s="26"/>
      <c r="Q80" s="26"/>
      <c r="R80" s="26"/>
      <c r="S80" s="26"/>
      <c r="T80" s="26"/>
      <c r="U80" s="26"/>
      <c r="V80" s="26"/>
      <c r="W80" s="26"/>
      <c r="X80" s="26"/>
      <c r="Y80" s="26"/>
      <c r="Z80" s="26"/>
    </row>
    <row r="81" hidden="1" customHeight="1" spans="1:26">
      <c r="A81" s="27">
        <v>950</v>
      </c>
      <c r="B81" s="27">
        <v>5</v>
      </c>
      <c r="C81" s="27" t="s">
        <v>1286</v>
      </c>
      <c r="D81" s="27" t="s">
        <v>1721</v>
      </c>
      <c r="E81" s="27" t="s">
        <v>2908</v>
      </c>
      <c r="F81" s="27" t="str">
        <f t="shared" si="0"/>
        <v>Temporal Old English Origin</v>
      </c>
      <c r="G81" s="27">
        <f t="shared" si="1"/>
        <v>10</v>
      </c>
      <c r="H81" s="27" t="s">
        <v>2986</v>
      </c>
      <c r="I81" s="27"/>
      <c r="J81" s="27"/>
      <c r="K81" s="27"/>
      <c r="L81" s="27" t="str">
        <f t="shared" si="2"/>
        <v>N</v>
      </c>
      <c r="M81" s="27" t="str">
        <f>IFERROR(__xludf.DUMMYFUNCTION("GOOGLETRANSLATE(C81,""EN"",""KN"")"),"ನೆಟಲ್ಸೋಮ್")</f>
        <v>ನೆಟಲ್ಸೋಮ್</v>
      </c>
      <c r="N81" s="27">
        <f t="array" ref="N81">_xlfn.XLOOKUP(B81,'Sets Progress'!I:I,'Sets Progress'!I:I,"NOT YET")</f>
        <v>5</v>
      </c>
      <c r="O81" s="27" t="str">
        <f t="array" ref="O81">_xlfn.XLOOKUP(L:L,'Overall Progress'!L:L,'Overall Progress'!L:L,"NOT YET")</f>
        <v>NOT YET</v>
      </c>
      <c r="P81" s="27"/>
      <c r="Q81" s="27"/>
      <c r="R81" s="27"/>
      <c r="S81" s="27"/>
      <c r="T81" s="27"/>
      <c r="U81" s="27"/>
      <c r="V81" s="27"/>
      <c r="W81" s="27"/>
      <c r="X81" s="27"/>
      <c r="Y81" s="27"/>
      <c r="Z81" s="27"/>
    </row>
    <row r="82" hidden="1" customHeight="1" spans="1:26">
      <c r="A82" s="26">
        <v>1029</v>
      </c>
      <c r="B82" s="26">
        <v>5</v>
      </c>
      <c r="C82" s="26" t="s">
        <v>1364</v>
      </c>
      <c r="D82" s="26" t="s">
        <v>2716</v>
      </c>
      <c r="E82" s="26" t="s">
        <v>2987</v>
      </c>
      <c r="F82" s="26" t="str">
        <f t="shared" si="0"/>
        <v>Negative Traits Spanish Origin</v>
      </c>
      <c r="G82" s="26">
        <f t="shared" si="1"/>
        <v>10</v>
      </c>
      <c r="H82" s="26" t="s">
        <v>2988</v>
      </c>
      <c r="I82" s="26"/>
      <c r="J82" s="26"/>
      <c r="K82" s="26"/>
      <c r="L82" s="26" t="str">
        <f t="shared" si="2"/>
        <v>P</v>
      </c>
      <c r="M82" s="26" t="str">
        <f>IFERROR(__xludf.DUMMYFUNCTION("GOOGLETRANSLATE(C82,""EN"",""KN"")"),"ಪೆಕ್ಕಾಡಿಲೊ")</f>
        <v>ಪೆಕ್ಕಾಡಿಲೊ</v>
      </c>
      <c r="N82" s="26">
        <f t="array" ref="N82">_xlfn.XLOOKUP(B82,'Sets Progress'!I:I,'Sets Progress'!I:I,"NOT YET")</f>
        <v>5</v>
      </c>
      <c r="O82" s="26" t="str">
        <f t="array" ref="O82">_xlfn.XLOOKUP(L:L,'Overall Progress'!L:L,'Overall Progress'!L:L,"NOT YET")</f>
        <v>NOT YET</v>
      </c>
      <c r="P82" s="26"/>
      <c r="Q82" s="26"/>
      <c r="R82" s="26"/>
      <c r="S82" s="26"/>
      <c r="T82" s="26"/>
      <c r="U82" s="26"/>
      <c r="V82" s="26"/>
      <c r="W82" s="26"/>
      <c r="X82" s="26"/>
      <c r="Y82" s="26"/>
      <c r="Z82" s="26"/>
    </row>
    <row r="83" hidden="1" customHeight="1" spans="1:26">
      <c r="A83" s="27">
        <v>1118</v>
      </c>
      <c r="B83" s="27">
        <v>5</v>
      </c>
      <c r="C83" s="27" t="s">
        <v>1452</v>
      </c>
      <c r="D83" s="27" t="s">
        <v>2717</v>
      </c>
      <c r="E83" s="27" t="s">
        <v>2889</v>
      </c>
      <c r="F83" s="27" t="str">
        <f t="shared" si="0"/>
        <v>Positive Traits Latin Origin</v>
      </c>
      <c r="G83" s="27">
        <f t="shared" si="1"/>
        <v>7</v>
      </c>
      <c r="H83" s="27" t="s">
        <v>2989</v>
      </c>
      <c r="I83" s="27"/>
      <c r="J83" s="27"/>
      <c r="K83" s="27"/>
      <c r="L83" s="27" t="str">
        <f t="shared" si="2"/>
        <v>P</v>
      </c>
      <c r="M83" s="27" t="str">
        <f>IFERROR(__xludf.DUMMYFUNCTION("GOOGLETRANSLATE(C83,""EN"",""KN"")"),"ಪ್ರಾಬಿಟಿ")</f>
        <v>ಪ್ರಾಬಿಟಿ</v>
      </c>
      <c r="N83" s="27">
        <f t="array" ref="N83">_xlfn.XLOOKUP(B83,'Sets Progress'!I:I,'Sets Progress'!I:I,"NOT YET")</f>
        <v>5</v>
      </c>
      <c r="O83" s="27" t="str">
        <f t="array" ref="O83">_xlfn.XLOOKUP(L:L,'Overall Progress'!L:L,'Overall Progress'!L:L,"NOT YET")</f>
        <v>NOT YET</v>
      </c>
      <c r="P83" s="27"/>
      <c r="Q83" s="27"/>
      <c r="R83" s="27"/>
      <c r="S83" s="27"/>
      <c r="T83" s="27"/>
      <c r="U83" s="27"/>
      <c r="V83" s="27"/>
      <c r="W83" s="27"/>
      <c r="X83" s="27"/>
      <c r="Y83" s="27"/>
      <c r="Z83" s="27"/>
    </row>
    <row r="84" hidden="1" customHeight="1" spans="1:26">
      <c r="A84" s="26">
        <v>1353</v>
      </c>
      <c r="B84" s="26">
        <v>5</v>
      </c>
      <c r="C84" s="26" t="s">
        <v>1684</v>
      </c>
      <c r="D84" s="26" t="s">
        <v>1721</v>
      </c>
      <c r="E84" s="26" t="s">
        <v>2889</v>
      </c>
      <c r="F84" s="26" t="str">
        <f t="shared" si="0"/>
        <v>Temporal Latin Origin</v>
      </c>
      <c r="G84" s="26">
        <f t="shared" si="1"/>
        <v>8</v>
      </c>
      <c r="H84" s="26" t="s">
        <v>2990</v>
      </c>
      <c r="I84" s="26"/>
      <c r="J84" s="26"/>
      <c r="K84" s="26"/>
      <c r="L84" s="26" t="str">
        <f t="shared" si="2"/>
        <v>S</v>
      </c>
      <c r="M84" s="26" t="str">
        <f>IFERROR(__xludf.DUMMYFUNCTION("GOOGLETRANSLATE(C84,""EN"",""KN"")"),"ಸಪ್ಲ್ಯಾಂಟ್")</f>
        <v>ಸಪ್ಲ್ಯಾಂಟ್</v>
      </c>
      <c r="N84" s="26">
        <f t="array" ref="N84">_xlfn.XLOOKUP(B84,'Sets Progress'!I:I,'Sets Progress'!I:I,"NOT YET")</f>
        <v>5</v>
      </c>
      <c r="O84" s="26" t="str">
        <f t="array" ref="O84">_xlfn.XLOOKUP(L:L,'Overall Progress'!L:L,'Overall Progress'!L:L,"NOT YET")</f>
        <v>NOT YET</v>
      </c>
      <c r="P84" s="26"/>
      <c r="Q84" s="26"/>
      <c r="R84" s="26"/>
      <c r="S84" s="26"/>
      <c r="T84" s="26"/>
      <c r="U84" s="26"/>
      <c r="V84" s="26"/>
      <c r="W84" s="26"/>
      <c r="X84" s="26"/>
      <c r="Y84" s="26"/>
      <c r="Z84" s="26"/>
    </row>
    <row r="85" hidden="1" customHeight="1" spans="1:26">
      <c r="A85" s="27">
        <v>1354</v>
      </c>
      <c r="B85" s="27">
        <v>5</v>
      </c>
      <c r="C85" s="27" t="s">
        <v>1685</v>
      </c>
      <c r="D85" s="27" t="s">
        <v>2717</v>
      </c>
      <c r="E85" s="27" t="s">
        <v>2889</v>
      </c>
      <c r="F85" s="27" t="str">
        <f t="shared" si="0"/>
        <v>Positive Traits Latin Origin</v>
      </c>
      <c r="G85" s="27">
        <f t="shared" si="1"/>
        <v>6</v>
      </c>
      <c r="H85" s="27" t="s">
        <v>2991</v>
      </c>
      <c r="I85" s="27"/>
      <c r="J85" s="27"/>
      <c r="K85" s="27"/>
      <c r="L85" s="27" t="str">
        <f t="shared" si="2"/>
        <v>S</v>
      </c>
      <c r="M85" s="27" t="str">
        <f>IFERROR(__xludf.DUMMYFUNCTION("GOOGLETRANSLATE(C85,""EN"",""KN"")"),"ಪೂರಕ")</f>
        <v>ಪೂರಕ</v>
      </c>
      <c r="N85" s="27">
        <f t="array" ref="N85">_xlfn.XLOOKUP(B85,'Sets Progress'!I:I,'Sets Progress'!I:I,"NOT YET")</f>
        <v>5</v>
      </c>
      <c r="O85" s="27" t="str">
        <f t="array" ref="O85">_xlfn.XLOOKUP(L:L,'Overall Progress'!L:L,'Overall Progress'!L:L,"NOT YET")</f>
        <v>NOT YET</v>
      </c>
      <c r="P85" s="27"/>
      <c r="Q85" s="27"/>
      <c r="R85" s="27"/>
      <c r="S85" s="27"/>
      <c r="T85" s="27"/>
      <c r="U85" s="27"/>
      <c r="V85" s="27"/>
      <c r="W85" s="27"/>
      <c r="X85" s="27"/>
      <c r="Y85" s="27"/>
      <c r="Z85" s="27"/>
    </row>
    <row r="86" hidden="1" customHeight="1" spans="1:26">
      <c r="A86" s="26">
        <v>1428</v>
      </c>
      <c r="B86" s="26">
        <v>5</v>
      </c>
      <c r="C86" s="26" t="s">
        <v>1757</v>
      </c>
      <c r="D86" s="26" t="s">
        <v>2716</v>
      </c>
      <c r="E86" s="26" t="s">
        <v>2889</v>
      </c>
      <c r="F86" s="26" t="str">
        <f t="shared" si="0"/>
        <v>Negative Traits Latin Origin</v>
      </c>
      <c r="G86" s="26">
        <f t="shared" si="1"/>
        <v>9</v>
      </c>
      <c r="H86" s="26" t="s">
        <v>2992</v>
      </c>
      <c r="I86" s="26"/>
      <c r="J86" s="26" t="s">
        <v>2993</v>
      </c>
      <c r="K86" s="26"/>
      <c r="L86" s="26" t="str">
        <f t="shared" si="2"/>
        <v>T</v>
      </c>
      <c r="M86" s="26" t="str">
        <f>IFERROR(__xludf.DUMMYFUNCTION("GOOGLETRANSLATE(C86,""EN"",""KN"")"),"ಟ್ರುಕ್ಯುಲೆಂಟ್")</f>
        <v>ಟ್ರುಕ್ಯುಲೆಂಟ್</v>
      </c>
      <c r="N86" s="26">
        <f t="array" ref="N86">_xlfn.XLOOKUP(B86,'Sets Progress'!I:I,'Sets Progress'!I:I,"NOT YET")</f>
        <v>5</v>
      </c>
      <c r="O86" s="26" t="str">
        <f t="array" ref="O86">_xlfn.XLOOKUP(L:L,'Overall Progress'!L:L,'Overall Progress'!L:L,"NOT YET")</f>
        <v>NOT YET</v>
      </c>
      <c r="P86" s="26"/>
      <c r="Q86" s="26"/>
      <c r="R86" s="26"/>
      <c r="S86" s="26"/>
      <c r="T86" s="26"/>
      <c r="U86" s="26"/>
      <c r="V86" s="26"/>
      <c r="W86" s="26"/>
      <c r="X86" s="26"/>
      <c r="Y86" s="26"/>
      <c r="Z86" s="26"/>
    </row>
    <row r="87" hidden="1" customHeight="1" spans="1:26">
      <c r="A87" s="27">
        <v>4</v>
      </c>
      <c r="B87" s="27">
        <v>6</v>
      </c>
      <c r="C87" s="27" t="s">
        <v>373</v>
      </c>
      <c r="D87" s="27" t="s">
        <v>2717</v>
      </c>
      <c r="E87" s="27" t="s">
        <v>2896</v>
      </c>
      <c r="F87" s="27" t="str">
        <f t="shared" si="0"/>
        <v>Positive Traits Old French Origin</v>
      </c>
      <c r="G87" s="27">
        <f t="shared" si="1"/>
        <v>4</v>
      </c>
      <c r="H87" s="27" t="s">
        <v>2994</v>
      </c>
      <c r="I87" s="27"/>
      <c r="J87" s="27"/>
      <c r="K87" s="27"/>
      <c r="L87" s="27" t="str">
        <f t="shared" si="2"/>
        <v>A</v>
      </c>
      <c r="M87" s="27" t="str">
        <f>IFERROR(__xludf.DUMMYFUNCTION("GOOGLETRANSLATE(C87,""EN"",""KN"")"),"ಅಬೆಟ್")</f>
        <v>ಅಬೆಟ್</v>
      </c>
      <c r="N87" s="27">
        <f t="array" ref="N87">_xlfn.XLOOKUP(B87,'Sets Progress'!I:I,'Sets Progress'!I:I,"NOT YET")</f>
        <v>6</v>
      </c>
      <c r="O87" s="27" t="str">
        <f t="array" ref="O87">_xlfn.XLOOKUP(L:L,'Overall Progress'!L:L,'Overall Progress'!L:L,"NOT YET")</f>
        <v>NOT YET</v>
      </c>
      <c r="P87" s="27"/>
      <c r="Q87" s="27"/>
      <c r="R87" s="27"/>
      <c r="S87" s="27"/>
      <c r="T87" s="27"/>
      <c r="U87" s="27"/>
      <c r="V87" s="27"/>
      <c r="W87" s="27"/>
      <c r="X87" s="27"/>
      <c r="Y87" s="27"/>
      <c r="Z87" s="27"/>
    </row>
    <row r="88" hidden="1" customHeight="1" spans="1:26">
      <c r="A88" s="26">
        <v>117</v>
      </c>
      <c r="B88" s="26">
        <v>6</v>
      </c>
      <c r="C88" s="26" t="s">
        <v>82</v>
      </c>
      <c r="D88" s="26" t="s">
        <v>2946</v>
      </c>
      <c r="E88" s="26" t="s">
        <v>2889</v>
      </c>
      <c r="F88" s="26" t="str">
        <f t="shared" si="0"/>
        <v>Emotional Latin Origin</v>
      </c>
      <c r="G88" s="26">
        <f t="shared" si="1"/>
        <v>7</v>
      </c>
      <c r="H88" s="26" t="s">
        <v>2995</v>
      </c>
      <c r="I88" s="26"/>
      <c r="J88" s="26"/>
      <c r="K88" s="26"/>
      <c r="L88" s="26" t="str">
        <f t="shared" si="2"/>
        <v>A</v>
      </c>
      <c r="M88" s="26" t="str">
        <f>IFERROR(__xludf.DUMMYFUNCTION("GOOGLETRANSLATE(C88,""EN"",""KN"")"),"ಸಮಾಧಾನಪಡಿಸು")</f>
        <v>ಸಮಾಧಾನಪಡಿಸು</v>
      </c>
      <c r="N88" s="26">
        <f t="array" ref="N88">_xlfn.XLOOKUP(B88,'Sets Progress'!I:I,'Sets Progress'!I:I,"NOT YET")</f>
        <v>6</v>
      </c>
      <c r="O88" s="26" t="str">
        <f t="array" ref="O88">_xlfn.XLOOKUP(L:L,'Overall Progress'!L:L,'Overall Progress'!L:L,"NOT YET")</f>
        <v>NOT YET</v>
      </c>
      <c r="P88" s="26"/>
      <c r="Q88" s="26"/>
      <c r="R88" s="26"/>
      <c r="S88" s="26"/>
      <c r="T88" s="26"/>
      <c r="U88" s="26"/>
      <c r="V88" s="26"/>
      <c r="W88" s="26"/>
      <c r="X88" s="26"/>
      <c r="Y88" s="26"/>
      <c r="Z88" s="26"/>
    </row>
    <row r="89" hidden="1" customHeight="1" spans="1:26">
      <c r="A89" s="27">
        <v>275</v>
      </c>
      <c r="B89" s="27">
        <v>6</v>
      </c>
      <c r="C89" s="27" t="s">
        <v>628</v>
      </c>
      <c r="D89" s="27" t="s">
        <v>2717</v>
      </c>
      <c r="E89" s="27" t="s">
        <v>2889</v>
      </c>
      <c r="F89" s="27" t="str">
        <f t="shared" si="0"/>
        <v>Positive Traits Latin Origin</v>
      </c>
      <c r="G89" s="27">
        <f t="shared" si="1"/>
        <v>12</v>
      </c>
      <c r="H89" s="27" t="s">
        <v>2996</v>
      </c>
      <c r="I89" s="27"/>
      <c r="J89" s="27"/>
      <c r="K89" s="27"/>
      <c r="L89" s="27" t="str">
        <f t="shared" si="2"/>
        <v>C</v>
      </c>
      <c r="M89" s="27" t="str">
        <f>IFERROR(__xludf.DUMMYFUNCTION("GOOGLETRANSLATE(C89,""EN"",""KN"")"),"ಸಮಾಧಾನಕರ")</f>
        <v>ಸಮಾಧಾನಕರ</v>
      </c>
      <c r="N89" s="27">
        <f t="array" ref="N89">_xlfn.XLOOKUP(B89,'Sets Progress'!I:I,'Sets Progress'!I:I,"NOT YET")</f>
        <v>6</v>
      </c>
      <c r="O89" s="27" t="str">
        <f t="array" ref="O89">_xlfn.XLOOKUP(L:L,'Overall Progress'!L:L,'Overall Progress'!L:L,"NOT YET")</f>
        <v>NOT YET</v>
      </c>
      <c r="P89" s="27"/>
      <c r="Q89" s="27"/>
      <c r="R89" s="27"/>
      <c r="S89" s="27"/>
      <c r="T89" s="27"/>
      <c r="U89" s="27"/>
      <c r="V89" s="27"/>
      <c r="W89" s="27"/>
      <c r="X89" s="27"/>
      <c r="Y89" s="27"/>
      <c r="Z89" s="27"/>
    </row>
    <row r="90" hidden="1" customHeight="1" spans="1:26">
      <c r="A90" s="26">
        <v>367</v>
      </c>
      <c r="B90" s="26">
        <v>6</v>
      </c>
      <c r="C90" s="26" t="s">
        <v>717</v>
      </c>
      <c r="D90" s="26" t="s">
        <v>2946</v>
      </c>
      <c r="E90" s="26" t="s">
        <v>2889</v>
      </c>
      <c r="F90" s="26" t="str">
        <f t="shared" si="0"/>
        <v>Emotional Latin Origin</v>
      </c>
      <c r="G90" s="26">
        <f t="shared" si="1"/>
        <v>8</v>
      </c>
      <c r="H90" s="26" t="s">
        <v>2997</v>
      </c>
      <c r="I90" s="26"/>
      <c r="J90" s="26"/>
      <c r="K90" s="26"/>
      <c r="L90" s="26" t="str">
        <f t="shared" si="2"/>
        <v>D</v>
      </c>
      <c r="M90" s="26" t="str">
        <f>IFERROR(__xludf.DUMMYFUNCTION("GOOGLETRANSLATE(C90,""EN"",""KN"")"),"ಭ್ರಮೆ")</f>
        <v>ಭ್ರಮೆ</v>
      </c>
      <c r="N90" s="26">
        <f t="array" ref="N90">_xlfn.XLOOKUP(B90,'Sets Progress'!I:I,'Sets Progress'!I:I,"NOT YET")</f>
        <v>6</v>
      </c>
      <c r="O90" s="26" t="str">
        <f t="array" ref="O90">_xlfn.XLOOKUP(L:L,'Overall Progress'!L:L,'Overall Progress'!L:L,"NOT YET")</f>
        <v>NOT YET</v>
      </c>
      <c r="P90" s="26"/>
      <c r="Q90" s="26"/>
      <c r="R90" s="26"/>
      <c r="S90" s="26"/>
      <c r="T90" s="26"/>
      <c r="U90" s="26"/>
      <c r="V90" s="26"/>
      <c r="W90" s="26"/>
      <c r="X90" s="26"/>
      <c r="Y90" s="26"/>
      <c r="Z90" s="26"/>
    </row>
    <row r="91" hidden="1" customHeight="1" spans="1:26">
      <c r="A91" s="27">
        <v>417</v>
      </c>
      <c r="B91" s="27">
        <v>6</v>
      </c>
      <c r="C91" s="27" t="s">
        <v>766</v>
      </c>
      <c r="D91" s="27" t="s">
        <v>2892</v>
      </c>
      <c r="E91" s="27" t="s">
        <v>2889</v>
      </c>
      <c r="F91" s="27" t="str">
        <f t="shared" si="0"/>
        <v>Spatial Latin Origin</v>
      </c>
      <c r="G91" s="27">
        <f t="shared" si="1"/>
        <v>11</v>
      </c>
      <c r="H91" s="27" t="s">
        <v>2998</v>
      </c>
      <c r="I91" s="27"/>
      <c r="J91" s="27"/>
      <c r="K91" s="27"/>
      <c r="L91" s="27" t="str">
        <f t="shared" si="2"/>
        <v>D</v>
      </c>
      <c r="M91" s="27" t="str">
        <f>IFERROR(__xludf.DUMMYFUNCTION("GOOGLETRANSLATE(C91,""EN"",""KN"")"),"ವ್ಯತ್ಯಾಸ")</f>
        <v>ವ್ಯತ್ಯಾಸ</v>
      </c>
      <c r="N91" s="27">
        <f t="array" ref="N91">_xlfn.XLOOKUP(B91,'Sets Progress'!I:I,'Sets Progress'!I:I,"NOT YET")</f>
        <v>6</v>
      </c>
      <c r="O91" s="27" t="str">
        <f t="array" ref="O91">_xlfn.XLOOKUP(L:L,'Overall Progress'!L:L,'Overall Progress'!L:L,"NOT YET")</f>
        <v>NOT YET</v>
      </c>
      <c r="P91" s="27"/>
      <c r="Q91" s="27"/>
      <c r="R91" s="27"/>
      <c r="S91" s="27"/>
      <c r="T91" s="27"/>
      <c r="U91" s="27"/>
      <c r="V91" s="27"/>
      <c r="W91" s="27"/>
      <c r="X91" s="27"/>
      <c r="Y91" s="27"/>
      <c r="Z91" s="27"/>
    </row>
    <row r="92" hidden="1" customHeight="1" spans="1:26">
      <c r="A92" s="26">
        <v>483</v>
      </c>
      <c r="B92" s="26">
        <v>6</v>
      </c>
      <c r="C92" s="26" t="s">
        <v>832</v>
      </c>
      <c r="D92" s="26" t="s">
        <v>2717</v>
      </c>
      <c r="E92" s="26" t="s">
        <v>2889</v>
      </c>
      <c r="F92" s="26" t="str">
        <f t="shared" si="0"/>
        <v>Positive Traits Latin Origin</v>
      </c>
      <c r="G92" s="26">
        <f t="shared" si="1"/>
        <v>6</v>
      </c>
      <c r="H92" s="26" t="s">
        <v>2999</v>
      </c>
      <c r="I92" s="26"/>
      <c r="J92" s="26"/>
      <c r="K92" s="26"/>
      <c r="L92" s="26" t="str">
        <f t="shared" si="2"/>
        <v>E</v>
      </c>
      <c r="M92" s="26" t="str">
        <f>IFERROR(__xludf.DUMMYFUNCTION("GOOGLETRANSLATE(C92,""EN"",""KN"")"),"ಉಲ್ಲಸಿತ")</f>
        <v>ಉಲ್ಲಸಿತ</v>
      </c>
      <c r="N92" s="26">
        <f t="array" ref="N92">_xlfn.XLOOKUP(B92,'Sets Progress'!I:I,'Sets Progress'!I:I,"NOT YET")</f>
        <v>6</v>
      </c>
      <c r="O92" s="26" t="str">
        <f t="array" ref="O92">_xlfn.XLOOKUP(L:L,'Overall Progress'!L:L,'Overall Progress'!L:L,"NOT YET")</f>
        <v>NOT YET</v>
      </c>
      <c r="P92" s="26"/>
      <c r="Q92" s="26"/>
      <c r="R92" s="26"/>
      <c r="S92" s="26"/>
      <c r="T92" s="26"/>
      <c r="U92" s="26"/>
      <c r="V92" s="26"/>
      <c r="W92" s="26"/>
      <c r="X92" s="26"/>
      <c r="Y92" s="26"/>
      <c r="Z92" s="26"/>
    </row>
    <row r="93" hidden="1" customHeight="1" spans="1:26">
      <c r="A93" s="27">
        <v>651</v>
      </c>
      <c r="B93" s="27">
        <v>6</v>
      </c>
      <c r="C93" s="27" t="s">
        <v>994</v>
      </c>
      <c r="D93" s="27" t="s">
        <v>1721</v>
      </c>
      <c r="E93" s="27" t="s">
        <v>2893</v>
      </c>
      <c r="F93" s="27" t="str">
        <f t="shared" si="0"/>
        <v>Temporal Greek Origin</v>
      </c>
      <c r="G93" s="27">
        <f t="shared" si="1"/>
        <v>9</v>
      </c>
      <c r="H93" s="27" t="s">
        <v>3000</v>
      </c>
      <c r="I93" s="27"/>
      <c r="J93" s="27"/>
      <c r="K93" s="27"/>
      <c r="L93" s="27" t="str">
        <f t="shared" si="2"/>
        <v>G</v>
      </c>
      <c r="M93" s="27" t="str">
        <f>IFERROR(__xludf.DUMMYFUNCTION("GOOGLETRANSLATE(C93,""EN"",""KN"")"),"ವಂಶಾವಳಿ")</f>
        <v>ವಂಶಾವಳಿ</v>
      </c>
      <c r="N93" s="27">
        <f t="array" ref="N93">_xlfn.XLOOKUP(B93,'Sets Progress'!I:I,'Sets Progress'!I:I,"NOT YET")</f>
        <v>6</v>
      </c>
      <c r="O93" s="27" t="str">
        <f t="array" ref="O93">_xlfn.XLOOKUP(L:L,'Overall Progress'!L:L,'Overall Progress'!L:L,"NOT YET")</f>
        <v>NOT YET</v>
      </c>
      <c r="P93" s="27"/>
      <c r="Q93" s="27"/>
      <c r="R93" s="27"/>
      <c r="S93" s="27"/>
      <c r="T93" s="27"/>
      <c r="U93" s="27"/>
      <c r="V93" s="27"/>
      <c r="W93" s="27"/>
      <c r="X93" s="27"/>
      <c r="Y93" s="27"/>
      <c r="Z93" s="27"/>
    </row>
    <row r="94" hidden="1" customHeight="1" spans="1:26">
      <c r="A94" s="26">
        <v>670</v>
      </c>
      <c r="B94" s="26">
        <v>6</v>
      </c>
      <c r="C94" s="26" t="s">
        <v>1013</v>
      </c>
      <c r="D94" s="26" t="s">
        <v>1638</v>
      </c>
      <c r="E94" s="26" t="s">
        <v>2921</v>
      </c>
      <c r="F94" s="26" t="str">
        <f t="shared" si="0"/>
        <v>Sound Unknown Origin</v>
      </c>
      <c r="G94" s="26">
        <f t="shared" si="1"/>
        <v>7</v>
      </c>
      <c r="H94" s="26" t="s">
        <v>3001</v>
      </c>
      <c r="I94" s="26"/>
      <c r="J94" s="26"/>
      <c r="K94" s="26"/>
      <c r="L94" s="26" t="str">
        <f t="shared" si="2"/>
        <v>G</v>
      </c>
      <c r="M94" s="26" t="str">
        <f>IFERROR(__xludf.DUMMYFUNCTION("GOOGLETRANSLATE(C94,""EN"",""KN"")"),"ಗೊಣಗುತ್ತಾರೆ")</f>
        <v>ಗೊಣಗುತ್ತಾರೆ</v>
      </c>
      <c r="N94" s="26">
        <f t="array" ref="N94">_xlfn.XLOOKUP(B94,'Sets Progress'!I:I,'Sets Progress'!I:I,"NOT YET")</f>
        <v>6</v>
      </c>
      <c r="O94" s="26" t="str">
        <f t="array" ref="O94">_xlfn.XLOOKUP(L:L,'Overall Progress'!L:L,'Overall Progress'!L:L,"NOT YET")</f>
        <v>NOT YET</v>
      </c>
      <c r="P94" s="26"/>
      <c r="Q94" s="26"/>
      <c r="R94" s="26"/>
      <c r="S94" s="26"/>
      <c r="T94" s="26"/>
      <c r="U94" s="26"/>
      <c r="V94" s="26"/>
      <c r="W94" s="26"/>
      <c r="X94" s="26"/>
      <c r="Y94" s="26"/>
      <c r="Z94" s="26"/>
    </row>
    <row r="95" hidden="1" customHeight="1" spans="1:26">
      <c r="A95" s="27">
        <v>671</v>
      </c>
      <c r="B95" s="27">
        <v>6</v>
      </c>
      <c r="C95" s="27" t="s">
        <v>1014</v>
      </c>
      <c r="D95" s="27" t="s">
        <v>2716</v>
      </c>
      <c r="E95" s="27" t="s">
        <v>2921</v>
      </c>
      <c r="F95" s="27" t="str">
        <f t="shared" si="0"/>
        <v>Negative Traits Unknown Origin</v>
      </c>
      <c r="G95" s="27">
        <f t="shared" si="1"/>
        <v>8</v>
      </c>
      <c r="H95" s="27" t="s">
        <v>3002</v>
      </c>
      <c r="I95" s="27"/>
      <c r="J95" s="27"/>
      <c r="K95" s="27"/>
      <c r="L95" s="27" t="str">
        <f t="shared" si="2"/>
        <v>G</v>
      </c>
      <c r="M95" s="27" t="str">
        <f>IFERROR(__xludf.DUMMYFUNCTION("GOOGLETRANSLATE(C95,""EN"",""KN"")"),"ಗುಲ್ಲಿಬಲ್")</f>
        <v>ಗುಲ್ಲಿಬಲ್</v>
      </c>
      <c r="N95" s="27">
        <f t="array" ref="N95">_xlfn.XLOOKUP(B95,'Sets Progress'!I:I,'Sets Progress'!I:I,"NOT YET")</f>
        <v>6</v>
      </c>
      <c r="O95" s="27" t="str">
        <f t="array" ref="O95">_xlfn.XLOOKUP(L:L,'Overall Progress'!L:L,'Overall Progress'!L:L,"NOT YET")</f>
        <v>NOT YET</v>
      </c>
      <c r="P95" s="27"/>
      <c r="Q95" s="27"/>
      <c r="R95" s="27"/>
      <c r="S95" s="27"/>
      <c r="T95" s="27"/>
      <c r="U95" s="27"/>
      <c r="V95" s="27"/>
      <c r="W95" s="27"/>
      <c r="X95" s="27"/>
      <c r="Y95" s="27"/>
      <c r="Z95" s="27"/>
    </row>
    <row r="96" hidden="1" customHeight="1" spans="1:26">
      <c r="A96" s="26">
        <v>696</v>
      </c>
      <c r="B96" s="26">
        <v>6</v>
      </c>
      <c r="C96" s="26" t="s">
        <v>1038</v>
      </c>
      <c r="D96" s="26" t="s">
        <v>3003</v>
      </c>
      <c r="E96" s="26" t="s">
        <v>2893</v>
      </c>
      <c r="F96" s="26" t="str">
        <f t="shared" si="0"/>
        <v>Linguistic Greek Origin</v>
      </c>
      <c r="G96" s="26">
        <f t="shared" si="1"/>
        <v>9</v>
      </c>
      <c r="H96" s="26" t="s">
        <v>3004</v>
      </c>
      <c r="I96" s="26"/>
      <c r="J96" s="26"/>
      <c r="K96" s="26" t="s">
        <v>3005</v>
      </c>
      <c r="L96" s="26" t="str">
        <f t="shared" si="2"/>
        <v>H</v>
      </c>
      <c r="M96" s="26" t="str">
        <f>IFERROR(__xludf.DUMMYFUNCTION("GOOGLETRANSLATE(C96,""EN"",""KN"")"),"ಹೈಪರ್ಬೋಲ್")</f>
        <v>ಹೈಪರ್ಬೋಲ್</v>
      </c>
      <c r="N96" s="26">
        <f t="array" ref="N96">_xlfn.XLOOKUP(B96,'Sets Progress'!I:I,'Sets Progress'!I:I,"NOT YET")</f>
        <v>6</v>
      </c>
      <c r="O96" s="26" t="str">
        <f t="array" ref="O96">_xlfn.XLOOKUP(L:L,'Overall Progress'!L:L,'Overall Progress'!L:L,"NOT YET")</f>
        <v>NOT YET</v>
      </c>
      <c r="P96" s="26"/>
      <c r="Q96" s="26"/>
      <c r="R96" s="26"/>
      <c r="S96" s="26"/>
      <c r="T96" s="26"/>
      <c r="U96" s="26"/>
      <c r="V96" s="26"/>
      <c r="W96" s="26"/>
      <c r="X96" s="26"/>
      <c r="Y96" s="26"/>
      <c r="Z96" s="26"/>
    </row>
    <row r="97" hidden="1" customHeight="1" spans="1:26">
      <c r="A97" s="27">
        <v>879</v>
      </c>
      <c r="B97" s="27">
        <v>6</v>
      </c>
      <c r="C97" s="27" t="s">
        <v>1217</v>
      </c>
      <c r="D97" s="27" t="s">
        <v>2717</v>
      </c>
      <c r="E97" s="27" t="s">
        <v>2889</v>
      </c>
      <c r="F97" s="27" t="str">
        <f t="shared" si="0"/>
        <v>Positive Traits Latin Origin</v>
      </c>
      <c r="G97" s="27">
        <f t="shared" si="1"/>
        <v>11</v>
      </c>
      <c r="H97" s="27" t="s">
        <v>3006</v>
      </c>
      <c r="I97" s="27"/>
      <c r="J97" s="27"/>
      <c r="K97" s="27"/>
      <c r="L97" s="27" t="str">
        <f t="shared" si="2"/>
        <v>M</v>
      </c>
      <c r="M97" s="27" t="str">
        <f>IFERROR(__xludf.DUMMYFUNCTION("GOOGLETRANSLATE(C97,""EN"",""KN"")"),"ಮ್ಯಾಜಿಸ್ಟೇರಿಯಲ್")</f>
        <v>ಮ್ಯಾಜಿಸ್ಟೇರಿಯಲ್</v>
      </c>
      <c r="N97" s="27">
        <f t="array" ref="N97">_xlfn.XLOOKUP(B97,'Sets Progress'!I:I,'Sets Progress'!I:I,"NOT YET")</f>
        <v>6</v>
      </c>
      <c r="O97" s="27" t="str">
        <f t="array" ref="O97">_xlfn.XLOOKUP(L:L,'Overall Progress'!L:L,'Overall Progress'!L:L,"NOT YET")</f>
        <v>NOT YET</v>
      </c>
      <c r="P97" s="27"/>
      <c r="Q97" s="27"/>
      <c r="R97" s="27"/>
      <c r="S97" s="27"/>
      <c r="T97" s="27"/>
      <c r="U97" s="27"/>
      <c r="V97" s="27"/>
      <c r="W97" s="27"/>
      <c r="X97" s="27"/>
      <c r="Y97" s="27"/>
      <c r="Z97" s="27"/>
    </row>
    <row r="98" hidden="1" customHeight="1" spans="1:26">
      <c r="A98" s="26">
        <v>974</v>
      </c>
      <c r="B98" s="26">
        <v>6</v>
      </c>
      <c r="C98" s="26" t="s">
        <v>1310</v>
      </c>
      <c r="D98" s="26" t="s">
        <v>1721</v>
      </c>
      <c r="E98" s="26" t="s">
        <v>2889</v>
      </c>
      <c r="F98" s="26" t="str">
        <f t="shared" si="0"/>
        <v>Temporal Latin Origin</v>
      </c>
      <c r="G98" s="26">
        <f t="shared" si="1"/>
        <v>8</v>
      </c>
      <c r="H98" s="26" t="s">
        <v>3007</v>
      </c>
      <c r="I98" s="26"/>
      <c r="J98" s="26"/>
      <c r="K98" s="26"/>
      <c r="L98" s="26" t="str">
        <f t="shared" si="2"/>
        <v>O</v>
      </c>
      <c r="M98" s="26" t="str">
        <f>IFERROR(__xludf.DUMMYFUNCTION("GOOGLETRANSLATE(C98,""EN"",""KN"")"),"ಬಳಕೆಯಲ್ಲಿಲ್ಲ")</f>
        <v>ಬಳಕೆಯಲ್ಲಿಲ್ಲ</v>
      </c>
      <c r="N98" s="26">
        <f t="array" ref="N98">_xlfn.XLOOKUP(B98,'Sets Progress'!I:I,'Sets Progress'!I:I,"NOT YET")</f>
        <v>6</v>
      </c>
      <c r="O98" s="26" t="str">
        <f t="array" ref="O98">_xlfn.XLOOKUP(L:L,'Overall Progress'!L:L,'Overall Progress'!L:L,"NOT YET")</f>
        <v>NOT YET</v>
      </c>
      <c r="P98" s="26"/>
      <c r="Q98" s="26"/>
      <c r="R98" s="26"/>
      <c r="S98" s="26"/>
      <c r="T98" s="26"/>
      <c r="U98" s="26"/>
      <c r="V98" s="26"/>
      <c r="W98" s="26"/>
      <c r="X98" s="26"/>
      <c r="Y98" s="26"/>
      <c r="Z98" s="26"/>
    </row>
    <row r="99" hidden="1" customHeight="1" spans="1:26">
      <c r="A99" s="27">
        <v>978</v>
      </c>
      <c r="B99" s="27">
        <v>6</v>
      </c>
      <c r="C99" s="27" t="s">
        <v>1314</v>
      </c>
      <c r="D99" s="27" t="s">
        <v>1721</v>
      </c>
      <c r="E99" s="27" t="s">
        <v>2889</v>
      </c>
      <c r="F99" s="27" t="str">
        <f t="shared" si="0"/>
        <v>Temporal Latin Origin</v>
      </c>
      <c r="G99" s="27">
        <f t="shared" si="1"/>
        <v>7</v>
      </c>
      <c r="H99" s="27" t="s">
        <v>3008</v>
      </c>
      <c r="I99" s="27"/>
      <c r="J99" s="27"/>
      <c r="K99" s="27"/>
      <c r="L99" s="27" t="str">
        <f t="shared" si="2"/>
        <v>O</v>
      </c>
      <c r="M99" s="27" t="str">
        <f>IFERROR(__xludf.DUMMYFUNCTION("GOOGLETRANSLATE(C99,""EN"",""KN"")"),"ಮುಚ್ಚು")</f>
        <v>ಮುಚ್ಚು</v>
      </c>
      <c r="N99" s="27">
        <f t="array" ref="N99">_xlfn.XLOOKUP(B99,'Sets Progress'!I:I,'Sets Progress'!I:I,"NOT YET")</f>
        <v>6</v>
      </c>
      <c r="O99" s="27" t="str">
        <f t="array" ref="O99">_xlfn.XLOOKUP(L:L,'Overall Progress'!L:L,'Overall Progress'!L:L,"NOT YET")</f>
        <v>NOT YET</v>
      </c>
      <c r="P99" s="27"/>
      <c r="Q99" s="27"/>
      <c r="R99" s="27"/>
      <c r="S99" s="27"/>
      <c r="T99" s="27"/>
      <c r="U99" s="27"/>
      <c r="V99" s="27"/>
      <c r="W99" s="27"/>
      <c r="X99" s="27"/>
      <c r="Y99" s="27"/>
      <c r="Z99" s="27"/>
    </row>
    <row r="100" hidden="1" customHeight="1" spans="1:26">
      <c r="A100" s="26">
        <v>983</v>
      </c>
      <c r="B100" s="26">
        <v>6</v>
      </c>
      <c r="C100" s="26" t="s">
        <v>1319</v>
      </c>
      <c r="D100" s="26" t="s">
        <v>1721</v>
      </c>
      <c r="E100" s="26" t="s">
        <v>2889</v>
      </c>
      <c r="F100" s="26" t="str">
        <f t="shared" si="0"/>
        <v>Temporal Latin Origin</v>
      </c>
      <c r="G100" s="26">
        <f t="shared" si="1"/>
        <v>10</v>
      </c>
      <c r="H100" s="26" t="s">
        <v>3009</v>
      </c>
      <c r="I100" s="26"/>
      <c r="J100" s="26"/>
      <c r="K100" s="26"/>
      <c r="L100" s="26" t="str">
        <f t="shared" si="2"/>
        <v>O</v>
      </c>
      <c r="M100" s="26" t="str">
        <f>IFERROR(__xludf.DUMMYFUNCTION("GOOGLETRANSLATE(C100,""EN"",""KN"")"),"ಸರ್ವಜ್ಞ")</f>
        <v>ಸರ್ವಜ್ಞ</v>
      </c>
      <c r="N100" s="26">
        <f t="array" ref="N100">_xlfn.XLOOKUP(B100,'Sets Progress'!I:I,'Sets Progress'!I:I,"NOT YET")</f>
        <v>6</v>
      </c>
      <c r="O100" s="26" t="str">
        <f t="array" ref="O100">_xlfn.XLOOKUP(L:L,'Overall Progress'!L:L,'Overall Progress'!L:L,"NOT YET")</f>
        <v>NOT YET</v>
      </c>
      <c r="P100" s="26"/>
      <c r="Q100" s="26"/>
      <c r="R100" s="26"/>
      <c r="S100" s="26"/>
      <c r="T100" s="26"/>
      <c r="U100" s="26"/>
      <c r="V100" s="26"/>
      <c r="W100" s="26"/>
      <c r="X100" s="26"/>
      <c r="Y100" s="26"/>
      <c r="Z100" s="26"/>
    </row>
    <row r="101" hidden="1" customHeight="1" spans="1:26">
      <c r="A101" s="27">
        <v>1008</v>
      </c>
      <c r="B101" s="27">
        <v>6</v>
      </c>
      <c r="C101" s="27" t="s">
        <v>1343</v>
      </c>
      <c r="D101" s="27" t="s">
        <v>2717</v>
      </c>
      <c r="E101" s="27" t="s">
        <v>2908</v>
      </c>
      <c r="F101" s="27" t="str">
        <f t="shared" si="0"/>
        <v>Positive Traits Old English Origin</v>
      </c>
      <c r="G101" s="27">
        <f t="shared" si="1"/>
        <v>11</v>
      </c>
      <c r="H101" s="27" t="s">
        <v>3010</v>
      </c>
      <c r="I101" s="27"/>
      <c r="J101" s="27"/>
      <c r="K101" s="27"/>
      <c r="L101" s="27" t="str">
        <f t="shared" si="2"/>
        <v>P</v>
      </c>
      <c r="M101" s="27" t="str">
        <f>IFERROR(__xludf.DUMMYFUNCTION("GOOGLETRANSLATE(C101,""EN"",""KN"")"),"ಶ್ರಮದಾಯಕ")</f>
        <v>ಶ್ರಮದಾಯಕ</v>
      </c>
      <c r="N101" s="27">
        <f t="array" ref="N101">_xlfn.XLOOKUP(B101,'Sets Progress'!I:I,'Sets Progress'!I:I,"NOT YET")</f>
        <v>6</v>
      </c>
      <c r="O101" s="27" t="str">
        <f t="array" ref="O101">_xlfn.XLOOKUP(L:L,'Overall Progress'!L:L,'Overall Progress'!L:L,"NOT YET")</f>
        <v>NOT YET</v>
      </c>
      <c r="P101" s="27"/>
      <c r="Q101" s="27"/>
      <c r="R101" s="27"/>
      <c r="S101" s="27"/>
      <c r="T101" s="27"/>
      <c r="U101" s="27"/>
      <c r="V101" s="27"/>
      <c r="W101" s="27"/>
      <c r="X101" s="27"/>
      <c r="Y101" s="27"/>
      <c r="Z101" s="27"/>
    </row>
    <row r="102" hidden="1" customHeight="1" spans="1:26">
      <c r="A102" s="26">
        <v>1019</v>
      </c>
      <c r="B102" s="26">
        <v>6</v>
      </c>
      <c r="C102" s="26" t="s">
        <v>1354</v>
      </c>
      <c r="D102" s="26" t="s">
        <v>1721</v>
      </c>
      <c r="E102" s="26" t="s">
        <v>2889</v>
      </c>
      <c r="F102" s="26" t="str">
        <f t="shared" si="0"/>
        <v>Temporal Latin Origin</v>
      </c>
      <c r="G102" s="26">
        <f t="shared" si="1"/>
        <v>7</v>
      </c>
      <c r="H102" s="26" t="s">
        <v>3011</v>
      </c>
      <c r="I102" s="26"/>
      <c r="J102" s="26"/>
      <c r="K102" s="26"/>
      <c r="L102" s="26" t="str">
        <f t="shared" si="2"/>
        <v>P</v>
      </c>
      <c r="M102" s="26" t="str">
        <f>IFERROR(__xludf.DUMMYFUNCTION("GOOGLETRANSLATE(C102,""EN"",""KN"")"),"ಭಾಗಶಃ")</f>
        <v>ಭಾಗಶಃ</v>
      </c>
      <c r="N102" s="26">
        <f t="array" ref="N102">_xlfn.XLOOKUP(B102,'Sets Progress'!I:I,'Sets Progress'!I:I,"NOT YET")</f>
        <v>6</v>
      </c>
      <c r="O102" s="26" t="str">
        <f t="array" ref="O102">_xlfn.XLOOKUP(L:L,'Overall Progress'!L:L,'Overall Progress'!L:L,"NOT YET")</f>
        <v>NOT YET</v>
      </c>
      <c r="P102" s="26"/>
      <c r="Q102" s="26"/>
      <c r="R102" s="26"/>
      <c r="S102" s="26"/>
      <c r="T102" s="26"/>
      <c r="U102" s="26"/>
      <c r="V102" s="26"/>
      <c r="W102" s="26"/>
      <c r="X102" s="26"/>
      <c r="Y102" s="26"/>
      <c r="Z102" s="26"/>
    </row>
    <row r="103" hidden="1" customHeight="1" spans="1:26">
      <c r="A103" s="27">
        <v>1097</v>
      </c>
      <c r="B103" s="27">
        <v>6</v>
      </c>
      <c r="C103" s="27" t="s">
        <v>1431</v>
      </c>
      <c r="D103" s="27" t="s">
        <v>1721</v>
      </c>
      <c r="E103" s="27" t="s">
        <v>2889</v>
      </c>
      <c r="F103" s="27" t="str">
        <f t="shared" si="0"/>
        <v>Temporal Latin Origin</v>
      </c>
      <c r="G103" s="27">
        <f t="shared" si="1"/>
        <v>8</v>
      </c>
      <c r="H103" s="27" t="s">
        <v>3012</v>
      </c>
      <c r="I103" s="27"/>
      <c r="J103" s="27"/>
      <c r="K103" s="27"/>
      <c r="L103" s="27" t="str">
        <f t="shared" si="2"/>
        <v>P</v>
      </c>
      <c r="M103" s="27" t="str">
        <f>IFERROR(__xludf.DUMMYFUNCTION("GOOGLETRANSLATE(C103,""EN"",""KN"")"),"ತಡೆಗಟ್ಟು")</f>
        <v>ತಡೆಗಟ್ಟು</v>
      </c>
      <c r="N103" s="27">
        <f t="array" ref="N103">_xlfn.XLOOKUP(B103,'Sets Progress'!I:I,'Sets Progress'!I:I,"NOT YET")</f>
        <v>6</v>
      </c>
      <c r="O103" s="27" t="str">
        <f t="array" ref="O103">_xlfn.XLOOKUP(L:L,'Overall Progress'!L:L,'Overall Progress'!L:L,"NOT YET")</f>
        <v>NOT YET</v>
      </c>
      <c r="P103" s="27"/>
      <c r="Q103" s="27"/>
      <c r="R103" s="27"/>
      <c r="S103" s="27"/>
      <c r="T103" s="27"/>
      <c r="U103" s="27"/>
      <c r="V103" s="27"/>
      <c r="W103" s="27"/>
      <c r="X103" s="27"/>
      <c r="Y103" s="27"/>
      <c r="Z103" s="27"/>
    </row>
    <row r="104" hidden="1" customHeight="1" spans="1:26">
      <c r="A104" s="26">
        <v>1144</v>
      </c>
      <c r="B104" s="26">
        <v>6</v>
      </c>
      <c r="C104" s="26" t="s">
        <v>1476</v>
      </c>
      <c r="D104" s="26" t="s">
        <v>1721</v>
      </c>
      <c r="E104" s="26" t="s">
        <v>2889</v>
      </c>
      <c r="F104" s="26" t="str">
        <f t="shared" si="0"/>
        <v>Temporal Latin Origin</v>
      </c>
      <c r="G104" s="26">
        <f t="shared" si="1"/>
        <v>7</v>
      </c>
      <c r="H104" s="26" t="s">
        <v>3013</v>
      </c>
      <c r="I104" s="26"/>
      <c r="J104" s="26"/>
      <c r="K104" s="26"/>
      <c r="L104" s="26" t="str">
        <f t="shared" si="2"/>
        <v>P</v>
      </c>
      <c r="M104" s="26" t="str">
        <f>IFERROR(__xludf.DUMMYFUNCTION("GOOGLETRANSLATE(C104,""EN"",""KN"")"),"ಪ್ರಚೋದಿಸು")</f>
        <v>ಪ್ರಚೋದಿಸು</v>
      </c>
      <c r="N104" s="26">
        <f t="array" ref="N104">_xlfn.XLOOKUP(B104,'Sets Progress'!I:I,'Sets Progress'!I:I,"NOT YET")</f>
        <v>6</v>
      </c>
      <c r="O104" s="26" t="str">
        <f t="array" ref="O104">_xlfn.XLOOKUP(L:L,'Overall Progress'!L:L,'Overall Progress'!L:L,"NOT YET")</f>
        <v>NOT YET</v>
      </c>
      <c r="P104" s="26"/>
      <c r="Q104" s="26"/>
      <c r="R104" s="26"/>
      <c r="S104" s="26"/>
      <c r="T104" s="26"/>
      <c r="U104" s="26"/>
      <c r="V104" s="26"/>
      <c r="W104" s="26"/>
      <c r="X104" s="26"/>
      <c r="Y104" s="26"/>
      <c r="Z104" s="26"/>
    </row>
    <row r="105" hidden="1" customHeight="1" spans="1:26">
      <c r="A105" s="27">
        <v>1229</v>
      </c>
      <c r="B105" s="27">
        <v>6</v>
      </c>
      <c r="C105" s="27" t="s">
        <v>1560</v>
      </c>
      <c r="D105" s="27" t="s">
        <v>1721</v>
      </c>
      <c r="E105" s="27" t="s">
        <v>2911</v>
      </c>
      <c r="F105" s="27" t="str">
        <f t="shared" si="0"/>
        <v>Temporal French Origin</v>
      </c>
      <c r="G105" s="27">
        <f t="shared" si="1"/>
        <v>8</v>
      </c>
      <c r="H105" s="27" t="s">
        <v>3014</v>
      </c>
      <c r="I105" s="27"/>
      <c r="J105" s="27"/>
      <c r="K105" s="27"/>
      <c r="L105" s="27" t="str">
        <f t="shared" si="2"/>
        <v>R</v>
      </c>
      <c r="M105" s="27" t="str">
        <f>IFERROR(__xludf.DUMMYFUNCTION("GOOGLETRANSLATE(C105,""EN"",""KN"")"),"ಹಿಮ್ಮೆಟ್ಟುವಿಕೆ")</f>
        <v>ಹಿಮ್ಮೆಟ್ಟುವಿಕೆ</v>
      </c>
      <c r="N105" s="27">
        <f t="array" ref="N105">_xlfn.XLOOKUP(B105,'Sets Progress'!I:I,'Sets Progress'!I:I,"NOT YET")</f>
        <v>6</v>
      </c>
      <c r="O105" s="27" t="str">
        <f t="array" ref="O105">_xlfn.XLOOKUP(L:L,'Overall Progress'!L:L,'Overall Progress'!L:L,"NOT YET")</f>
        <v>NOT YET</v>
      </c>
      <c r="P105" s="27"/>
      <c r="Q105" s="27"/>
      <c r="R105" s="27"/>
      <c r="S105" s="27"/>
      <c r="T105" s="27"/>
      <c r="U105" s="27"/>
      <c r="V105" s="27"/>
      <c r="W105" s="27"/>
      <c r="X105" s="27"/>
      <c r="Y105" s="27"/>
      <c r="Z105" s="27"/>
    </row>
    <row r="106" hidden="1" customHeight="1" spans="1:26">
      <c r="A106" s="26">
        <v>3</v>
      </c>
      <c r="B106" s="26">
        <v>7</v>
      </c>
      <c r="C106" s="26" t="s">
        <v>372</v>
      </c>
      <c r="D106" s="26" t="s">
        <v>2928</v>
      </c>
      <c r="E106" s="26" t="s">
        <v>2889</v>
      </c>
      <c r="F106" s="26" t="str">
        <f t="shared" si="0"/>
        <v>Philosophical Latin Origin</v>
      </c>
      <c r="G106" s="26">
        <f t="shared" si="1"/>
        <v>8</v>
      </c>
      <c r="H106" s="26" t="s">
        <v>3015</v>
      </c>
      <c r="I106" s="26"/>
      <c r="J106" s="26"/>
      <c r="K106" s="26"/>
      <c r="L106" s="26" t="str">
        <f t="shared" si="2"/>
        <v>A</v>
      </c>
      <c r="M106" s="26" t="str">
        <f>IFERROR(__xludf.DUMMYFUNCTION("GOOGLETRANSLATE(C106,""EN"",""KN"")"),"ಅಸಹಜ")</f>
        <v>ಅಸಹಜ</v>
      </c>
      <c r="N106" s="26">
        <f t="array" ref="N106">_xlfn.XLOOKUP(B106,'Sets Progress'!I:I,'Sets Progress'!I:I,"NOT YET")</f>
        <v>7</v>
      </c>
      <c r="O106" s="26" t="str">
        <f t="array" ref="O106">_xlfn.XLOOKUP(L:L,'Overall Progress'!L:L,'Overall Progress'!L:L,"NOT YET")</f>
        <v>NOT YET</v>
      </c>
      <c r="P106" s="26"/>
      <c r="Q106" s="26"/>
      <c r="R106" s="26"/>
      <c r="S106" s="26"/>
      <c r="T106" s="26"/>
      <c r="U106" s="26"/>
      <c r="V106" s="26"/>
      <c r="W106" s="26"/>
      <c r="X106" s="26"/>
      <c r="Y106" s="26"/>
      <c r="Z106" s="26"/>
    </row>
    <row r="107" hidden="1" customHeight="1" spans="1:26">
      <c r="A107" s="27">
        <v>25</v>
      </c>
      <c r="B107" s="27">
        <v>7</v>
      </c>
      <c r="C107" s="27" t="s">
        <v>306</v>
      </c>
      <c r="D107" s="27" t="s">
        <v>3016</v>
      </c>
      <c r="E107" s="27" t="s">
        <v>2889</v>
      </c>
      <c r="F107" s="27" t="str">
        <f t="shared" si="0"/>
        <v>Taste Latin Origin</v>
      </c>
      <c r="G107" s="27">
        <f t="shared" si="1"/>
        <v>7</v>
      </c>
      <c r="H107" s="27" t="s">
        <v>3017</v>
      </c>
      <c r="I107" s="27"/>
      <c r="J107" s="27"/>
      <c r="K107" s="27"/>
      <c r="L107" s="27" t="str">
        <f t="shared" si="2"/>
        <v>A</v>
      </c>
      <c r="M107" s="27" t="str">
        <f>IFERROR(__xludf.DUMMYFUNCTION("GOOGLETRANSLATE(C107,""EN"",""KN"")"),"ಏಸರ್ಬಿಕ್")</f>
        <v>ಏಸರ್ಬಿಕ್</v>
      </c>
      <c r="N107" s="27">
        <f t="array" ref="N107">_xlfn.XLOOKUP(B107,'Sets Progress'!I:I,'Sets Progress'!I:I,"NOT YET")</f>
        <v>7</v>
      </c>
      <c r="O107" s="27" t="str">
        <f t="array" ref="O107">_xlfn.XLOOKUP(L:L,'Overall Progress'!L:L,'Overall Progress'!L:L,"NOT YET")</f>
        <v>NOT YET</v>
      </c>
      <c r="P107" s="27"/>
      <c r="Q107" s="27"/>
      <c r="R107" s="27"/>
      <c r="S107" s="27"/>
      <c r="T107" s="27"/>
      <c r="U107" s="27"/>
      <c r="V107" s="27"/>
      <c r="W107" s="27"/>
      <c r="X107" s="27"/>
      <c r="Y107" s="27"/>
      <c r="Z107" s="27"/>
    </row>
    <row r="108" hidden="1" customHeight="1" spans="1:26">
      <c r="A108" s="26">
        <v>90</v>
      </c>
      <c r="B108" s="26">
        <v>7</v>
      </c>
      <c r="C108" s="26" t="s">
        <v>441</v>
      </c>
      <c r="D108" s="26" t="s">
        <v>1721</v>
      </c>
      <c r="E108" s="26" t="s">
        <v>2893</v>
      </c>
      <c r="F108" s="26" t="str">
        <f t="shared" si="0"/>
        <v>Temporal Greek Origin</v>
      </c>
      <c r="G108" s="26">
        <f t="shared" si="1"/>
        <v>6</v>
      </c>
      <c r="H108" s="26" t="s">
        <v>3018</v>
      </c>
      <c r="I108" s="26"/>
      <c r="J108" s="26"/>
      <c r="K108" s="26"/>
      <c r="L108" s="26" t="str">
        <f t="shared" si="2"/>
        <v>A</v>
      </c>
      <c r="M108" s="26" t="str">
        <f>IFERROR(__xludf.DUMMYFUNCTION("GOOGLETRANSLATE(C108,""EN"",""KN"")"),"ಅಪೋಜಿ")</f>
        <v>ಅಪೋಜಿ</v>
      </c>
      <c r="N108" s="26">
        <f t="array" ref="N108">_xlfn.XLOOKUP(B108,'Sets Progress'!I:I,'Sets Progress'!I:I,"NOT YET")</f>
        <v>7</v>
      </c>
      <c r="O108" s="26" t="str">
        <f t="array" ref="O108">_xlfn.XLOOKUP(L:L,'Overall Progress'!L:L,'Overall Progress'!L:L,"NOT YET")</f>
        <v>NOT YET</v>
      </c>
      <c r="P108" s="26"/>
      <c r="Q108" s="26"/>
      <c r="R108" s="26"/>
      <c r="S108" s="26"/>
      <c r="T108" s="26"/>
      <c r="U108" s="26"/>
      <c r="V108" s="26"/>
      <c r="W108" s="26"/>
      <c r="X108" s="26"/>
      <c r="Y108" s="26"/>
      <c r="Z108" s="26"/>
    </row>
    <row r="109" hidden="1" customHeight="1" spans="1:26">
      <c r="A109" s="27">
        <v>207</v>
      </c>
      <c r="B109" s="27">
        <v>7</v>
      </c>
      <c r="C109" s="27" t="s">
        <v>557</v>
      </c>
      <c r="D109" s="27" t="s">
        <v>2946</v>
      </c>
      <c r="E109" s="27" t="s">
        <v>3019</v>
      </c>
      <c r="F109" s="27" t="str">
        <f t="shared" si="0"/>
        <v>Emotional Italian Origin</v>
      </c>
      <c r="G109" s="27">
        <f t="shared" si="1"/>
        <v>7</v>
      </c>
      <c r="H109" s="27" t="s">
        <v>3020</v>
      </c>
      <c r="I109" s="27"/>
      <c r="J109" s="27"/>
      <c r="K109" s="27"/>
      <c r="L109" s="27" t="str">
        <f t="shared" si="2"/>
        <v>C</v>
      </c>
      <c r="M109" s="27" t="str">
        <f>IFERROR(__xludf.DUMMYFUNCTION("GOOGLETRANSLATE(C109,""EN"",""KN"")"),"ಕ್ಯಾಪ್ರಿಸ್")</f>
        <v>ಕ್ಯಾಪ್ರಿಸ್</v>
      </c>
      <c r="N109" s="27">
        <f t="array" ref="N109">_xlfn.XLOOKUP(B109,'Sets Progress'!I:I,'Sets Progress'!I:I,"NOT YET")</f>
        <v>7</v>
      </c>
      <c r="O109" s="27" t="str">
        <f t="array" ref="O109">_xlfn.XLOOKUP(L:L,'Overall Progress'!L:L,'Overall Progress'!L:L,"NOT YET")</f>
        <v>NOT YET</v>
      </c>
      <c r="P109" s="27"/>
      <c r="Q109" s="27"/>
      <c r="R109" s="27"/>
      <c r="S109" s="27"/>
      <c r="T109" s="27"/>
      <c r="U109" s="27"/>
      <c r="V109" s="27"/>
      <c r="W109" s="27"/>
      <c r="X109" s="27"/>
      <c r="Y109" s="27"/>
      <c r="Z109" s="27"/>
    </row>
    <row r="110" hidden="1" customHeight="1" spans="1:26">
      <c r="A110" s="26">
        <v>257</v>
      </c>
      <c r="B110" s="26">
        <v>7</v>
      </c>
      <c r="C110" s="26" t="s">
        <v>610</v>
      </c>
      <c r="D110" s="26" t="s">
        <v>1721</v>
      </c>
      <c r="E110" s="26" t="s">
        <v>2889</v>
      </c>
      <c r="F110" s="26" t="str">
        <f t="shared" si="0"/>
        <v>Temporal Latin Origin</v>
      </c>
      <c r="G110" s="26">
        <f t="shared" si="1"/>
        <v>8</v>
      </c>
      <c r="H110" s="26" t="s">
        <v>3021</v>
      </c>
      <c r="I110" s="26"/>
      <c r="J110" s="26"/>
      <c r="K110" s="26"/>
      <c r="L110" s="26" t="str">
        <f t="shared" si="2"/>
        <v>C</v>
      </c>
      <c r="M110" s="26" t="str">
        <f>IFERROR(__xludf.DUMMYFUNCTION("GOOGLETRANSLATE(C110,""EN"",""KN"")"),"ಪ್ರಾರಂಭಿಸಿ")</f>
        <v>ಪ್ರಾರಂಭಿಸಿ</v>
      </c>
      <c r="N110" s="26">
        <f t="array" ref="N110">_xlfn.XLOOKUP(B110,'Sets Progress'!I:I,'Sets Progress'!I:I,"NOT YET")</f>
        <v>7</v>
      </c>
      <c r="O110" s="26" t="str">
        <f t="array" ref="O110">_xlfn.XLOOKUP(L:L,'Overall Progress'!L:L,'Overall Progress'!L:L,"NOT YET")</f>
        <v>NOT YET</v>
      </c>
      <c r="P110" s="26"/>
      <c r="Q110" s="26"/>
      <c r="R110" s="26"/>
      <c r="S110" s="26"/>
      <c r="T110" s="26"/>
      <c r="U110" s="26"/>
      <c r="V110" s="26"/>
      <c r="W110" s="26"/>
      <c r="X110" s="26"/>
      <c r="Y110" s="26"/>
      <c r="Z110" s="26"/>
    </row>
    <row r="111" hidden="1" customHeight="1" spans="1:26">
      <c r="A111" s="27">
        <v>510</v>
      </c>
      <c r="B111" s="27">
        <v>7</v>
      </c>
      <c r="C111" s="27" t="s">
        <v>859</v>
      </c>
      <c r="D111" s="27" t="s">
        <v>3022</v>
      </c>
      <c r="E111" s="27" t="s">
        <v>2908</v>
      </c>
      <c r="F111" s="27" t="str">
        <f t="shared" si="0"/>
        <v>Intellectual Old English Origin</v>
      </c>
      <c r="G111" s="27">
        <f t="shared" si="1"/>
        <v>9</v>
      </c>
      <c r="H111" s="27" t="s">
        <v>3023</v>
      </c>
      <c r="I111" s="27"/>
      <c r="J111" s="27"/>
      <c r="K111" s="27"/>
      <c r="L111" s="27" t="str">
        <f t="shared" si="2"/>
        <v>E</v>
      </c>
      <c r="M111" s="27" t="str">
        <f>IFERROR(__xludf.DUMMYFUNCTION("GOOGLETRANSLATE(C111,""EN"",""KN"")"),"ಜ್ಞಾನೋದಯ ಮಾಡು")</f>
        <v>ಜ್ಞಾನೋದಯ ಮಾಡು</v>
      </c>
      <c r="N111" s="27">
        <f t="array" ref="N111">_xlfn.XLOOKUP(B111,'Sets Progress'!I:I,'Sets Progress'!I:I,"NOT YET")</f>
        <v>7</v>
      </c>
      <c r="O111" s="27" t="str">
        <f t="array" ref="O111">_xlfn.XLOOKUP(L:L,'Overall Progress'!L:L,'Overall Progress'!L:L,"NOT YET")</f>
        <v>NOT YET</v>
      </c>
      <c r="P111" s="27"/>
      <c r="Q111" s="27"/>
      <c r="R111" s="27"/>
      <c r="S111" s="27"/>
      <c r="T111" s="27"/>
      <c r="U111" s="27"/>
      <c r="V111" s="27"/>
      <c r="W111" s="27"/>
      <c r="X111" s="27"/>
      <c r="Y111" s="27"/>
      <c r="Z111" s="27"/>
    </row>
    <row r="112" hidden="1" customHeight="1" spans="1:26">
      <c r="A112" s="26">
        <v>644</v>
      </c>
      <c r="B112" s="26">
        <v>7</v>
      </c>
      <c r="C112" s="26" t="s">
        <v>988</v>
      </c>
      <c r="D112" s="26" t="s">
        <v>3003</v>
      </c>
      <c r="E112" s="26" t="s">
        <v>2911</v>
      </c>
      <c r="F112" s="26" t="str">
        <f t="shared" si="0"/>
        <v>Linguistic French Origin</v>
      </c>
      <c r="G112" s="26">
        <f t="shared" si="1"/>
        <v>5</v>
      </c>
      <c r="H112" s="26" t="s">
        <v>3024</v>
      </c>
      <c r="I112" s="26"/>
      <c r="J112" s="26"/>
      <c r="K112" s="26" t="s">
        <v>3025</v>
      </c>
      <c r="L112" s="26" t="str">
        <f t="shared" si="2"/>
        <v>G</v>
      </c>
      <c r="M112" s="26" t="str">
        <f>IFERROR(__xludf.DUMMYFUNCTION("GOOGLETRANSLATE(C112,""EN"",""KN"")"),"ಗಫೆ")</f>
        <v>ಗಫೆ</v>
      </c>
      <c r="N112" s="26">
        <f t="array" ref="N112">_xlfn.XLOOKUP(B112,'Sets Progress'!I:I,'Sets Progress'!I:I,"NOT YET")</f>
        <v>7</v>
      </c>
      <c r="O112" s="26" t="str">
        <f t="array" ref="O112">_xlfn.XLOOKUP(L:L,'Overall Progress'!L:L,'Overall Progress'!L:L,"NOT YET")</f>
        <v>NOT YET</v>
      </c>
      <c r="P112" s="26"/>
      <c r="Q112" s="26"/>
      <c r="R112" s="26"/>
      <c r="S112" s="26"/>
      <c r="T112" s="26"/>
      <c r="U112" s="26"/>
      <c r="V112" s="26"/>
      <c r="W112" s="26"/>
      <c r="X112" s="26"/>
      <c r="Y112" s="26"/>
      <c r="Z112" s="26"/>
    </row>
    <row r="113" hidden="1" customHeight="1" spans="1:26">
      <c r="A113" s="27">
        <v>700</v>
      </c>
      <c r="B113" s="27">
        <v>7</v>
      </c>
      <c r="C113" s="27" t="s">
        <v>1042</v>
      </c>
      <c r="D113" s="27" t="s">
        <v>1721</v>
      </c>
      <c r="E113" s="27" t="s">
        <v>2893</v>
      </c>
      <c r="F113" s="27" t="str">
        <f t="shared" si="0"/>
        <v>Temporal Greek Origin</v>
      </c>
      <c r="G113" s="27">
        <f t="shared" si="1"/>
        <v>12</v>
      </c>
      <c r="H113" s="27" t="s">
        <v>3026</v>
      </c>
      <c r="I113" s="27"/>
      <c r="J113" s="27"/>
      <c r="K113" s="27"/>
      <c r="L113" s="27" t="str">
        <f t="shared" si="2"/>
        <v>I</v>
      </c>
      <c r="M113" s="27" t="str">
        <f>IFERROR(__xludf.DUMMYFUNCTION("GOOGLETRANSLATE(C113,""EN"",""KN"")"),"ಐಕಾನೊಕ್ಲಾಸ್ಟಿಕ್")</f>
        <v>ಐಕಾನೊಕ್ಲಾಸ್ಟಿಕ್</v>
      </c>
      <c r="N113" s="27">
        <f t="array" ref="N113">_xlfn.XLOOKUP(B113,'Sets Progress'!I:I,'Sets Progress'!I:I,"NOT YET")</f>
        <v>7</v>
      </c>
      <c r="O113" s="27" t="str">
        <f t="array" ref="O113">_xlfn.XLOOKUP(L:L,'Overall Progress'!L:L,'Overall Progress'!L:L,"NOT YET")</f>
        <v>NOT YET</v>
      </c>
      <c r="P113" s="27"/>
      <c r="Q113" s="27"/>
      <c r="R113" s="27"/>
      <c r="S113" s="27"/>
      <c r="T113" s="27"/>
      <c r="U113" s="27"/>
      <c r="V113" s="27"/>
      <c r="W113" s="27"/>
      <c r="X113" s="27"/>
      <c r="Y113" s="27"/>
      <c r="Z113" s="27"/>
    </row>
    <row r="114" hidden="1" customHeight="1" spans="1:26">
      <c r="A114" s="26">
        <v>705</v>
      </c>
      <c r="B114" s="26">
        <v>7</v>
      </c>
      <c r="C114" s="26" t="s">
        <v>1047</v>
      </c>
      <c r="D114" s="26" t="s">
        <v>1721</v>
      </c>
      <c r="E114" s="26" t="s">
        <v>2921</v>
      </c>
      <c r="F114" s="26" t="str">
        <f t="shared" si="0"/>
        <v>Temporal Unknown Origin</v>
      </c>
      <c r="G114" s="26">
        <f t="shared" si="1"/>
        <v>7</v>
      </c>
      <c r="H114" s="26" t="s">
        <v>3027</v>
      </c>
      <c r="I114" s="26"/>
      <c r="J114" s="26"/>
      <c r="K114" s="26"/>
      <c r="L114" s="26" t="str">
        <f t="shared" si="2"/>
        <v>I</v>
      </c>
      <c r="M114" s="26" t="str">
        <f>IFERROR(__xludf.DUMMYFUNCTION("GOOGLETRANSLATE(C114,""EN"",""KN"")"),"ಐಡಿಲಿಕ್")</f>
        <v>ಐಡಿಲಿಕ್</v>
      </c>
      <c r="N114" s="26">
        <f t="array" ref="N114">_xlfn.XLOOKUP(B114,'Sets Progress'!I:I,'Sets Progress'!I:I,"NOT YET")</f>
        <v>7</v>
      </c>
      <c r="O114" s="26" t="str">
        <f t="array" ref="O114">_xlfn.XLOOKUP(L:L,'Overall Progress'!L:L,'Overall Progress'!L:L,"NOT YET")</f>
        <v>NOT YET</v>
      </c>
      <c r="P114" s="26"/>
      <c r="Q114" s="26"/>
      <c r="R114" s="26"/>
      <c r="S114" s="26"/>
      <c r="T114" s="26"/>
      <c r="U114" s="26"/>
      <c r="V114" s="26"/>
      <c r="W114" s="26"/>
      <c r="X114" s="26"/>
      <c r="Y114" s="26"/>
      <c r="Z114" s="26"/>
    </row>
    <row r="115" hidden="1" customHeight="1" spans="1:26">
      <c r="A115" s="27">
        <v>706</v>
      </c>
      <c r="B115" s="27">
        <v>7</v>
      </c>
      <c r="C115" s="27" t="s">
        <v>1048</v>
      </c>
      <c r="D115" s="27" t="s">
        <v>1721</v>
      </c>
      <c r="E115" s="27" t="s">
        <v>2889</v>
      </c>
      <c r="F115" s="27" t="str">
        <f t="shared" si="0"/>
        <v>Temporal Latin Origin</v>
      </c>
      <c r="G115" s="27">
        <f t="shared" si="1"/>
        <v>9</v>
      </c>
      <c r="H115" s="27" t="s">
        <v>3028</v>
      </c>
      <c r="I115" s="27"/>
      <c r="J115" s="27"/>
      <c r="K115" s="27"/>
      <c r="L115" s="27" t="str">
        <f t="shared" si="2"/>
        <v>I</v>
      </c>
      <c r="M115" s="27" t="str">
        <f>IFERROR(__xludf.DUMMYFUNCTION("GOOGLETRANSLATE(C115,""EN"",""KN"")"),"ಇಲಿಬರಲ್")</f>
        <v>ಇಲಿಬರಲ್</v>
      </c>
      <c r="N115" s="27">
        <f t="array" ref="N115">_xlfn.XLOOKUP(B115,'Sets Progress'!I:I,'Sets Progress'!I:I,"NOT YET")</f>
        <v>7</v>
      </c>
      <c r="O115" s="27" t="str">
        <f t="array" ref="O115">_xlfn.XLOOKUP(L:L,'Overall Progress'!L:L,'Overall Progress'!L:L,"NOT YET")</f>
        <v>NOT YET</v>
      </c>
      <c r="P115" s="27"/>
      <c r="Q115" s="27"/>
      <c r="R115" s="27"/>
      <c r="S115" s="27"/>
      <c r="T115" s="27"/>
      <c r="U115" s="27"/>
      <c r="V115" s="27"/>
      <c r="W115" s="27"/>
      <c r="X115" s="27"/>
      <c r="Y115" s="27"/>
      <c r="Z115" s="27"/>
    </row>
    <row r="116" hidden="1" customHeight="1" spans="1:26">
      <c r="A116" s="26">
        <v>813</v>
      </c>
      <c r="B116" s="26">
        <v>7</v>
      </c>
      <c r="C116" s="26" t="s">
        <v>1153</v>
      </c>
      <c r="D116" s="26" t="s">
        <v>2717</v>
      </c>
      <c r="E116" s="26" t="s">
        <v>2889</v>
      </c>
      <c r="F116" s="26" t="str">
        <f t="shared" si="0"/>
        <v>Positive Traits Latin Origin</v>
      </c>
      <c r="G116" s="26">
        <f t="shared" si="1"/>
        <v>8</v>
      </c>
      <c r="H116" s="26" t="s">
        <v>3029</v>
      </c>
      <c r="I116" s="26"/>
      <c r="J116" s="26"/>
      <c r="K116" s="26"/>
      <c r="L116" s="26" t="str">
        <f t="shared" si="2"/>
        <v>I</v>
      </c>
      <c r="M116" s="26" t="str">
        <f>IFERROR(__xludf.DUMMYFUNCTION("GOOGLETRANSLATE(C116,""EN"",""KN"")"),"ನಿರ್ಭೀತ")</f>
        <v>ನಿರ್ಭೀತ</v>
      </c>
      <c r="N116" s="26">
        <f t="array" ref="N116">_xlfn.XLOOKUP(B116,'Sets Progress'!I:I,'Sets Progress'!I:I,"NOT YET")</f>
        <v>7</v>
      </c>
      <c r="O116" s="26" t="str">
        <f t="array" ref="O116">_xlfn.XLOOKUP(L:L,'Overall Progress'!L:L,'Overall Progress'!L:L,"NOT YET")</f>
        <v>NOT YET</v>
      </c>
      <c r="P116" s="26"/>
      <c r="Q116" s="26"/>
      <c r="R116" s="26"/>
      <c r="S116" s="26"/>
      <c r="T116" s="26"/>
      <c r="U116" s="26"/>
      <c r="V116" s="26"/>
      <c r="W116" s="26"/>
      <c r="X116" s="26"/>
      <c r="Y116" s="26"/>
      <c r="Z116" s="26"/>
    </row>
    <row r="117" hidden="1" customHeight="1" spans="1:26">
      <c r="A117" s="27">
        <v>892</v>
      </c>
      <c r="B117" s="27">
        <v>7</v>
      </c>
      <c r="C117" s="27" t="s">
        <v>1229</v>
      </c>
      <c r="D117" s="27" t="s">
        <v>1721</v>
      </c>
      <c r="E117" s="27" t="s">
        <v>2889</v>
      </c>
      <c r="F117" s="27" t="str">
        <f t="shared" si="0"/>
        <v>Temporal Latin Origin</v>
      </c>
      <c r="G117" s="27">
        <f t="shared" si="1"/>
        <v>11</v>
      </c>
      <c r="H117" s="27" t="s">
        <v>3030</v>
      </c>
      <c r="I117" s="27"/>
      <c r="J117" s="27"/>
      <c r="K117" s="27"/>
      <c r="L117" s="27" t="str">
        <f t="shared" si="2"/>
        <v>M</v>
      </c>
      <c r="M117" s="27" t="str">
        <f>IFERROR(__xludf.DUMMYFUNCTION("GOOGLETRANSLATE(C117,""EN"",""KN"")"),"ಅಂಚಿನಲ್ಲಿದೆ")</f>
        <v>ಅಂಚಿನಲ್ಲಿದೆ</v>
      </c>
      <c r="N117" s="27">
        <f t="array" ref="N117">_xlfn.XLOOKUP(B117,'Sets Progress'!I:I,'Sets Progress'!I:I,"NOT YET")</f>
        <v>7</v>
      </c>
      <c r="O117" s="27" t="str">
        <f t="array" ref="O117">_xlfn.XLOOKUP(L:L,'Overall Progress'!L:L,'Overall Progress'!L:L,"NOT YET")</f>
        <v>NOT YET</v>
      </c>
      <c r="P117" s="27"/>
      <c r="Q117" s="27"/>
      <c r="R117" s="27"/>
      <c r="S117" s="27"/>
      <c r="T117" s="27"/>
      <c r="U117" s="27"/>
      <c r="V117" s="27"/>
      <c r="W117" s="27"/>
      <c r="X117" s="27"/>
      <c r="Y117" s="27"/>
      <c r="Z117" s="27"/>
    </row>
    <row r="118" hidden="1" customHeight="1" spans="1:26">
      <c r="A118" s="26">
        <v>977</v>
      </c>
      <c r="B118" s="26">
        <v>7</v>
      </c>
      <c r="C118" s="26" t="s">
        <v>1313</v>
      </c>
      <c r="D118" s="26" t="s">
        <v>1721</v>
      </c>
      <c r="E118" s="26" t="s">
        <v>2889</v>
      </c>
      <c r="F118" s="26" t="str">
        <f t="shared" si="0"/>
        <v>Temporal Latin Origin</v>
      </c>
      <c r="G118" s="26">
        <f t="shared" si="1"/>
        <v>7</v>
      </c>
      <c r="H118" s="26" t="s">
        <v>3031</v>
      </c>
      <c r="I118" s="26"/>
      <c r="J118" s="26"/>
      <c r="K118" s="26"/>
      <c r="L118" s="26" t="str">
        <f t="shared" si="2"/>
        <v>O</v>
      </c>
      <c r="M118" s="26" t="str">
        <f>IFERROR(__xludf.DUMMYFUNCTION("GOOGLETRANSLATE(C118,""EN"",""KN"")"),"ತೊಡೆದುಹಾಕು")</f>
        <v>ತೊಡೆದುಹಾಕು</v>
      </c>
      <c r="N118" s="26">
        <f t="array" ref="N118">_xlfn.XLOOKUP(B118,'Sets Progress'!I:I,'Sets Progress'!I:I,"NOT YET")</f>
        <v>7</v>
      </c>
      <c r="O118" s="26" t="str">
        <f t="array" ref="O118">_xlfn.XLOOKUP(L:L,'Overall Progress'!L:L,'Overall Progress'!L:L,"NOT YET")</f>
        <v>NOT YET</v>
      </c>
      <c r="P118" s="26"/>
      <c r="Q118" s="26"/>
      <c r="R118" s="26"/>
      <c r="S118" s="26"/>
      <c r="T118" s="26"/>
      <c r="U118" s="26"/>
      <c r="V118" s="26"/>
      <c r="W118" s="26"/>
      <c r="X118" s="26"/>
      <c r="Y118" s="26"/>
      <c r="Z118" s="26"/>
    </row>
    <row r="119" hidden="1" customHeight="1" spans="1:26">
      <c r="A119" s="27">
        <v>995</v>
      </c>
      <c r="B119" s="27">
        <v>7</v>
      </c>
      <c r="C119" s="27" t="s">
        <v>1330</v>
      </c>
      <c r="D119" s="27" t="s">
        <v>1721</v>
      </c>
      <c r="E119" s="27" t="s">
        <v>2896</v>
      </c>
      <c r="F119" s="27" t="str">
        <f t="shared" si="0"/>
        <v>Temporal Old French Origin</v>
      </c>
      <c r="G119" s="27">
        <f t="shared" si="1"/>
        <v>4</v>
      </c>
      <c r="H119" s="27" t="s">
        <v>3032</v>
      </c>
      <c r="I119" s="27"/>
      <c r="J119" s="27"/>
      <c r="K119" s="27"/>
      <c r="L119" s="27" t="str">
        <f t="shared" si="2"/>
        <v>O</v>
      </c>
      <c r="M119" s="27" t="str">
        <f>IFERROR(__xludf.DUMMYFUNCTION("GOOGLETRANSLATE(C119,""EN"",""KN"")"),"ಹೊರಹಾಕಿ")</f>
        <v>ಹೊರಹಾಕಿ</v>
      </c>
      <c r="N119" s="27">
        <f t="array" ref="N119">_xlfn.XLOOKUP(B119,'Sets Progress'!I:I,'Sets Progress'!I:I,"NOT YET")</f>
        <v>7</v>
      </c>
      <c r="O119" s="27" t="str">
        <f t="array" ref="O119">_xlfn.XLOOKUP(L:L,'Overall Progress'!L:L,'Overall Progress'!L:L,"NOT YET")</f>
        <v>NOT YET</v>
      </c>
      <c r="P119" s="27"/>
      <c r="Q119" s="27"/>
      <c r="R119" s="27"/>
      <c r="S119" s="27"/>
      <c r="T119" s="27"/>
      <c r="U119" s="27"/>
      <c r="V119" s="27"/>
      <c r="W119" s="27"/>
      <c r="X119" s="27"/>
      <c r="Y119" s="27"/>
      <c r="Z119" s="27"/>
    </row>
    <row r="120" hidden="1" customHeight="1" spans="1:26">
      <c r="A120" s="26">
        <v>1039</v>
      </c>
      <c r="B120" s="26">
        <v>7</v>
      </c>
      <c r="C120" s="26" t="s">
        <v>1374</v>
      </c>
      <c r="D120" s="26" t="s">
        <v>2716</v>
      </c>
      <c r="E120" s="26" t="s">
        <v>2889</v>
      </c>
      <c r="F120" s="26" t="str">
        <f t="shared" si="0"/>
        <v>Negative Traits Latin Origin</v>
      </c>
      <c r="G120" s="26">
        <f t="shared" si="1"/>
        <v>9</v>
      </c>
      <c r="H120" s="26" t="s">
        <v>3033</v>
      </c>
      <c r="I120" s="26"/>
      <c r="J120" s="26"/>
      <c r="K120" s="26"/>
      <c r="L120" s="26" t="str">
        <f t="shared" si="2"/>
        <v>P</v>
      </c>
      <c r="M120" s="26" t="str">
        <f>IFERROR(__xludf.DUMMYFUNCTION("GOOGLETRANSLATE(C120,""EN"",""KN"")"),"ಪೆನ್ಯೂರಿಯಸ್")</f>
        <v>ಪೆನ್ಯೂರಿಯಸ್</v>
      </c>
      <c r="N120" s="26">
        <f t="array" ref="N120">_xlfn.XLOOKUP(B120,'Sets Progress'!I:I,'Sets Progress'!I:I,"NOT YET")</f>
        <v>7</v>
      </c>
      <c r="O120" s="26" t="str">
        <f t="array" ref="O120">_xlfn.XLOOKUP(L:L,'Overall Progress'!L:L,'Overall Progress'!L:L,"NOT YET")</f>
        <v>NOT YET</v>
      </c>
      <c r="P120" s="26"/>
      <c r="Q120" s="26"/>
      <c r="R120" s="26"/>
      <c r="S120" s="26"/>
      <c r="T120" s="26"/>
      <c r="U120" s="26"/>
      <c r="V120" s="26"/>
      <c r="W120" s="26"/>
      <c r="X120" s="26"/>
      <c r="Y120" s="26"/>
      <c r="Z120" s="26"/>
    </row>
    <row r="121" hidden="1" customHeight="1" spans="1:26">
      <c r="A121" s="27">
        <v>1334</v>
      </c>
      <c r="B121" s="27">
        <v>7</v>
      </c>
      <c r="C121" s="27" t="s">
        <v>1665</v>
      </c>
      <c r="D121" s="27" t="s">
        <v>2716</v>
      </c>
      <c r="E121" s="27" t="s">
        <v>2908</v>
      </c>
      <c r="F121" s="27" t="str">
        <f t="shared" si="0"/>
        <v>Negative Traits Old English Origin</v>
      </c>
      <c r="G121" s="27">
        <f t="shared" si="1"/>
        <v>6</v>
      </c>
      <c r="H121" s="27" t="s">
        <v>3034</v>
      </c>
      <c r="I121" s="27"/>
      <c r="J121" s="27"/>
      <c r="K121" s="27"/>
      <c r="L121" s="27" t="str">
        <f t="shared" si="2"/>
        <v>S</v>
      </c>
      <c r="M121" s="27" t="str">
        <f>IFERROR(__xludf.DUMMYFUNCTION("GOOGLETRANSLATE(C121,""EN"",""KN"")"),"ಕಲಹ")</f>
        <v>ಕಲಹ</v>
      </c>
      <c r="N121" s="27">
        <f t="array" ref="N121">_xlfn.XLOOKUP(B121,'Sets Progress'!I:I,'Sets Progress'!I:I,"NOT YET")</f>
        <v>7</v>
      </c>
      <c r="O121" s="27" t="str">
        <f t="array" ref="O121">_xlfn.XLOOKUP(L:L,'Overall Progress'!L:L,'Overall Progress'!L:L,"NOT YET")</f>
        <v>NOT YET</v>
      </c>
      <c r="P121" s="27"/>
      <c r="Q121" s="27"/>
      <c r="R121" s="27"/>
      <c r="S121" s="27"/>
      <c r="T121" s="27"/>
      <c r="U121" s="27"/>
      <c r="V121" s="27"/>
      <c r="W121" s="27"/>
      <c r="X121" s="27"/>
      <c r="Y121" s="27"/>
      <c r="Z121" s="27"/>
    </row>
    <row r="122" hidden="1" customHeight="1" spans="1:26">
      <c r="A122" s="26">
        <v>1358</v>
      </c>
      <c r="B122" s="26">
        <v>7</v>
      </c>
      <c r="C122" s="26" t="s">
        <v>1689</v>
      </c>
      <c r="D122" s="26" t="s">
        <v>2716</v>
      </c>
      <c r="E122" s="26" t="s">
        <v>2889</v>
      </c>
      <c r="F122" s="26" t="str">
        <f t="shared" si="0"/>
        <v>Negative Traits Latin Origin</v>
      </c>
      <c r="G122" s="26">
        <f t="shared" si="1"/>
        <v>7</v>
      </c>
      <c r="H122" s="26" t="s">
        <v>3035</v>
      </c>
      <c r="I122" s="26"/>
      <c r="J122" s="26"/>
      <c r="K122" s="26"/>
      <c r="L122" s="26" t="str">
        <f t="shared" si="2"/>
        <v>S</v>
      </c>
      <c r="M122" s="26" t="str">
        <f>IFERROR(__xludf.DUMMYFUNCTION("GOOGLETRANSLATE(C122,""EN"",""KN"")"),"ಸರ್ಫೀಟ್")</f>
        <v>ಸರ್ಫೀಟ್</v>
      </c>
      <c r="N122" s="26">
        <f t="array" ref="N122">_xlfn.XLOOKUP(B122,'Sets Progress'!I:I,'Sets Progress'!I:I,"NOT YET")</f>
        <v>7</v>
      </c>
      <c r="O122" s="26" t="str">
        <f t="array" ref="O122">_xlfn.XLOOKUP(L:L,'Overall Progress'!L:L,'Overall Progress'!L:L,"NOT YET")</f>
        <v>NOT YET</v>
      </c>
      <c r="P122" s="26"/>
      <c r="Q122" s="26"/>
      <c r="R122" s="26"/>
      <c r="S122" s="26"/>
      <c r="T122" s="26"/>
      <c r="U122" s="26"/>
      <c r="V122" s="26"/>
      <c r="W122" s="26"/>
      <c r="X122" s="26"/>
      <c r="Y122" s="26"/>
      <c r="Z122" s="26"/>
    </row>
    <row r="123" hidden="1" customHeight="1" spans="1:26">
      <c r="A123" s="27">
        <v>1415</v>
      </c>
      <c r="B123" s="27">
        <v>7</v>
      </c>
      <c r="C123" s="27" t="s">
        <v>1746</v>
      </c>
      <c r="D123" s="27" t="s">
        <v>2717</v>
      </c>
      <c r="E123" s="27" t="s">
        <v>2889</v>
      </c>
      <c r="F123" s="27" t="str">
        <f t="shared" si="0"/>
        <v>Positive Traits Latin Origin</v>
      </c>
      <c r="G123" s="27">
        <f t="shared" si="1"/>
        <v>9</v>
      </c>
      <c r="H123" s="27" t="s">
        <v>3036</v>
      </c>
      <c r="I123" s="27"/>
      <c r="J123" s="27"/>
      <c r="K123" s="27"/>
      <c r="L123" s="27" t="str">
        <f t="shared" si="2"/>
        <v>T</v>
      </c>
      <c r="M123" s="27" t="str">
        <f>IFERROR(__xludf.DUMMYFUNCTION("GOOGLETRANSLATE(C123,""EN"",""KN"")"),"ಟ್ರ್ಯಾಕ್ ಮಾಡಬಹುದಾದ")</f>
        <v>ಟ್ರ್ಯಾಕ್ ಮಾಡಬಹುದಾದ</v>
      </c>
      <c r="N123" s="27">
        <f t="array" ref="N123">_xlfn.XLOOKUP(B123,'Sets Progress'!I:I,'Sets Progress'!I:I,"NOT YET")</f>
        <v>7</v>
      </c>
      <c r="O123" s="27" t="str">
        <f t="array" ref="O123">_xlfn.XLOOKUP(L:L,'Overall Progress'!L:L,'Overall Progress'!L:L,"NOT YET")</f>
        <v>NOT YET</v>
      </c>
      <c r="P123" s="27"/>
      <c r="Q123" s="27"/>
      <c r="R123" s="27"/>
      <c r="S123" s="27"/>
      <c r="T123" s="27"/>
      <c r="U123" s="27"/>
      <c r="V123" s="27"/>
      <c r="W123" s="27"/>
      <c r="X123" s="27"/>
      <c r="Y123" s="27"/>
      <c r="Z123" s="27"/>
    </row>
    <row r="124" hidden="1" customHeight="1" spans="1:26">
      <c r="A124" s="26">
        <v>24</v>
      </c>
      <c r="B124" s="26">
        <v>8</v>
      </c>
      <c r="C124" s="26" t="s">
        <v>298</v>
      </c>
      <c r="D124" s="26" t="s">
        <v>2717</v>
      </c>
      <c r="E124" s="26" t="s">
        <v>2896</v>
      </c>
      <c r="F124" s="26" t="str">
        <f t="shared" si="0"/>
        <v>Positive Traits Old French Origin</v>
      </c>
      <c r="G124" s="26">
        <f t="shared" si="1"/>
        <v>6</v>
      </c>
      <c r="H124" s="26" t="s">
        <v>3037</v>
      </c>
      <c r="I124" s="26"/>
      <c r="J124" s="26"/>
      <c r="K124" s="26"/>
      <c r="L124" s="26" t="str">
        <f t="shared" si="2"/>
        <v>A</v>
      </c>
      <c r="M124" s="26" t="str">
        <f>IFERROR(__xludf.DUMMYFUNCTION("GOOGLETRANSLATE(C124,""EN"",""KN"")"),"ಅಕಾರ್ಡ್")</f>
        <v>ಅಕಾರ್ಡ್</v>
      </c>
      <c r="N124" s="26">
        <f t="array" ref="N124">_xlfn.XLOOKUP(B124,'Sets Progress'!I:I,'Sets Progress'!I:I,"NOT YET")</f>
        <v>8</v>
      </c>
      <c r="O124" s="26" t="str">
        <f t="array" ref="O124">_xlfn.XLOOKUP(L:L,'Overall Progress'!L:L,'Overall Progress'!L:L,"NOT YET")</f>
        <v>NOT YET</v>
      </c>
      <c r="P124" s="26"/>
      <c r="Q124" s="26"/>
      <c r="R124" s="26"/>
      <c r="S124" s="26"/>
      <c r="T124" s="26"/>
      <c r="U124" s="26"/>
      <c r="V124" s="26"/>
      <c r="W124" s="26"/>
      <c r="X124" s="26"/>
      <c r="Y124" s="26"/>
      <c r="Z124" s="26"/>
    </row>
    <row r="125" hidden="1" customHeight="1" spans="1:26">
      <c r="A125" s="27">
        <v>36</v>
      </c>
      <c r="B125" s="27">
        <v>8</v>
      </c>
      <c r="C125" s="27" t="s">
        <v>394</v>
      </c>
      <c r="D125" s="27" t="s">
        <v>2928</v>
      </c>
      <c r="E125" s="27" t="s">
        <v>2889</v>
      </c>
      <c r="F125" s="27" t="str">
        <f t="shared" si="0"/>
        <v>Philosophical Latin Origin</v>
      </c>
      <c r="G125" s="27">
        <f t="shared" si="1"/>
        <v>8</v>
      </c>
      <c r="H125" s="27" t="s">
        <v>3038</v>
      </c>
      <c r="I125" s="27"/>
      <c r="J125" s="27"/>
      <c r="K125" s="27"/>
      <c r="L125" s="27" t="str">
        <f t="shared" si="2"/>
        <v>A</v>
      </c>
      <c r="M125" s="27" t="str">
        <f>IFERROR(__xludf.DUMMYFUNCTION("GOOGLETRANSLATE(C125,""EN"",""KN"")"),"ತಾಕೀತು ಮಾಡಿ")</f>
        <v>ತಾಕೀತು ಮಾಡಿ</v>
      </c>
      <c r="N125" s="27">
        <f t="array" ref="N125">_xlfn.XLOOKUP(B125,'Sets Progress'!I:I,'Sets Progress'!I:I,"NOT YET")</f>
        <v>8</v>
      </c>
      <c r="O125" s="27" t="str">
        <f t="array" ref="O125">_xlfn.XLOOKUP(L:L,'Overall Progress'!L:L,'Overall Progress'!L:L,"NOT YET")</f>
        <v>NOT YET</v>
      </c>
      <c r="P125" s="27"/>
      <c r="Q125" s="27"/>
      <c r="R125" s="27"/>
      <c r="S125" s="27"/>
      <c r="T125" s="27"/>
      <c r="U125" s="27"/>
      <c r="V125" s="27"/>
      <c r="W125" s="27"/>
      <c r="X125" s="27"/>
      <c r="Y125" s="27"/>
      <c r="Z125" s="27"/>
    </row>
    <row r="126" hidden="1" customHeight="1" spans="1:26">
      <c r="A126" s="26">
        <v>270</v>
      </c>
      <c r="B126" s="26">
        <v>8</v>
      </c>
      <c r="C126" s="26" t="s">
        <v>623</v>
      </c>
      <c r="D126" s="26" t="s">
        <v>2717</v>
      </c>
      <c r="E126" s="26" t="s">
        <v>2911</v>
      </c>
      <c r="F126" s="26" t="str">
        <f t="shared" si="0"/>
        <v>Positive Traits French Origin</v>
      </c>
      <c r="G126" s="26">
        <f t="shared" si="1"/>
        <v>13</v>
      </c>
      <c r="H126" s="26" t="s">
        <v>3039</v>
      </c>
      <c r="I126" s="26"/>
      <c r="J126" s="26"/>
      <c r="K126" s="26"/>
      <c r="L126" s="26" t="str">
        <f t="shared" si="2"/>
        <v>C</v>
      </c>
      <c r="M126" s="26" t="str">
        <f>IFERROR(__xludf.DUMMYFUNCTION("GOOGLETRANSLATE(C126,""EN"",""KN"")"),"ಪೂರಕ")</f>
        <v>ಪೂರಕ</v>
      </c>
      <c r="N126" s="26">
        <f t="array" ref="N126">_xlfn.XLOOKUP(B126,'Sets Progress'!I:I,'Sets Progress'!I:I,"NOT YET")</f>
        <v>8</v>
      </c>
      <c r="O126" s="26" t="str">
        <f t="array" ref="O126">_xlfn.XLOOKUP(L:L,'Overall Progress'!L:L,'Overall Progress'!L:L,"NOT YET")</f>
        <v>NOT YET</v>
      </c>
      <c r="P126" s="26"/>
      <c r="Q126" s="26"/>
      <c r="R126" s="26"/>
      <c r="S126" s="26"/>
      <c r="T126" s="26"/>
      <c r="U126" s="26"/>
      <c r="V126" s="26"/>
      <c r="W126" s="26"/>
      <c r="X126" s="26"/>
      <c r="Y126" s="26"/>
      <c r="Z126" s="26"/>
    </row>
    <row r="127" hidden="1" customHeight="1" spans="1:26">
      <c r="A127" s="27">
        <v>325</v>
      </c>
      <c r="B127" s="27">
        <v>8</v>
      </c>
      <c r="C127" s="27" t="s">
        <v>675</v>
      </c>
      <c r="D127" s="27" t="s">
        <v>2892</v>
      </c>
      <c r="E127" s="27" t="s">
        <v>2908</v>
      </c>
      <c r="F127" s="27" t="str">
        <f t="shared" si="0"/>
        <v>Spatial Old English Origin</v>
      </c>
      <c r="G127" s="27">
        <f t="shared" si="1"/>
        <v>5</v>
      </c>
      <c r="H127" s="27" t="s">
        <v>3040</v>
      </c>
      <c r="I127" s="27"/>
      <c r="J127" s="27"/>
      <c r="K127" s="27"/>
      <c r="L127" s="27" t="str">
        <f t="shared" si="2"/>
        <v>C</v>
      </c>
      <c r="M127" s="27" t="str">
        <f>IFERROR(__xludf.DUMMYFUNCTION("GOOGLETRANSLATE(C127,""EN"",""KN"")"),"ಕ್ರಾಫ್ಟ್")</f>
        <v>ಕ್ರಾಫ್ಟ್</v>
      </c>
      <c r="N127" s="27">
        <f t="array" ref="N127">_xlfn.XLOOKUP(B127,'Sets Progress'!I:I,'Sets Progress'!I:I,"NOT YET")</f>
        <v>8</v>
      </c>
      <c r="O127" s="27" t="str">
        <f t="array" ref="O127">_xlfn.XLOOKUP(L:L,'Overall Progress'!L:L,'Overall Progress'!L:L,"NOT YET")</f>
        <v>NOT YET</v>
      </c>
      <c r="P127" s="27"/>
      <c r="Q127" s="27"/>
      <c r="R127" s="27"/>
      <c r="S127" s="27"/>
      <c r="T127" s="27"/>
      <c r="U127" s="27"/>
      <c r="V127" s="27"/>
      <c r="W127" s="27"/>
      <c r="X127" s="27"/>
      <c r="Y127" s="27"/>
      <c r="Z127" s="27"/>
    </row>
    <row r="128" hidden="1" customHeight="1" spans="1:26">
      <c r="A128" s="26">
        <v>348</v>
      </c>
      <c r="B128" s="26">
        <v>8</v>
      </c>
      <c r="C128" s="26" t="s">
        <v>698</v>
      </c>
      <c r="D128" s="26" t="s">
        <v>2716</v>
      </c>
      <c r="E128" s="26" t="s">
        <v>2889</v>
      </c>
      <c r="F128" s="26" t="str">
        <f t="shared" si="0"/>
        <v>Negative Traits Latin Origin</v>
      </c>
      <c r="G128" s="26">
        <f t="shared" si="1"/>
        <v>12</v>
      </c>
      <c r="H128" s="26" t="s">
        <v>3041</v>
      </c>
      <c r="I128" s="26"/>
      <c r="J128" s="26"/>
      <c r="K128" s="26"/>
      <c r="L128" s="26" t="str">
        <f t="shared" si="2"/>
        <v>D</v>
      </c>
      <c r="M128" s="26" t="str">
        <f>IFERROR(__xludf.DUMMYFUNCTION("GOOGLETRANSLATE(C128,""EN"",""KN"")"),"ದುರ್ಬಲಗೊಳಿಸುವುದು")</f>
        <v>ದುರ್ಬಲಗೊಳಿಸುವುದು</v>
      </c>
      <c r="N128" s="26">
        <f t="array" ref="N128">_xlfn.XLOOKUP(B128,'Sets Progress'!I:I,'Sets Progress'!I:I,"NOT YET")</f>
        <v>8</v>
      </c>
      <c r="O128" s="26" t="str">
        <f t="array" ref="O128">_xlfn.XLOOKUP(L:L,'Overall Progress'!L:L,'Overall Progress'!L:L,"NOT YET")</f>
        <v>NOT YET</v>
      </c>
      <c r="P128" s="26"/>
      <c r="Q128" s="26"/>
      <c r="R128" s="26"/>
      <c r="S128" s="26"/>
      <c r="T128" s="26"/>
      <c r="U128" s="26"/>
      <c r="V128" s="26"/>
      <c r="W128" s="26"/>
      <c r="X128" s="26"/>
      <c r="Y128" s="26"/>
      <c r="Z128" s="26"/>
    </row>
    <row r="129" hidden="1" customHeight="1" spans="1:26">
      <c r="A129" s="27">
        <v>649</v>
      </c>
      <c r="B129" s="27">
        <v>8</v>
      </c>
      <c r="C129" s="27" t="s">
        <v>992</v>
      </c>
      <c r="D129" s="27" t="s">
        <v>1721</v>
      </c>
      <c r="E129" s="27" t="s">
        <v>2911</v>
      </c>
      <c r="F129" s="27" t="str">
        <f t="shared" si="0"/>
        <v>Temporal French Origin</v>
      </c>
      <c r="G129" s="27">
        <f t="shared" si="1"/>
        <v>6</v>
      </c>
      <c r="H129" s="27" t="s">
        <v>3042</v>
      </c>
      <c r="I129" s="27"/>
      <c r="J129" s="27" t="s">
        <v>3043</v>
      </c>
      <c r="K129" s="27"/>
      <c r="L129" s="27" t="str">
        <f t="shared" si="2"/>
        <v>G</v>
      </c>
      <c r="M129" s="27" t="str">
        <f>IFERROR(__xludf.DUMMYFUNCTION("GOOGLETRANSLATE(C129,""EN"",""KN"")"),"ಗೌಚೆ")</f>
        <v>ಗೌಚೆ</v>
      </c>
      <c r="N129" s="27">
        <f t="array" ref="N129">_xlfn.XLOOKUP(B129,'Sets Progress'!I:I,'Sets Progress'!I:I,"NOT YET")</f>
        <v>8</v>
      </c>
      <c r="O129" s="27" t="str">
        <f t="array" ref="O129">_xlfn.XLOOKUP(L:L,'Overall Progress'!L:L,'Overall Progress'!L:L,"NOT YET")</f>
        <v>NOT YET</v>
      </c>
      <c r="P129" s="27"/>
      <c r="Q129" s="27"/>
      <c r="R129" s="27"/>
      <c r="S129" s="27"/>
      <c r="T129" s="27"/>
      <c r="U129" s="27"/>
      <c r="V129" s="27"/>
      <c r="W129" s="27"/>
      <c r="X129" s="27"/>
      <c r="Y129" s="27"/>
      <c r="Z129" s="27"/>
    </row>
    <row r="130" hidden="1" customHeight="1" spans="1:26">
      <c r="A130" s="26">
        <v>840</v>
      </c>
      <c r="B130" s="26">
        <v>8</v>
      </c>
      <c r="C130" s="26" t="s">
        <v>1180</v>
      </c>
      <c r="D130" s="26" t="s">
        <v>2717</v>
      </c>
      <c r="E130" s="26" t="s">
        <v>2889</v>
      </c>
      <c r="F130" s="26" t="str">
        <f t="shared" si="0"/>
        <v>Positive Traits Latin Origin</v>
      </c>
      <c r="G130" s="26">
        <f t="shared" si="1"/>
        <v>9</v>
      </c>
      <c r="H130" s="26" t="s">
        <v>3044</v>
      </c>
      <c r="I130" s="26"/>
      <c r="J130" s="26"/>
      <c r="K130" s="26" t="s">
        <v>3045</v>
      </c>
      <c r="L130" s="26" t="str">
        <f t="shared" si="2"/>
        <v>J</v>
      </c>
      <c r="M130" s="26" t="str">
        <f>IFERROR(__xludf.DUMMYFUNCTION("GOOGLETRANSLATE(C130,""EN"",""KN"")"),"ವಿವೇಚನಾಶೀಲ")</f>
        <v>ವಿವೇಚನಾಶೀಲ</v>
      </c>
      <c r="N130" s="26">
        <f t="array" ref="N130">_xlfn.XLOOKUP(B130,'Sets Progress'!I:I,'Sets Progress'!I:I,"NOT YET")</f>
        <v>8</v>
      </c>
      <c r="O130" s="26" t="str">
        <f t="array" ref="O130">_xlfn.XLOOKUP(L:L,'Overall Progress'!L:L,'Overall Progress'!L:L,"NOT YET")</f>
        <v>NOT YET</v>
      </c>
      <c r="P130" s="26"/>
      <c r="Q130" s="26"/>
      <c r="R130" s="26"/>
      <c r="S130" s="26"/>
      <c r="T130" s="26"/>
      <c r="U130" s="26"/>
      <c r="V130" s="26"/>
      <c r="W130" s="26"/>
      <c r="X130" s="26"/>
      <c r="Y130" s="26"/>
      <c r="Z130" s="26"/>
    </row>
    <row r="131" hidden="1" customHeight="1" spans="1:26">
      <c r="A131" s="27">
        <v>916</v>
      </c>
      <c r="B131" s="27">
        <v>8</v>
      </c>
      <c r="C131" s="27" t="s">
        <v>1252</v>
      </c>
      <c r="D131" s="27" t="s">
        <v>1721</v>
      </c>
      <c r="E131" s="27" t="s">
        <v>2889</v>
      </c>
      <c r="F131" s="27" t="str">
        <f t="shared" si="0"/>
        <v>Temporal Latin Origin</v>
      </c>
      <c r="G131" s="27">
        <f t="shared" si="1"/>
        <v>11</v>
      </c>
      <c r="H131" s="27" t="s">
        <v>3046</v>
      </c>
      <c r="I131" s="27"/>
      <c r="J131" s="27"/>
      <c r="K131" s="27"/>
      <c r="L131" s="27" t="str">
        <f t="shared" si="2"/>
        <v>M</v>
      </c>
      <c r="M131" s="27" t="str">
        <f>IFERROR(__xludf.DUMMYFUNCTION("GOOGLETRANSLATE(C131,""EN"",""KN"")"),"ತಪ್ಪಾಗಿ ಅರ್ಥೈಸಿಕೊಳ್ಳಿ")</f>
        <v>ತಪ್ಪಾಗಿ ಅರ್ಥೈಸಿಕೊಳ್ಳಿ</v>
      </c>
      <c r="N131" s="27">
        <f t="array" ref="N131">_xlfn.XLOOKUP(B131,'Sets Progress'!I:I,'Sets Progress'!I:I,"NOT YET")</f>
        <v>8</v>
      </c>
      <c r="O131" s="27" t="str">
        <f t="array" ref="O131">_xlfn.XLOOKUP(L:L,'Overall Progress'!L:L,'Overall Progress'!L:L,"NOT YET")</f>
        <v>NOT YET</v>
      </c>
      <c r="P131" s="27"/>
      <c r="Q131" s="27"/>
      <c r="R131" s="27"/>
      <c r="S131" s="27"/>
      <c r="T131" s="27"/>
      <c r="U131" s="27"/>
      <c r="V131" s="27"/>
      <c r="W131" s="27"/>
      <c r="X131" s="27"/>
      <c r="Y131" s="27"/>
      <c r="Z131" s="27"/>
    </row>
    <row r="132" hidden="1" customHeight="1" spans="1:26">
      <c r="A132" s="26">
        <v>1036</v>
      </c>
      <c r="B132" s="26">
        <v>8</v>
      </c>
      <c r="C132" s="26" t="s">
        <v>1371</v>
      </c>
      <c r="D132" s="26" t="s">
        <v>1721</v>
      </c>
      <c r="E132" s="26" t="s">
        <v>2889</v>
      </c>
      <c r="F132" s="26" t="str">
        <f t="shared" si="0"/>
        <v>Temporal Latin Origin</v>
      </c>
      <c r="G132" s="26">
        <f t="shared" si="1"/>
        <v>9</v>
      </c>
      <c r="H132" s="26" t="s">
        <v>3047</v>
      </c>
      <c r="I132" s="26"/>
      <c r="J132" s="26"/>
      <c r="K132" s="26"/>
      <c r="L132" s="26" t="str">
        <f t="shared" si="2"/>
        <v>P</v>
      </c>
      <c r="M132" s="26" t="str">
        <f>IFERROR(__xludf.DUMMYFUNCTION("GOOGLETRANSLATE(C132,""EN"",""KN"")"),"ಭೇದಿಸಿ")</f>
        <v>ಭೇದಿಸಿ</v>
      </c>
      <c r="N132" s="26">
        <f t="array" ref="N132">_xlfn.XLOOKUP(B132,'Sets Progress'!I:I,'Sets Progress'!I:I,"NOT YET")</f>
        <v>8</v>
      </c>
      <c r="O132" s="26" t="str">
        <f t="array" ref="O132">_xlfn.XLOOKUP(L:L,'Overall Progress'!L:L,'Overall Progress'!L:L,"NOT YET")</f>
        <v>NOT YET</v>
      </c>
      <c r="P132" s="26"/>
      <c r="Q132" s="26"/>
      <c r="R132" s="26"/>
      <c r="S132" s="26"/>
      <c r="T132" s="26"/>
      <c r="U132" s="26"/>
      <c r="V132" s="26"/>
      <c r="W132" s="26"/>
      <c r="X132" s="26"/>
      <c r="Y132" s="26"/>
      <c r="Z132" s="26"/>
    </row>
    <row r="133" hidden="1" customHeight="1" spans="1:26">
      <c r="A133" s="27">
        <v>1040</v>
      </c>
      <c r="B133" s="27">
        <v>8</v>
      </c>
      <c r="C133" s="27" t="s">
        <v>1375</v>
      </c>
      <c r="D133" s="27" t="s">
        <v>2717</v>
      </c>
      <c r="E133" s="27" t="s">
        <v>2889</v>
      </c>
      <c r="F133" s="27" t="str">
        <f t="shared" si="0"/>
        <v>Positive Traits Latin Origin</v>
      </c>
      <c r="G133" s="27">
        <f t="shared" si="1"/>
        <v>10</v>
      </c>
      <c r="H133" s="27" t="s">
        <v>3048</v>
      </c>
      <c r="I133" s="27"/>
      <c r="J133" s="27"/>
      <c r="K133" s="27"/>
      <c r="L133" s="27" t="str">
        <f t="shared" si="2"/>
        <v>P</v>
      </c>
      <c r="M133" s="27" t="str">
        <f>IFERROR(__xludf.DUMMYFUNCTION("GOOGLETRANSLATE(C133,""EN"",""KN"")"),"ಗ್ರಹಿಸುವ")</f>
        <v>ಗ್ರಹಿಸುವ</v>
      </c>
      <c r="N133" s="27">
        <f t="array" ref="N133">_xlfn.XLOOKUP(B133,'Sets Progress'!I:I,'Sets Progress'!I:I,"NOT YET")</f>
        <v>8</v>
      </c>
      <c r="O133" s="27" t="str">
        <f t="array" ref="O133">_xlfn.XLOOKUP(L:L,'Overall Progress'!L:L,'Overall Progress'!L:L,"NOT YET")</f>
        <v>NOT YET</v>
      </c>
      <c r="P133" s="27"/>
      <c r="Q133" s="27"/>
      <c r="R133" s="27"/>
      <c r="S133" s="27"/>
      <c r="T133" s="27"/>
      <c r="U133" s="27"/>
      <c r="V133" s="27"/>
      <c r="W133" s="27"/>
      <c r="X133" s="27"/>
      <c r="Y133" s="27"/>
      <c r="Z133" s="27"/>
    </row>
    <row r="134" hidden="1" customHeight="1" spans="1:26">
      <c r="A134" s="26">
        <v>1206</v>
      </c>
      <c r="B134" s="26">
        <v>8</v>
      </c>
      <c r="C134" s="26" t="s">
        <v>1537</v>
      </c>
      <c r="D134" s="26" t="s">
        <v>1721</v>
      </c>
      <c r="E134" s="26" t="s">
        <v>2889</v>
      </c>
      <c r="F134" s="26" t="str">
        <f t="shared" si="0"/>
        <v>Temporal Latin Origin</v>
      </c>
      <c r="G134" s="26">
        <f t="shared" si="1"/>
        <v>8</v>
      </c>
      <c r="H134" s="26" t="s">
        <v>3049</v>
      </c>
      <c r="I134" s="26"/>
      <c r="J134" s="26"/>
      <c r="K134" s="26"/>
      <c r="L134" s="26" t="str">
        <f t="shared" si="2"/>
        <v>R</v>
      </c>
      <c r="M134" s="26" t="str">
        <f>IFERROR(__xludf.DUMMYFUNCTION("GOOGLETRANSLATE(C134,""EN"",""KN"")"),"ತ್ಯಜಿಸು")</f>
        <v>ತ್ಯಜಿಸು</v>
      </c>
      <c r="N134" s="26">
        <f t="array" ref="N134">_xlfn.XLOOKUP(B134,'Sets Progress'!I:I,'Sets Progress'!I:I,"NOT YET")</f>
        <v>8</v>
      </c>
      <c r="O134" s="26" t="str">
        <f t="array" ref="O134">_xlfn.XLOOKUP(L:L,'Overall Progress'!L:L,'Overall Progress'!L:L,"NOT YET")</f>
        <v>NOT YET</v>
      </c>
      <c r="P134" s="26"/>
      <c r="Q134" s="26"/>
      <c r="R134" s="26"/>
      <c r="S134" s="26"/>
      <c r="T134" s="26"/>
      <c r="U134" s="26"/>
      <c r="V134" s="26"/>
      <c r="W134" s="26"/>
      <c r="X134" s="26"/>
      <c r="Y134" s="26"/>
      <c r="Z134" s="26"/>
    </row>
    <row r="135" hidden="1" customHeight="1" spans="1:26">
      <c r="A135" s="27">
        <v>1270</v>
      </c>
      <c r="B135" s="27">
        <v>8</v>
      </c>
      <c r="C135" s="27" t="s">
        <v>1601</v>
      </c>
      <c r="D135" s="27" t="s">
        <v>2717</v>
      </c>
      <c r="E135" s="27" t="s">
        <v>2921</v>
      </c>
      <c r="F135" s="27" t="str">
        <f t="shared" si="0"/>
        <v>Positive Traits Unknown Origin</v>
      </c>
      <c r="G135" s="27">
        <f t="shared" si="1"/>
        <v>13</v>
      </c>
      <c r="H135" s="27" t="s">
        <v>3050</v>
      </c>
      <c r="I135" s="27"/>
      <c r="J135" s="27"/>
      <c r="K135" s="27"/>
      <c r="L135" s="27" t="str">
        <f t="shared" si="2"/>
        <v>S</v>
      </c>
      <c r="M135" s="27" t="str">
        <f>IFERROR(__xludf.DUMMYFUNCTION("GOOGLETRANSLATE(C135,""EN"",""KN"")"),"ಪ್ರಶಾಂತ")</f>
        <v>ಪ್ರಶಾಂತ</v>
      </c>
      <c r="N135" s="27">
        <f t="array" ref="N135">_xlfn.XLOOKUP(B135,'Sets Progress'!I:I,'Sets Progress'!I:I,"NOT YET")</f>
        <v>8</v>
      </c>
      <c r="O135" s="27" t="str">
        <f t="array" ref="O135">_xlfn.XLOOKUP(L:L,'Overall Progress'!L:L,'Overall Progress'!L:L,"NOT YET")</f>
        <v>NOT YET</v>
      </c>
      <c r="P135" s="27"/>
      <c r="Q135" s="27"/>
      <c r="R135" s="27"/>
      <c r="S135" s="27"/>
      <c r="T135" s="27"/>
      <c r="U135" s="27"/>
      <c r="V135" s="27"/>
      <c r="W135" s="27"/>
      <c r="X135" s="27"/>
      <c r="Y135" s="27"/>
      <c r="Z135" s="27"/>
    </row>
    <row r="136" hidden="1" customHeight="1" spans="1:26">
      <c r="A136" s="26">
        <v>1340</v>
      </c>
      <c r="B136" s="26">
        <v>8</v>
      </c>
      <c r="C136" s="26" t="s">
        <v>1671</v>
      </c>
      <c r="D136" s="26" t="s">
        <v>2716</v>
      </c>
      <c r="E136" s="26" t="s">
        <v>2889</v>
      </c>
      <c r="F136" s="26" t="str">
        <f t="shared" si="0"/>
        <v>Negative Traits Latin Origin</v>
      </c>
      <c r="G136" s="26">
        <f t="shared" si="1"/>
        <v>11</v>
      </c>
      <c r="H136" s="26" t="s">
        <v>3051</v>
      </c>
      <c r="I136" s="26"/>
      <c r="J136" s="26"/>
      <c r="K136" s="26"/>
      <c r="L136" s="26" t="str">
        <f t="shared" si="2"/>
        <v>S</v>
      </c>
      <c r="M136" s="26" t="str">
        <f>IFERROR(__xludf.DUMMYFUNCTION("GOOGLETRANSLATE(C136,""EN"",""KN"")"),"ಅಧೀನ")</f>
        <v>ಅಧೀನ</v>
      </c>
      <c r="N136" s="26">
        <f t="array" ref="N136">_xlfn.XLOOKUP(B136,'Sets Progress'!I:I,'Sets Progress'!I:I,"NOT YET")</f>
        <v>8</v>
      </c>
      <c r="O136" s="26" t="str">
        <f t="array" ref="O136">_xlfn.XLOOKUP(L:L,'Overall Progress'!L:L,'Overall Progress'!L:L,"NOT YET")</f>
        <v>NOT YET</v>
      </c>
      <c r="P136" s="26"/>
      <c r="Q136" s="26"/>
      <c r="R136" s="26"/>
      <c r="S136" s="26"/>
      <c r="T136" s="26"/>
      <c r="U136" s="26"/>
      <c r="V136" s="26"/>
      <c r="W136" s="26"/>
      <c r="X136" s="26"/>
      <c r="Y136" s="26"/>
      <c r="Z136" s="26"/>
    </row>
    <row r="137" hidden="1" customHeight="1" spans="1:26">
      <c r="A137" s="27">
        <v>1361</v>
      </c>
      <c r="B137" s="27">
        <v>8</v>
      </c>
      <c r="C137" s="27" t="s">
        <v>1692</v>
      </c>
      <c r="D137" s="27" t="s">
        <v>1721</v>
      </c>
      <c r="E137" s="27" t="s">
        <v>2896</v>
      </c>
      <c r="F137" s="27" t="str">
        <f t="shared" si="0"/>
        <v>Temporal Old French Origin</v>
      </c>
      <c r="G137" s="27">
        <f t="shared" si="1"/>
        <v>7</v>
      </c>
      <c r="H137" s="27" t="s">
        <v>3052</v>
      </c>
      <c r="I137" s="27"/>
      <c r="J137" s="27"/>
      <c r="K137" s="27"/>
      <c r="L137" s="27" t="str">
        <f t="shared" si="2"/>
        <v>S</v>
      </c>
      <c r="M137" s="27" t="str">
        <f>IFERROR(__xludf.DUMMYFUNCTION("GOOGLETRANSLATE(C137,""EN"",""KN"")"),"ಮೀರಿಸಿ")</f>
        <v>ಮೀರಿಸಿ</v>
      </c>
      <c r="N137" s="27">
        <f t="array" ref="N137">_xlfn.XLOOKUP(B137,'Sets Progress'!I:I,'Sets Progress'!I:I,"NOT YET")</f>
        <v>8</v>
      </c>
      <c r="O137" s="27" t="str">
        <f t="array" ref="O137">_xlfn.XLOOKUP(L:L,'Overall Progress'!L:L,'Overall Progress'!L:L,"NOT YET")</f>
        <v>NOT YET</v>
      </c>
      <c r="P137" s="27"/>
      <c r="Q137" s="27"/>
      <c r="R137" s="27"/>
      <c r="S137" s="27"/>
      <c r="T137" s="27"/>
      <c r="U137" s="27"/>
      <c r="V137" s="27"/>
      <c r="W137" s="27"/>
      <c r="X137" s="27"/>
      <c r="Y137" s="27"/>
      <c r="Z137" s="27"/>
    </row>
    <row r="138" hidden="1" customHeight="1" spans="1:26">
      <c r="A138" s="26">
        <v>1431</v>
      </c>
      <c r="B138" s="26">
        <v>8</v>
      </c>
      <c r="C138" s="26" t="s">
        <v>1760</v>
      </c>
      <c r="D138" s="26" t="s">
        <v>2716</v>
      </c>
      <c r="E138" s="26" t="s">
        <v>2889</v>
      </c>
      <c r="F138" s="26" t="str">
        <f t="shared" si="0"/>
        <v>Negative Traits Latin Origin</v>
      </c>
      <c r="G138" s="26">
        <f t="shared" si="1"/>
        <v>6</v>
      </c>
      <c r="H138" s="26" t="s">
        <v>3053</v>
      </c>
      <c r="I138" s="26"/>
      <c r="J138" s="26"/>
      <c r="K138" s="26"/>
      <c r="L138" s="26" t="str">
        <f t="shared" si="2"/>
        <v>T</v>
      </c>
      <c r="M138" s="26" t="str">
        <f>IFERROR(__xludf.DUMMYFUNCTION("GOOGLETRANSLATE(C138,""EN"",""KN"")"),"ಟರ್ಗಿಡ್")</f>
        <v>ಟರ್ಗಿಡ್</v>
      </c>
      <c r="N138" s="26">
        <f t="array" ref="N138">_xlfn.XLOOKUP(B138,'Sets Progress'!I:I,'Sets Progress'!I:I,"NOT YET")</f>
        <v>8</v>
      </c>
      <c r="O138" s="26" t="str">
        <f t="array" ref="O138">_xlfn.XLOOKUP(L:L,'Overall Progress'!L:L,'Overall Progress'!L:L,"NOT YET")</f>
        <v>NOT YET</v>
      </c>
      <c r="P138" s="26"/>
      <c r="Q138" s="26"/>
      <c r="R138" s="26"/>
      <c r="S138" s="26"/>
      <c r="T138" s="26"/>
      <c r="U138" s="26"/>
      <c r="V138" s="26"/>
      <c r="W138" s="26"/>
      <c r="X138" s="26"/>
      <c r="Y138" s="26"/>
      <c r="Z138" s="26"/>
    </row>
    <row r="139" hidden="1" customHeight="1" spans="1:26">
      <c r="A139" s="27">
        <v>1497</v>
      </c>
      <c r="B139" s="27">
        <v>8</v>
      </c>
      <c r="C139" s="27" t="s">
        <v>1825</v>
      </c>
      <c r="D139" s="27" t="s">
        <v>2717</v>
      </c>
      <c r="E139" s="27" t="s">
        <v>2889</v>
      </c>
      <c r="F139" s="27" t="str">
        <f t="shared" si="0"/>
        <v>Positive Traits Latin Origin</v>
      </c>
      <c r="G139" s="27">
        <f t="shared" si="1"/>
        <v>8</v>
      </c>
      <c r="H139" s="27" t="s">
        <v>3054</v>
      </c>
      <c r="I139" s="27"/>
      <c r="J139" s="27"/>
      <c r="K139" s="27"/>
      <c r="L139" s="27" t="str">
        <f t="shared" si="2"/>
        <v>V</v>
      </c>
      <c r="M139" s="27" t="str">
        <f>IFERROR(__xludf.DUMMYFUNCTION("GOOGLETRANSLATE(C139,""EN"",""KN"")"),"ಪೂಜಿಸು")</f>
        <v>ಪೂಜಿಸು</v>
      </c>
      <c r="N139" s="27">
        <f t="array" ref="N139">_xlfn.XLOOKUP(B139,'Sets Progress'!I:I,'Sets Progress'!I:I,"NOT YET")</f>
        <v>8</v>
      </c>
      <c r="O139" s="27" t="str">
        <f t="array" ref="O139">_xlfn.XLOOKUP(L:L,'Overall Progress'!L:L,'Overall Progress'!L:L,"NOT YET")</f>
        <v>NOT YET</v>
      </c>
      <c r="P139" s="27"/>
      <c r="Q139" s="27"/>
      <c r="R139" s="27"/>
      <c r="S139" s="27"/>
      <c r="T139" s="27"/>
      <c r="U139" s="27"/>
      <c r="V139" s="27"/>
      <c r="W139" s="27"/>
      <c r="X139" s="27"/>
      <c r="Y139" s="27"/>
      <c r="Z139" s="27"/>
    </row>
    <row r="140" hidden="1" customHeight="1" spans="1:26">
      <c r="A140" s="26">
        <v>29</v>
      </c>
      <c r="B140" s="26">
        <v>9</v>
      </c>
      <c r="C140" s="26" t="s">
        <v>390</v>
      </c>
      <c r="D140" s="26" t="s">
        <v>2946</v>
      </c>
      <c r="E140" s="26" t="s">
        <v>2889</v>
      </c>
      <c r="F140" s="26" t="str">
        <f t="shared" si="0"/>
        <v>Emotional Latin Origin</v>
      </c>
      <c r="G140" s="26">
        <f t="shared" si="1"/>
        <v>11</v>
      </c>
      <c r="H140" s="26" t="s">
        <v>3055</v>
      </c>
      <c r="I140" s="26"/>
      <c r="J140" s="26"/>
      <c r="K140" s="26"/>
      <c r="L140" s="26" t="str">
        <f t="shared" si="2"/>
        <v>A</v>
      </c>
      <c r="M140" s="26" t="str">
        <f>IFERROR(__xludf.DUMMYFUNCTION("GOOGLETRANSLATE(C140,""EN"",""KN"")"),"ಕಟುವಾದ")</f>
        <v>ಕಟುವಾದ</v>
      </c>
      <c r="N140" s="26">
        <f t="array" ref="N140">_xlfn.XLOOKUP(B140,'Sets Progress'!I:I,'Sets Progress'!I:I,"NOT YET")</f>
        <v>9</v>
      </c>
      <c r="O140" s="26" t="str">
        <f t="array" ref="O140">_xlfn.XLOOKUP(L:L,'Overall Progress'!L:L,'Overall Progress'!L:L,"NOT YET")</f>
        <v>NOT YET</v>
      </c>
      <c r="P140" s="26"/>
      <c r="Q140" s="26"/>
      <c r="R140" s="26"/>
      <c r="S140" s="26"/>
      <c r="T140" s="26"/>
      <c r="U140" s="26"/>
      <c r="V140" s="26"/>
      <c r="W140" s="26"/>
      <c r="X140" s="26"/>
      <c r="Y140" s="26"/>
      <c r="Z140" s="26"/>
    </row>
    <row r="141" hidden="1" customHeight="1" spans="1:26">
      <c r="A141" s="27">
        <v>69</v>
      </c>
      <c r="B141" s="27">
        <v>9</v>
      </c>
      <c r="C141" s="27" t="s">
        <v>422</v>
      </c>
      <c r="D141" s="27" t="s">
        <v>2717</v>
      </c>
      <c r="E141" s="27" t="s">
        <v>2889</v>
      </c>
      <c r="F141" s="27" t="str">
        <f t="shared" si="0"/>
        <v>Positive Traits Latin Origin</v>
      </c>
      <c r="G141" s="27">
        <f t="shared" si="1"/>
        <v>8</v>
      </c>
      <c r="H141" s="27" t="s">
        <v>3056</v>
      </c>
      <c r="I141" s="27"/>
      <c r="J141" s="27"/>
      <c r="K141" s="27"/>
      <c r="L141" s="27" t="str">
        <f t="shared" si="2"/>
        <v>A</v>
      </c>
      <c r="M141" s="27" t="str">
        <f>IFERROR(__xludf.DUMMYFUNCTION("GOOGLETRANSLATE(C141,""EN"",""KN"")"),"ಸೌಹಾರ್ದಯುತ")</f>
        <v>ಸೌಹಾರ್ದಯುತ</v>
      </c>
      <c r="N141" s="27">
        <f t="array" ref="N141">_xlfn.XLOOKUP(B141,'Sets Progress'!I:I,'Sets Progress'!I:I,"NOT YET")</f>
        <v>9</v>
      </c>
      <c r="O141" s="27" t="str">
        <f t="array" ref="O141">_xlfn.XLOOKUP(L:L,'Overall Progress'!L:L,'Overall Progress'!L:L,"NOT YET")</f>
        <v>NOT YET</v>
      </c>
      <c r="P141" s="27"/>
      <c r="Q141" s="27"/>
      <c r="R141" s="27"/>
      <c r="S141" s="27"/>
      <c r="T141" s="27"/>
      <c r="U141" s="27"/>
      <c r="V141" s="27"/>
      <c r="W141" s="27"/>
      <c r="X141" s="27"/>
      <c r="Y141" s="27"/>
      <c r="Z141" s="27"/>
    </row>
    <row r="142" hidden="1" customHeight="1" spans="1:26">
      <c r="A142" s="26">
        <v>357</v>
      </c>
      <c r="B142" s="26">
        <v>9</v>
      </c>
      <c r="C142" s="26" t="s">
        <v>707</v>
      </c>
      <c r="D142" s="26" t="s">
        <v>2717</v>
      </c>
      <c r="E142" s="26" t="s">
        <v>2889</v>
      </c>
      <c r="F142" s="26" t="str">
        <f t="shared" si="0"/>
        <v>Positive Traits Latin Origin</v>
      </c>
      <c r="G142" s="26">
        <f t="shared" si="1"/>
        <v>9</v>
      </c>
      <c r="H142" s="26" t="s">
        <v>3057</v>
      </c>
      <c r="I142" s="26"/>
      <c r="J142" s="26"/>
      <c r="K142" s="26"/>
      <c r="L142" s="26" t="str">
        <f t="shared" si="2"/>
        <v>D</v>
      </c>
      <c r="M142" s="26" t="str">
        <f>IFERROR(__xludf.DUMMYFUNCTION("GOOGLETRANSLATE(C142,""EN"",""KN"")"),"ಗೌರವ")</f>
        <v>ಗೌರವ</v>
      </c>
      <c r="N142" s="26">
        <f t="array" ref="N142">_xlfn.XLOOKUP(B142,'Sets Progress'!I:I,'Sets Progress'!I:I,"NOT YET")</f>
        <v>9</v>
      </c>
      <c r="O142" s="26" t="str">
        <f t="array" ref="O142">_xlfn.XLOOKUP(L:L,'Overall Progress'!L:L,'Overall Progress'!L:L,"NOT YET")</f>
        <v>NOT YET</v>
      </c>
      <c r="P142" s="26"/>
      <c r="Q142" s="26"/>
      <c r="R142" s="26"/>
      <c r="S142" s="26"/>
      <c r="T142" s="26"/>
      <c r="U142" s="26"/>
      <c r="V142" s="26"/>
      <c r="W142" s="26"/>
      <c r="X142" s="26"/>
      <c r="Y142" s="26"/>
      <c r="Z142" s="26"/>
    </row>
    <row r="143" hidden="1" customHeight="1" spans="1:26">
      <c r="A143" s="27">
        <v>394</v>
      </c>
      <c r="B143" s="27">
        <v>9</v>
      </c>
      <c r="C143" s="27" t="s">
        <v>744</v>
      </c>
      <c r="D143" s="27" t="s">
        <v>1721</v>
      </c>
      <c r="E143" s="27" t="s">
        <v>2889</v>
      </c>
      <c r="F143" s="27" t="str">
        <f t="shared" si="0"/>
        <v>Temporal Latin Origin</v>
      </c>
      <c r="G143" s="27">
        <f t="shared" si="1"/>
        <v>7</v>
      </c>
      <c r="H143" s="27" t="s">
        <v>3058</v>
      </c>
      <c r="I143" s="27"/>
      <c r="J143" s="27"/>
      <c r="K143" s="27"/>
      <c r="L143" s="27" t="str">
        <f t="shared" si="2"/>
        <v>D</v>
      </c>
      <c r="M143" s="27" t="str">
        <f>IFERROR(__xludf.DUMMYFUNCTION("GOOGLETRANSLATE(C143,""EN"",""KN"")"),"ನಿರ್ದೇಶಿಸಿ")</f>
        <v>ನಿರ್ದೇಶಿಸಿ</v>
      </c>
      <c r="N143" s="27">
        <f t="array" ref="N143">_xlfn.XLOOKUP(B143,'Sets Progress'!I:I,'Sets Progress'!I:I,"NOT YET")</f>
        <v>9</v>
      </c>
      <c r="O143" s="27" t="str">
        <f t="array" ref="O143">_xlfn.XLOOKUP(L:L,'Overall Progress'!L:L,'Overall Progress'!L:L,"NOT YET")</f>
        <v>NOT YET</v>
      </c>
      <c r="P143" s="27"/>
      <c r="Q143" s="27"/>
      <c r="R143" s="27"/>
      <c r="S143" s="27"/>
      <c r="T143" s="27"/>
      <c r="U143" s="27"/>
      <c r="V143" s="27"/>
      <c r="W143" s="27"/>
      <c r="X143" s="27"/>
      <c r="Y143" s="27"/>
      <c r="Z143" s="27"/>
    </row>
    <row r="144" hidden="1" customHeight="1" spans="1:26">
      <c r="A144" s="26">
        <v>503</v>
      </c>
      <c r="B144" s="26">
        <v>9</v>
      </c>
      <c r="C144" s="26" t="s">
        <v>852</v>
      </c>
      <c r="D144" s="26" t="s">
        <v>1721</v>
      </c>
      <c r="E144" s="26" t="s">
        <v>2908</v>
      </c>
      <c r="F144" s="26" t="str">
        <f t="shared" si="0"/>
        <v>Temporal Old English Origin</v>
      </c>
      <c r="G144" s="26">
        <f t="shared" si="1"/>
        <v>5</v>
      </c>
      <c r="H144" s="26" t="s">
        <v>3059</v>
      </c>
      <c r="I144" s="26"/>
      <c r="J144" s="26"/>
      <c r="K144" s="26"/>
      <c r="L144" s="26" t="str">
        <f t="shared" si="2"/>
        <v>E</v>
      </c>
      <c r="M144" s="26" t="str">
        <f>IFERROR(__xludf.DUMMYFUNCTION("GOOGLETRANSLATE(C144,""EN"",""KN"")"),"ದತ್ತಿ")</f>
        <v>ದತ್ತಿ</v>
      </c>
      <c r="N144" s="26">
        <f t="array" ref="N144">_xlfn.XLOOKUP(B144,'Sets Progress'!I:I,'Sets Progress'!I:I,"NOT YET")</f>
        <v>9</v>
      </c>
      <c r="O144" s="26" t="str">
        <f t="array" ref="O144">_xlfn.XLOOKUP(L:L,'Overall Progress'!L:L,'Overall Progress'!L:L,"NOT YET")</f>
        <v>NOT YET</v>
      </c>
      <c r="P144" s="26"/>
      <c r="Q144" s="26"/>
      <c r="R144" s="26"/>
      <c r="S144" s="26"/>
      <c r="T144" s="26"/>
      <c r="U144" s="26"/>
      <c r="V144" s="26"/>
      <c r="W144" s="26"/>
      <c r="X144" s="26"/>
      <c r="Y144" s="26"/>
      <c r="Z144" s="26"/>
    </row>
    <row r="145" hidden="1" customHeight="1" spans="1:26">
      <c r="A145" s="27">
        <v>792</v>
      </c>
      <c r="B145" s="27">
        <v>9</v>
      </c>
      <c r="C145" s="27" t="s">
        <v>187</v>
      </c>
      <c r="D145" s="27" t="s">
        <v>1721</v>
      </c>
      <c r="E145" s="27" t="s">
        <v>2889</v>
      </c>
      <c r="F145" s="27" t="str">
        <f t="shared" si="0"/>
        <v>Temporal Latin Origin</v>
      </c>
      <c r="G145" s="27">
        <f t="shared" si="1"/>
        <v>7</v>
      </c>
      <c r="H145" s="27" t="s">
        <v>3060</v>
      </c>
      <c r="I145" s="27"/>
      <c r="J145" s="27"/>
      <c r="K145" s="27"/>
      <c r="L145" s="27" t="str">
        <f t="shared" si="2"/>
        <v>I</v>
      </c>
      <c r="M145" s="27" t="str">
        <f>IFERROR(__xludf.DUMMYFUNCTION("GOOGLETRANSLATE(C145,""EN"",""KN"")"),"ಅಸ್ಪಷ್ಟ")</f>
        <v>ಅಸ್ಪಷ್ಟ</v>
      </c>
      <c r="N145" s="27">
        <f t="array" ref="N145">_xlfn.XLOOKUP(B145,'Sets Progress'!I:I,'Sets Progress'!I:I,"NOT YET")</f>
        <v>9</v>
      </c>
      <c r="O145" s="27" t="str">
        <f t="array" ref="O145">_xlfn.XLOOKUP(L:L,'Overall Progress'!L:L,'Overall Progress'!L:L,"NOT YET")</f>
        <v>NOT YET</v>
      </c>
      <c r="P145" s="27"/>
      <c r="Q145" s="27"/>
      <c r="R145" s="27"/>
      <c r="S145" s="27"/>
      <c r="T145" s="27"/>
      <c r="U145" s="27"/>
      <c r="V145" s="27"/>
      <c r="W145" s="27"/>
      <c r="X145" s="27"/>
      <c r="Y145" s="27"/>
      <c r="Z145" s="27"/>
    </row>
    <row r="146" hidden="1" customHeight="1" spans="1:26">
      <c r="A146" s="26">
        <v>798</v>
      </c>
      <c r="B146" s="26">
        <v>9</v>
      </c>
      <c r="C146" s="26" t="s">
        <v>1138</v>
      </c>
      <c r="D146" s="26" t="s">
        <v>1721</v>
      </c>
      <c r="E146" s="26" t="s">
        <v>2889</v>
      </c>
      <c r="F146" s="26" t="str">
        <f t="shared" si="0"/>
        <v>Temporal Latin Origin</v>
      </c>
      <c r="G146" s="26">
        <f t="shared" si="1"/>
        <v>9</v>
      </c>
      <c r="H146" s="26" t="s">
        <v>3061</v>
      </c>
      <c r="I146" s="26"/>
      <c r="J146" s="26"/>
      <c r="K146" s="26"/>
      <c r="L146" s="26" t="str">
        <f t="shared" si="2"/>
        <v>I</v>
      </c>
      <c r="M146" s="26" t="str">
        <f>IFERROR(__xludf.DUMMYFUNCTION("GOOGLETRANSLATE(C146,""EN"",""KN"")"),"ಸಂಯೋಜಿಸಿ")</f>
        <v>ಸಂಯೋಜಿಸಿ</v>
      </c>
      <c r="N146" s="26">
        <f t="array" ref="N146">_xlfn.XLOOKUP(B146,'Sets Progress'!I:I,'Sets Progress'!I:I,"NOT YET")</f>
        <v>9</v>
      </c>
      <c r="O146" s="26" t="str">
        <f t="array" ref="O146">_xlfn.XLOOKUP(L:L,'Overall Progress'!L:L,'Overall Progress'!L:L,"NOT YET")</f>
        <v>NOT YET</v>
      </c>
      <c r="P146" s="26"/>
      <c r="Q146" s="26"/>
      <c r="R146" s="26"/>
      <c r="S146" s="26"/>
      <c r="T146" s="26"/>
      <c r="U146" s="26"/>
      <c r="V146" s="26"/>
      <c r="W146" s="26"/>
      <c r="X146" s="26"/>
      <c r="Y146" s="26"/>
      <c r="Z146" s="26"/>
    </row>
    <row r="147" hidden="1" customHeight="1" spans="1:26">
      <c r="A147" s="27">
        <v>837</v>
      </c>
      <c r="B147" s="27">
        <v>9</v>
      </c>
      <c r="C147" s="27" t="s">
        <v>1177</v>
      </c>
      <c r="D147" s="27" t="s">
        <v>1721</v>
      </c>
      <c r="E147" s="27" t="s">
        <v>2896</v>
      </c>
      <c r="F147" s="27" t="str">
        <f t="shared" si="0"/>
        <v>Temporal Old French Origin</v>
      </c>
      <c r="G147" s="27">
        <f t="shared" si="1"/>
        <v>10</v>
      </c>
      <c r="H147" s="27" t="s">
        <v>3062</v>
      </c>
      <c r="I147" s="27"/>
      <c r="J147" s="27"/>
      <c r="K147" s="27"/>
      <c r="L147" s="27" t="str">
        <f t="shared" si="2"/>
        <v>J</v>
      </c>
      <c r="M147" s="27" t="str">
        <f>IFERROR(__xludf.DUMMYFUNCTION("GOOGLETRANSLATE(C147,""EN"",""KN"")"),"ಅಪಾಯವನ್ನುಂಟುಮಾಡು")</f>
        <v>ಅಪಾಯವನ್ನುಂಟುಮಾಡು</v>
      </c>
      <c r="N147" s="27">
        <f t="array" ref="N147">_xlfn.XLOOKUP(B147,'Sets Progress'!I:I,'Sets Progress'!I:I,"NOT YET")</f>
        <v>9</v>
      </c>
      <c r="O147" s="27" t="str">
        <f t="array" ref="O147">_xlfn.XLOOKUP(L:L,'Overall Progress'!L:L,'Overall Progress'!L:L,"NOT YET")</f>
        <v>NOT YET</v>
      </c>
      <c r="P147" s="27"/>
      <c r="Q147" s="27"/>
      <c r="R147" s="27"/>
      <c r="S147" s="27"/>
      <c r="T147" s="27"/>
      <c r="U147" s="27"/>
      <c r="V147" s="27"/>
      <c r="W147" s="27"/>
      <c r="X147" s="27"/>
      <c r="Y147" s="27"/>
      <c r="Z147" s="27"/>
    </row>
    <row r="148" hidden="1" customHeight="1" spans="1:26">
      <c r="A148" s="26">
        <v>880</v>
      </c>
      <c r="B148" s="26">
        <v>9</v>
      </c>
      <c r="C148" s="26" t="s">
        <v>208</v>
      </c>
      <c r="D148" s="26" t="s">
        <v>2717</v>
      </c>
      <c r="E148" s="26" t="s">
        <v>2889</v>
      </c>
      <c r="F148" s="26" t="str">
        <f t="shared" si="0"/>
        <v>Positive Traits Latin Origin</v>
      </c>
      <c r="G148" s="26">
        <f t="shared" si="1"/>
        <v>11</v>
      </c>
      <c r="H148" s="26" t="s">
        <v>3063</v>
      </c>
      <c r="I148" s="26"/>
      <c r="J148" s="26"/>
      <c r="K148" s="26"/>
      <c r="L148" s="26" t="str">
        <f t="shared" si="2"/>
        <v>M</v>
      </c>
      <c r="M148" s="26" t="str">
        <f>IFERROR(__xludf.DUMMYFUNCTION("GOOGLETRANSLATE(C148,""EN"",""KN"")"),"ಉದಾತ್ತ")</f>
        <v>ಉದಾತ್ತ</v>
      </c>
      <c r="N148" s="26">
        <f t="array" ref="N148">_xlfn.XLOOKUP(B148,'Sets Progress'!I:I,'Sets Progress'!I:I,"NOT YET")</f>
        <v>9</v>
      </c>
      <c r="O148" s="26" t="str">
        <f t="array" ref="O148">_xlfn.XLOOKUP(L:L,'Overall Progress'!L:L,'Overall Progress'!L:L,"NOT YET")</f>
        <v>NOT YET</v>
      </c>
      <c r="P148" s="26"/>
      <c r="Q148" s="26"/>
      <c r="R148" s="26"/>
      <c r="S148" s="26"/>
      <c r="T148" s="26"/>
      <c r="U148" s="26"/>
      <c r="V148" s="26"/>
      <c r="W148" s="26"/>
      <c r="X148" s="26"/>
      <c r="Y148" s="26"/>
      <c r="Z148" s="26"/>
    </row>
    <row r="149" hidden="1" customHeight="1" spans="1:26">
      <c r="A149" s="27">
        <v>1156</v>
      </c>
      <c r="B149" s="27">
        <v>9</v>
      </c>
      <c r="C149" s="27" t="s">
        <v>1487</v>
      </c>
      <c r="D149" s="27" t="s">
        <v>1721</v>
      </c>
      <c r="E149" s="27" t="s">
        <v>3019</v>
      </c>
      <c r="F149" s="27" t="str">
        <f t="shared" si="0"/>
        <v>Temporal Italian Origin</v>
      </c>
      <c r="G149" s="27">
        <f t="shared" si="1"/>
        <v>10</v>
      </c>
      <c r="H149" s="27" t="s">
        <v>3064</v>
      </c>
      <c r="I149" s="27"/>
      <c r="J149" s="27"/>
      <c r="K149" s="27"/>
      <c r="L149" s="27" t="str">
        <f t="shared" si="2"/>
        <v>Q</v>
      </c>
      <c r="M149" s="27" t="str">
        <f>IFERROR(__xludf.DUMMYFUNCTION("GOOGLETRANSLATE(C149,""EN"",""KN"")"),"ದಿಗ್ಬಂಧನ")</f>
        <v>ದಿಗ್ಬಂಧನ</v>
      </c>
      <c r="N149" s="27">
        <f t="array" ref="N149">_xlfn.XLOOKUP(B149,'Sets Progress'!I:I,'Sets Progress'!I:I,"NOT YET")</f>
        <v>9</v>
      </c>
      <c r="O149" s="27" t="str">
        <f t="array" ref="O149">_xlfn.XLOOKUP(L:L,'Overall Progress'!L:L,'Overall Progress'!L:L,"NOT YET")</f>
        <v>NOT YET</v>
      </c>
      <c r="P149" s="27"/>
      <c r="Q149" s="27"/>
      <c r="R149" s="27"/>
      <c r="S149" s="27"/>
      <c r="T149" s="27"/>
      <c r="U149" s="27"/>
      <c r="V149" s="27"/>
      <c r="W149" s="27"/>
      <c r="X149" s="27"/>
      <c r="Y149" s="27"/>
      <c r="Z149" s="27"/>
    </row>
    <row r="150" hidden="1" customHeight="1" spans="1:26">
      <c r="A150" s="26">
        <v>1177</v>
      </c>
      <c r="B150" s="26">
        <v>9</v>
      </c>
      <c r="C150" s="26" t="s">
        <v>1508</v>
      </c>
      <c r="D150" s="26" t="s">
        <v>1721</v>
      </c>
      <c r="E150" s="26" t="s">
        <v>2889</v>
      </c>
      <c r="F150" s="26" t="str">
        <f t="shared" si="0"/>
        <v>Temporal Latin Origin</v>
      </c>
      <c r="G150" s="26">
        <f t="shared" si="1"/>
        <v>7</v>
      </c>
      <c r="H150" s="26" t="s">
        <v>3065</v>
      </c>
      <c r="I150" s="26"/>
      <c r="J150" s="26"/>
      <c r="K150" s="26"/>
      <c r="L150" s="26" t="str">
        <f t="shared" si="2"/>
        <v>R</v>
      </c>
      <c r="M150" s="26" t="str">
        <f>IFERROR(__xludf.DUMMYFUNCTION("GOOGLETRANSLATE(C150,""EN"",""KN"")"),"ಏಕಾಂತ")</f>
        <v>ಏಕಾಂತ</v>
      </c>
      <c r="N150" s="26">
        <f t="array" ref="N150">_xlfn.XLOOKUP(B150,'Sets Progress'!I:I,'Sets Progress'!I:I,"NOT YET")</f>
        <v>9</v>
      </c>
      <c r="O150" s="26" t="str">
        <f t="array" ref="O150">_xlfn.XLOOKUP(L:L,'Overall Progress'!L:L,'Overall Progress'!L:L,"NOT YET")</f>
        <v>NOT YET</v>
      </c>
      <c r="P150" s="26"/>
      <c r="Q150" s="26"/>
      <c r="R150" s="26"/>
      <c r="S150" s="26"/>
      <c r="T150" s="26"/>
      <c r="U150" s="26"/>
      <c r="V150" s="26"/>
      <c r="W150" s="26"/>
      <c r="X150" s="26"/>
      <c r="Y150" s="26"/>
      <c r="Z150" s="26"/>
    </row>
    <row r="151" hidden="1" customHeight="1" spans="1:26">
      <c r="A151" s="27">
        <v>1283</v>
      </c>
      <c r="B151" s="27">
        <v>9</v>
      </c>
      <c r="C151" s="27" t="s">
        <v>1614</v>
      </c>
      <c r="D151" s="27" t="s">
        <v>1721</v>
      </c>
      <c r="E151" s="27" t="s">
        <v>2889</v>
      </c>
      <c r="F151" s="27" t="str">
        <f t="shared" si="0"/>
        <v>Temporal Latin Origin</v>
      </c>
      <c r="G151" s="27">
        <f t="shared" si="1"/>
        <v>12</v>
      </c>
      <c r="H151" s="27" t="s">
        <v>3066</v>
      </c>
      <c r="I151" s="27"/>
      <c r="J151" s="27"/>
      <c r="K151" s="27"/>
      <c r="L151" s="27" t="str">
        <f t="shared" si="2"/>
        <v>S</v>
      </c>
      <c r="M151" s="27" t="str">
        <f>IFERROR(__xludf.DUMMYFUNCTION("GOOGLETRANSLATE(C151,""EN"",""KN"")"),"ಏಕಕಾಲಿಕತೆ")</f>
        <v>ಏಕಕಾಲಿಕತೆ</v>
      </c>
      <c r="N151" s="27">
        <f t="array" ref="N151">_xlfn.XLOOKUP(B151,'Sets Progress'!I:I,'Sets Progress'!I:I,"NOT YET")</f>
        <v>9</v>
      </c>
      <c r="O151" s="27" t="str">
        <f t="array" ref="O151">_xlfn.XLOOKUP(L:L,'Overall Progress'!L:L,'Overall Progress'!L:L,"NOT YET")</f>
        <v>NOT YET</v>
      </c>
      <c r="P151" s="27"/>
      <c r="Q151" s="27"/>
      <c r="R151" s="27"/>
      <c r="S151" s="27"/>
      <c r="T151" s="27"/>
      <c r="U151" s="27"/>
      <c r="V151" s="27"/>
      <c r="W151" s="27"/>
      <c r="X151" s="27"/>
      <c r="Y151" s="27"/>
      <c r="Z151" s="27"/>
    </row>
    <row r="152" hidden="1" customHeight="1" spans="1:26">
      <c r="A152" s="26">
        <v>1363</v>
      </c>
      <c r="B152" s="26">
        <v>9</v>
      </c>
      <c r="C152" s="26" t="s">
        <v>1694</v>
      </c>
      <c r="D152" s="26" t="s">
        <v>1721</v>
      </c>
      <c r="E152" s="26" t="s">
        <v>2889</v>
      </c>
      <c r="F152" s="26" t="str">
        <f t="shared" si="0"/>
        <v>Temporal Latin Origin</v>
      </c>
      <c r="G152" s="26">
        <f t="shared" si="1"/>
        <v>9</v>
      </c>
      <c r="H152" s="26" t="s">
        <v>3067</v>
      </c>
      <c r="I152" s="26"/>
      <c r="J152" s="26"/>
      <c r="K152" s="26"/>
      <c r="L152" s="26" t="str">
        <f t="shared" si="2"/>
        <v>S</v>
      </c>
      <c r="M152" s="26" t="str">
        <f>IFERROR(__xludf.DUMMYFUNCTION("GOOGLETRANSLATE(C152,""EN"",""KN"")"),"ಸರೋಗೇಟ್")</f>
        <v>ಸರೋಗೇಟ್</v>
      </c>
      <c r="N152" s="26">
        <f t="array" ref="N152">_xlfn.XLOOKUP(B152,'Sets Progress'!I:I,'Sets Progress'!I:I,"NOT YET")</f>
        <v>9</v>
      </c>
      <c r="O152" s="26" t="str">
        <f t="array" ref="O152">_xlfn.XLOOKUP(L:L,'Overall Progress'!L:L,'Overall Progress'!L:L,"NOT YET")</f>
        <v>NOT YET</v>
      </c>
      <c r="P152" s="26"/>
      <c r="Q152" s="26"/>
      <c r="R152" s="26"/>
      <c r="S152" s="26"/>
      <c r="T152" s="26"/>
      <c r="U152" s="26"/>
      <c r="V152" s="26"/>
      <c r="W152" s="26"/>
      <c r="X152" s="26"/>
      <c r="Y152" s="26"/>
      <c r="Z152" s="26"/>
    </row>
    <row r="153" hidden="1" customHeight="1" spans="1:26">
      <c r="A153" s="27">
        <v>1377</v>
      </c>
      <c r="B153" s="27">
        <v>9</v>
      </c>
      <c r="C153" s="27" t="s">
        <v>1708</v>
      </c>
      <c r="D153" s="27" t="s">
        <v>1721</v>
      </c>
      <c r="E153" s="27" t="s">
        <v>2908</v>
      </c>
      <c r="F153" s="27" t="str">
        <f t="shared" si="0"/>
        <v>Temporal Old English Origin</v>
      </c>
      <c r="G153" s="27">
        <f t="shared" si="1"/>
        <v>8</v>
      </c>
      <c r="H153" s="27" t="s">
        <v>3068</v>
      </c>
      <c r="I153" s="27"/>
      <c r="J153" s="27"/>
      <c r="K153" s="27"/>
      <c r="L153" s="27" t="str">
        <f t="shared" si="2"/>
        <v>T</v>
      </c>
      <c r="M153" s="27" t="str">
        <f>IFERROR(__xludf.DUMMYFUNCTION("GOOGLETRANSLATE(C153,""EN"",""KN"")"),"ಹೇಳಿ ಮಾಡಿಸಿದ")</f>
        <v>ಹೇಳಿ ಮಾಡಿಸಿದ</v>
      </c>
      <c r="N153" s="27">
        <f t="array" ref="N153">_xlfn.XLOOKUP(B153,'Sets Progress'!I:I,'Sets Progress'!I:I,"NOT YET")</f>
        <v>9</v>
      </c>
      <c r="O153" s="27" t="str">
        <f t="array" ref="O153">_xlfn.XLOOKUP(L:L,'Overall Progress'!L:L,'Overall Progress'!L:L,"NOT YET")</f>
        <v>NOT YET</v>
      </c>
      <c r="P153" s="27"/>
      <c r="Q153" s="27"/>
      <c r="R153" s="27"/>
      <c r="S153" s="27"/>
      <c r="T153" s="27"/>
      <c r="U153" s="27"/>
      <c r="V153" s="27"/>
      <c r="W153" s="27"/>
      <c r="X153" s="27"/>
      <c r="Y153" s="27"/>
      <c r="Z153" s="27"/>
    </row>
    <row r="154" hidden="1" customHeight="1" spans="1:26">
      <c r="A154" s="26">
        <v>1486</v>
      </c>
      <c r="B154" s="26">
        <v>9</v>
      </c>
      <c r="C154" s="26" t="s">
        <v>1814</v>
      </c>
      <c r="D154" s="26" t="s">
        <v>1721</v>
      </c>
      <c r="E154" s="26" t="s">
        <v>2908</v>
      </c>
      <c r="F154" s="26" t="str">
        <f t="shared" si="0"/>
        <v>Temporal Old English Origin</v>
      </c>
      <c r="G154" s="26">
        <f t="shared" si="1"/>
        <v>7</v>
      </c>
      <c r="H154" s="26" t="s">
        <v>3069</v>
      </c>
      <c r="I154" s="26"/>
      <c r="J154" s="26"/>
      <c r="K154" s="26"/>
      <c r="L154" s="26" t="str">
        <f t="shared" si="2"/>
        <v>U</v>
      </c>
      <c r="M154" s="26" t="str">
        <f>IFERROR(__xludf.DUMMYFUNCTION("GOOGLETRANSLATE(C154,""EN"",""KN"")"),"ಅಪ್ಬ್ರೇಡ್")</f>
        <v>ಅಪ್ಬ್ರೇಡ್</v>
      </c>
      <c r="N154" s="26">
        <f t="array" ref="N154">_xlfn.XLOOKUP(B154,'Sets Progress'!I:I,'Sets Progress'!I:I,"NOT YET")</f>
        <v>9</v>
      </c>
      <c r="O154" s="26" t="str">
        <f t="array" ref="O154">_xlfn.XLOOKUP(L:L,'Overall Progress'!L:L,'Overall Progress'!L:L,"NOT YET")</f>
        <v>NOT YET</v>
      </c>
      <c r="P154" s="26"/>
      <c r="Q154" s="26"/>
      <c r="R154" s="26"/>
      <c r="S154" s="26"/>
      <c r="T154" s="26"/>
      <c r="U154" s="26"/>
      <c r="V154" s="26"/>
      <c r="W154" s="26"/>
      <c r="X154" s="26"/>
      <c r="Y154" s="26"/>
      <c r="Z154" s="26"/>
    </row>
    <row r="155" hidden="1" customHeight="1" spans="1:26">
      <c r="A155" s="27">
        <v>1510</v>
      </c>
      <c r="B155" s="27">
        <v>9</v>
      </c>
      <c r="C155" s="27" t="s">
        <v>1838</v>
      </c>
      <c r="D155" s="27" t="s">
        <v>1721</v>
      </c>
      <c r="E155" s="27" t="s">
        <v>2889</v>
      </c>
      <c r="F155" s="27" t="str">
        <f t="shared" si="0"/>
        <v>Temporal Latin Origin</v>
      </c>
      <c r="G155" s="27">
        <f t="shared" si="1"/>
        <v>9</v>
      </c>
      <c r="H155" s="27" t="s">
        <v>3070</v>
      </c>
      <c r="I155" s="27"/>
      <c r="J155" s="27"/>
      <c r="K155" s="27"/>
      <c r="L155" s="27" t="str">
        <f t="shared" si="2"/>
        <v>V</v>
      </c>
      <c r="M155" s="27" t="str">
        <f>IFERROR(__xludf.DUMMYFUNCTION("GOOGLETRANSLATE(C155,""EN"",""KN"")"),"ಸಮರ್ಥಿಸಿಕೊಳ್ಳಿ")</f>
        <v>ಸಮರ್ಥಿಸಿಕೊಳ್ಳಿ</v>
      </c>
      <c r="N155" s="27">
        <f t="array" ref="N155">_xlfn.XLOOKUP(B155,'Sets Progress'!I:I,'Sets Progress'!I:I,"NOT YET")</f>
        <v>9</v>
      </c>
      <c r="O155" s="27" t="str">
        <f t="array" ref="O155">_xlfn.XLOOKUP(L:L,'Overall Progress'!L:L,'Overall Progress'!L:L,"NOT YET")</f>
        <v>NOT YET</v>
      </c>
      <c r="P155" s="27"/>
      <c r="Q155" s="27"/>
      <c r="R155" s="27"/>
      <c r="S155" s="27"/>
      <c r="T155" s="27"/>
      <c r="U155" s="27"/>
      <c r="V155" s="27"/>
      <c r="W155" s="27"/>
      <c r="X155" s="27"/>
      <c r="Y155" s="27"/>
      <c r="Z155" s="27"/>
    </row>
    <row r="156" hidden="1" customHeight="1" spans="1:26">
      <c r="A156" s="26">
        <v>110</v>
      </c>
      <c r="B156" s="26">
        <v>10</v>
      </c>
      <c r="C156" s="26" t="s">
        <v>460</v>
      </c>
      <c r="D156" s="26" t="s">
        <v>2928</v>
      </c>
      <c r="E156" s="26" t="s">
        <v>2889</v>
      </c>
      <c r="F156" s="26" t="str">
        <f t="shared" si="0"/>
        <v>Philosophical Latin Origin</v>
      </c>
      <c r="G156" s="26">
        <f t="shared" si="1"/>
        <v>9</v>
      </c>
      <c r="H156" s="26" t="s">
        <v>3071</v>
      </c>
      <c r="I156" s="26"/>
      <c r="J156" s="26"/>
      <c r="K156" s="26"/>
      <c r="L156" s="26" t="str">
        <f t="shared" si="2"/>
        <v>A</v>
      </c>
      <c r="M156" s="26" t="str">
        <f>IFERROR(__xludf.DUMMYFUNCTION("GOOGLETRANSLATE(C156,""EN"",""KN"")"),"ಖಚಿತಪಡಿಸಿ")</f>
        <v>ಖಚಿತಪಡಿಸಿ</v>
      </c>
      <c r="N156" s="26">
        <f t="array" ref="N156">_xlfn.XLOOKUP(B156,'Sets Progress'!I:I,'Sets Progress'!I:I,"NOT YET")</f>
        <v>10</v>
      </c>
      <c r="O156" s="26" t="str">
        <f t="array" ref="O156">_xlfn.XLOOKUP(L:L,'Overall Progress'!L:L,'Overall Progress'!L:L,"NOT YET")</f>
        <v>NOT YET</v>
      </c>
      <c r="P156" s="26"/>
      <c r="Q156" s="26"/>
      <c r="R156" s="26"/>
      <c r="S156" s="26"/>
      <c r="T156" s="26"/>
      <c r="U156" s="26"/>
      <c r="V156" s="26"/>
      <c r="W156" s="26"/>
      <c r="X156" s="26"/>
      <c r="Y156" s="26"/>
      <c r="Z156" s="26"/>
    </row>
    <row r="157" hidden="1" customHeight="1" spans="1:26">
      <c r="A157" s="27">
        <v>144</v>
      </c>
      <c r="B157" s="27">
        <v>10</v>
      </c>
      <c r="C157" s="27" t="s">
        <v>493</v>
      </c>
      <c r="D157" s="27" t="s">
        <v>2716</v>
      </c>
      <c r="E157" s="27" t="s">
        <v>2911</v>
      </c>
      <c r="F157" s="27" t="str">
        <f t="shared" si="0"/>
        <v>Negative Traits French Origin</v>
      </c>
      <c r="G157" s="27">
        <f t="shared" si="1"/>
        <v>5</v>
      </c>
      <c r="H157" s="27" t="s">
        <v>3072</v>
      </c>
      <c r="I157" s="27"/>
      <c r="J157" s="27"/>
      <c r="K157" s="27"/>
      <c r="L157" s="27" t="str">
        <f t="shared" si="2"/>
        <v>B</v>
      </c>
      <c r="M157" s="27" t="str">
        <f>IFERROR(__xludf.DUMMYFUNCTION("GOOGLETRANSLATE(C157,""EN"",""KN"")"),"ಬಾನಲ್")</f>
        <v>ಬಾನಲ್</v>
      </c>
      <c r="N157" s="27">
        <f t="array" ref="N157">_xlfn.XLOOKUP(B157,'Sets Progress'!I:I,'Sets Progress'!I:I,"NOT YET")</f>
        <v>10</v>
      </c>
      <c r="O157" s="27" t="str">
        <f t="array" ref="O157">_xlfn.XLOOKUP(L:L,'Overall Progress'!L:L,'Overall Progress'!L:L,"NOT YET")</f>
        <v>NOT YET</v>
      </c>
      <c r="P157" s="27"/>
      <c r="Q157" s="27"/>
      <c r="R157" s="27"/>
      <c r="S157" s="27"/>
      <c r="T157" s="27"/>
      <c r="U157" s="27"/>
      <c r="V157" s="27"/>
      <c r="W157" s="27"/>
      <c r="X157" s="27"/>
      <c r="Y157" s="27"/>
      <c r="Z157" s="27"/>
    </row>
    <row r="158" hidden="1" customHeight="1" spans="1:26">
      <c r="A158" s="26">
        <v>198</v>
      </c>
      <c r="B158" s="26">
        <v>10</v>
      </c>
      <c r="C158" s="26" t="s">
        <v>548</v>
      </c>
      <c r="D158" s="26" t="s">
        <v>2716</v>
      </c>
      <c r="E158" s="26" t="s">
        <v>2889</v>
      </c>
      <c r="F158" s="26" t="str">
        <f t="shared" si="0"/>
        <v>Negative Traits Latin Origin</v>
      </c>
      <c r="G158" s="26">
        <f t="shared" si="1"/>
        <v>7</v>
      </c>
      <c r="H158" s="26" t="s">
        <v>3073</v>
      </c>
      <c r="I158" s="26"/>
      <c r="J158" s="26"/>
      <c r="K158" s="26"/>
      <c r="L158" s="26" t="str">
        <f t="shared" si="2"/>
        <v>C</v>
      </c>
      <c r="M158" s="26" t="str">
        <f>IFERROR(__xludf.DUMMYFUNCTION("GOOGLETRANSLATE(C158,""EN"",""KN"")"),"ಕಠೋರ")</f>
        <v>ಕಠೋರ</v>
      </c>
      <c r="N158" s="26">
        <f t="array" ref="N158">_xlfn.XLOOKUP(B158,'Sets Progress'!I:I,'Sets Progress'!I:I,"NOT YET")</f>
        <v>10</v>
      </c>
      <c r="O158" s="26" t="str">
        <f t="array" ref="O158">_xlfn.XLOOKUP(L:L,'Overall Progress'!L:L,'Overall Progress'!L:L,"NOT YET")</f>
        <v>NOT YET</v>
      </c>
      <c r="P158" s="26"/>
      <c r="Q158" s="26"/>
      <c r="R158" s="26"/>
      <c r="S158" s="26"/>
      <c r="T158" s="26"/>
      <c r="U158" s="26"/>
      <c r="V158" s="26"/>
      <c r="W158" s="26"/>
      <c r="X158" s="26"/>
      <c r="Y158" s="26"/>
      <c r="Z158" s="26"/>
    </row>
    <row r="159" hidden="1" customHeight="1" spans="1:26">
      <c r="A159" s="27">
        <v>355</v>
      </c>
      <c r="B159" s="27">
        <v>10</v>
      </c>
      <c r="C159" s="27" t="s">
        <v>705</v>
      </c>
      <c r="D159" s="27" t="s">
        <v>2716</v>
      </c>
      <c r="E159" s="27" t="s">
        <v>2889</v>
      </c>
      <c r="F159" s="27" t="str">
        <f t="shared" si="0"/>
        <v>Negative Traits Latin Origin</v>
      </c>
      <c r="G159" s="27">
        <f t="shared" si="1"/>
        <v>5</v>
      </c>
      <c r="H159" s="27" t="s">
        <v>3074</v>
      </c>
      <c r="I159" s="27"/>
      <c r="J159" s="27"/>
      <c r="K159" s="27"/>
      <c r="L159" s="27" t="str">
        <f t="shared" si="2"/>
        <v>D</v>
      </c>
      <c r="M159" s="27" t="str">
        <f>IFERROR(__xludf.DUMMYFUNCTION("GOOGLETRANSLATE(C159,""EN"",""KN"")"),"ಡಿಕ್ರೈ")</f>
        <v>ಡಿಕ್ರೈ</v>
      </c>
      <c r="N159" s="27">
        <f t="array" ref="N159">_xlfn.XLOOKUP(B159,'Sets Progress'!I:I,'Sets Progress'!I:I,"NOT YET")</f>
        <v>10</v>
      </c>
      <c r="O159" s="27" t="str">
        <f t="array" ref="O159">_xlfn.XLOOKUP(L:L,'Overall Progress'!L:L,'Overall Progress'!L:L,"NOT YET")</f>
        <v>NOT YET</v>
      </c>
      <c r="P159" s="27"/>
      <c r="Q159" s="27"/>
      <c r="R159" s="27"/>
      <c r="S159" s="27"/>
      <c r="T159" s="27"/>
      <c r="U159" s="27"/>
      <c r="V159" s="27"/>
      <c r="W159" s="27"/>
      <c r="X159" s="27"/>
      <c r="Y159" s="27"/>
      <c r="Z159" s="27"/>
    </row>
    <row r="160" hidden="1" customHeight="1" spans="1:26">
      <c r="A160" s="26">
        <v>469</v>
      </c>
      <c r="B160" s="26">
        <v>10</v>
      </c>
      <c r="C160" s="26" t="s">
        <v>818</v>
      </c>
      <c r="D160" s="26" t="s">
        <v>2892</v>
      </c>
      <c r="E160" s="26" t="s">
        <v>2889</v>
      </c>
      <c r="F160" s="26" t="str">
        <f t="shared" si="0"/>
        <v>Spatial Latin Origin</v>
      </c>
      <c r="G160" s="26">
        <f t="shared" si="1"/>
        <v>7</v>
      </c>
      <c r="H160" s="26" t="s">
        <v>3075</v>
      </c>
      <c r="I160" s="26"/>
      <c r="J160" s="26"/>
      <c r="K160" s="26"/>
      <c r="L160" s="26" t="str">
        <f t="shared" si="2"/>
        <v>E</v>
      </c>
      <c r="M160" s="26" t="str">
        <f>IFERROR(__xludf.DUMMYFUNCTION("GOOGLETRANSLATE(C160,""EN"",""KN"")"),"ಗ್ರಹಣ")</f>
        <v>ಗ್ರಹಣ</v>
      </c>
      <c r="N160" s="26">
        <f t="array" ref="N160">_xlfn.XLOOKUP(B160,'Sets Progress'!I:I,'Sets Progress'!I:I,"NOT YET")</f>
        <v>10</v>
      </c>
      <c r="O160" s="26" t="str">
        <f t="array" ref="O160">_xlfn.XLOOKUP(L:L,'Overall Progress'!L:L,'Overall Progress'!L:L,"NOT YET")</f>
        <v>NOT YET</v>
      </c>
      <c r="P160" s="26"/>
      <c r="Q160" s="26"/>
      <c r="R160" s="26"/>
      <c r="S160" s="26"/>
      <c r="T160" s="26"/>
      <c r="U160" s="26"/>
      <c r="V160" s="26"/>
      <c r="W160" s="26"/>
      <c r="X160" s="26"/>
      <c r="Y160" s="26"/>
      <c r="Z160" s="26"/>
    </row>
    <row r="161" hidden="1" customHeight="1" spans="1:26">
      <c r="A161" s="27">
        <v>479</v>
      </c>
      <c r="B161" s="27">
        <v>10</v>
      </c>
      <c r="C161" s="27" t="s">
        <v>828</v>
      </c>
      <c r="D161" s="27" t="s">
        <v>2716</v>
      </c>
      <c r="E161" s="27" t="s">
        <v>2889</v>
      </c>
      <c r="F161" s="27" t="str">
        <f t="shared" si="0"/>
        <v>Negative Traits Latin Origin</v>
      </c>
      <c r="G161" s="27">
        <f t="shared" si="1"/>
        <v>6</v>
      </c>
      <c r="H161" s="27" t="s">
        <v>3076</v>
      </c>
      <c r="I161" s="27"/>
      <c r="J161" s="27"/>
      <c r="K161" s="27"/>
      <c r="L161" s="27" t="str">
        <f t="shared" si="2"/>
        <v>E</v>
      </c>
      <c r="M161" s="27" t="str">
        <f>IFERROR(__xludf.DUMMYFUNCTION("GOOGLETRANSLATE(C161,""EN"",""KN"")"),"ಅಹಂಭಾವ")</f>
        <v>ಅಹಂಭಾವ</v>
      </c>
      <c r="N161" s="27">
        <f t="array" ref="N161">_xlfn.XLOOKUP(B161,'Sets Progress'!I:I,'Sets Progress'!I:I,"NOT YET")</f>
        <v>10</v>
      </c>
      <c r="O161" s="27" t="str">
        <f t="array" ref="O161">_xlfn.XLOOKUP(L:L,'Overall Progress'!L:L,'Overall Progress'!L:L,"NOT YET")</f>
        <v>NOT YET</v>
      </c>
      <c r="P161" s="27"/>
      <c r="Q161" s="27"/>
      <c r="R161" s="27"/>
      <c r="S161" s="27"/>
      <c r="T161" s="27"/>
      <c r="U161" s="27"/>
      <c r="V161" s="27"/>
      <c r="W161" s="27"/>
      <c r="X161" s="27"/>
      <c r="Y161" s="27"/>
      <c r="Z161" s="27"/>
    </row>
    <row r="162" hidden="1" customHeight="1" spans="1:26">
      <c r="A162" s="26">
        <v>554</v>
      </c>
      <c r="B162" s="26">
        <v>10</v>
      </c>
      <c r="C162" s="26" t="s">
        <v>900</v>
      </c>
      <c r="D162" s="26" t="s">
        <v>2717</v>
      </c>
      <c r="E162" s="26" t="s">
        <v>2889</v>
      </c>
      <c r="F162" s="26" t="str">
        <f t="shared" si="0"/>
        <v>Positive Traits Latin Origin</v>
      </c>
      <c r="G162" s="26">
        <f t="shared" si="1"/>
        <v>12</v>
      </c>
      <c r="H162" s="26" t="s">
        <v>3077</v>
      </c>
      <c r="I162" s="26"/>
      <c r="J162" s="26"/>
      <c r="K162" s="26"/>
      <c r="L162" s="26" t="str">
        <f t="shared" si="2"/>
        <v>E</v>
      </c>
      <c r="M162" s="26" t="str">
        <f>IFERROR(__xludf.DUMMYFUNCTION("GOOGLETRANSLATE(C162,""EN"",""KN"")"),"ಹರ್ಷದಾಯಕ")</f>
        <v>ಹರ್ಷದಾಯಕ</v>
      </c>
      <c r="N162" s="26">
        <f t="array" ref="N162">_xlfn.XLOOKUP(B162,'Sets Progress'!I:I,'Sets Progress'!I:I,"NOT YET")</f>
        <v>10</v>
      </c>
      <c r="O162" s="26" t="str">
        <f t="array" ref="O162">_xlfn.XLOOKUP(L:L,'Overall Progress'!L:L,'Overall Progress'!L:L,"NOT YET")</f>
        <v>NOT YET</v>
      </c>
      <c r="P162" s="26"/>
      <c r="Q162" s="26"/>
      <c r="R162" s="26"/>
      <c r="S162" s="26"/>
      <c r="T162" s="26"/>
      <c r="U162" s="26"/>
      <c r="V162" s="26"/>
      <c r="W162" s="26"/>
      <c r="X162" s="26"/>
      <c r="Y162" s="26"/>
      <c r="Z162" s="26"/>
    </row>
    <row r="163" hidden="1" customHeight="1" spans="1:26">
      <c r="A163" s="27">
        <v>753</v>
      </c>
      <c r="B163" s="27">
        <v>10</v>
      </c>
      <c r="C163" s="27" t="s">
        <v>1094</v>
      </c>
      <c r="D163" s="27" t="s">
        <v>2946</v>
      </c>
      <c r="E163" s="27" t="s">
        <v>2889</v>
      </c>
      <c r="F163" s="27" t="str">
        <f t="shared" si="0"/>
        <v>Emotional Latin Origin</v>
      </c>
      <c r="G163" s="27">
        <f t="shared" si="1"/>
        <v>11</v>
      </c>
      <c r="H163" s="27" t="s">
        <v>3078</v>
      </c>
      <c r="I163" s="27"/>
      <c r="J163" s="27"/>
      <c r="K163" s="27"/>
      <c r="L163" s="27" t="str">
        <f t="shared" si="2"/>
        <v>I</v>
      </c>
      <c r="M163" s="27" t="str">
        <f>IFERROR(__xludf.DUMMYFUNCTION("GOOGLETRANSLATE(C163,""EN"",""KN"")"),"ನಂಬಲಾಗದ")</f>
        <v>ನಂಬಲಾಗದ</v>
      </c>
      <c r="N163" s="27">
        <f t="array" ref="N163">_xlfn.XLOOKUP(B163,'Sets Progress'!I:I,'Sets Progress'!I:I,"NOT YET")</f>
        <v>10</v>
      </c>
      <c r="O163" s="27" t="str">
        <f t="array" ref="O163">_xlfn.XLOOKUP(L:L,'Overall Progress'!L:L,'Overall Progress'!L:L,"NOT YET")</f>
        <v>NOT YET</v>
      </c>
      <c r="P163" s="27"/>
      <c r="Q163" s="27"/>
      <c r="R163" s="27"/>
      <c r="S163" s="27"/>
      <c r="T163" s="27"/>
      <c r="U163" s="27"/>
      <c r="V163" s="27"/>
      <c r="W163" s="27"/>
      <c r="X163" s="27"/>
      <c r="Y163" s="27"/>
      <c r="Z163" s="27"/>
    </row>
    <row r="164" hidden="1" customHeight="1" spans="1:26">
      <c r="A164" s="26">
        <v>764</v>
      </c>
      <c r="B164" s="26">
        <v>10</v>
      </c>
      <c r="C164" s="26" t="s">
        <v>1105</v>
      </c>
      <c r="D164" s="26" t="s">
        <v>1721</v>
      </c>
      <c r="E164" s="26" t="s">
        <v>2889</v>
      </c>
      <c r="F164" s="26" t="str">
        <f t="shared" si="0"/>
        <v>Temporal Latin Origin</v>
      </c>
      <c r="G164" s="26">
        <f t="shared" si="1"/>
        <v>13</v>
      </c>
      <c r="H164" s="26" t="s">
        <v>3079</v>
      </c>
      <c r="I164" s="26"/>
      <c r="J164" s="26"/>
      <c r="K164" s="26"/>
      <c r="L164" s="26" t="str">
        <f t="shared" si="2"/>
        <v>I</v>
      </c>
      <c r="M164" s="26" t="str">
        <f>IFERROR(__xludf.DUMMYFUNCTION("GOOGLETRANSLATE(C164,""EN"",""KN"")"),"ಅಗ್ರಾಹ್ಯ")</f>
        <v>ಅಗ್ರಾಹ್ಯ</v>
      </c>
      <c r="N164" s="26">
        <f t="array" ref="N164">_xlfn.XLOOKUP(B164,'Sets Progress'!I:I,'Sets Progress'!I:I,"NOT YET")</f>
        <v>10</v>
      </c>
      <c r="O164" s="26" t="str">
        <f t="array" ref="O164">_xlfn.XLOOKUP(L:L,'Overall Progress'!L:L,'Overall Progress'!L:L,"NOT YET")</f>
        <v>NOT YET</v>
      </c>
      <c r="P164" s="26"/>
      <c r="Q164" s="26"/>
      <c r="R164" s="26"/>
      <c r="S164" s="26"/>
      <c r="T164" s="26"/>
      <c r="U164" s="26"/>
      <c r="V164" s="26"/>
      <c r="W164" s="26"/>
      <c r="X164" s="26"/>
      <c r="Y164" s="26"/>
      <c r="Z164" s="26"/>
    </row>
    <row r="165" hidden="1" customHeight="1" spans="1:26">
      <c r="A165" s="27">
        <v>775</v>
      </c>
      <c r="B165" s="27">
        <v>10</v>
      </c>
      <c r="C165" s="27" t="s">
        <v>1116</v>
      </c>
      <c r="D165" s="27" t="s">
        <v>1721</v>
      </c>
      <c r="E165" s="27" t="s">
        <v>2889</v>
      </c>
      <c r="F165" s="27" t="str">
        <f t="shared" si="0"/>
        <v>Temporal Latin Origin</v>
      </c>
      <c r="G165" s="27">
        <f t="shared" si="1"/>
        <v>11</v>
      </c>
      <c r="H165" s="27" t="s">
        <v>3080</v>
      </c>
      <c r="I165" s="27"/>
      <c r="J165" s="27"/>
      <c r="K165" s="27"/>
      <c r="L165" s="27" t="str">
        <f t="shared" si="2"/>
        <v>I</v>
      </c>
      <c r="M165" s="27" t="str">
        <f>IFERROR(__xludf.DUMMYFUNCTION("GOOGLETRANSLATE(C165,""EN"",""KN"")"),"ಅಂದಾಜು ಮಾಡಲಾಗದು")</f>
        <v>ಅಂದಾಜು ಮಾಡಲಾಗದು</v>
      </c>
      <c r="N165" s="27">
        <f t="array" ref="N165">_xlfn.XLOOKUP(B165,'Sets Progress'!I:I,'Sets Progress'!I:I,"NOT YET")</f>
        <v>10</v>
      </c>
      <c r="O165" s="27" t="str">
        <f t="array" ref="O165">_xlfn.XLOOKUP(L:L,'Overall Progress'!L:L,'Overall Progress'!L:L,"NOT YET")</f>
        <v>NOT YET</v>
      </c>
      <c r="P165" s="27"/>
      <c r="Q165" s="27"/>
      <c r="R165" s="27"/>
      <c r="S165" s="27"/>
      <c r="T165" s="27"/>
      <c r="U165" s="27"/>
      <c r="V165" s="27"/>
      <c r="W165" s="27"/>
      <c r="X165" s="27"/>
      <c r="Y165" s="27"/>
      <c r="Z165" s="27"/>
    </row>
    <row r="166" hidden="1" customHeight="1" spans="1:26">
      <c r="A166" s="26">
        <v>790</v>
      </c>
      <c r="B166" s="26">
        <v>10</v>
      </c>
      <c r="C166" s="26" t="s">
        <v>1131</v>
      </c>
      <c r="D166" s="26" t="s">
        <v>2716</v>
      </c>
      <c r="E166" s="26" t="s">
        <v>2889</v>
      </c>
      <c r="F166" s="26" t="str">
        <f t="shared" si="0"/>
        <v>Negative Traits Latin Origin</v>
      </c>
      <c r="G166" s="26">
        <f t="shared" si="1"/>
        <v>9</v>
      </c>
      <c r="H166" s="26" t="s">
        <v>3081</v>
      </c>
      <c r="I166" s="26"/>
      <c r="J166" s="26"/>
      <c r="K166" s="26"/>
      <c r="L166" s="26" t="str">
        <f t="shared" si="2"/>
        <v>I</v>
      </c>
      <c r="M166" s="26" t="str">
        <f>IFERROR(__xludf.DUMMYFUNCTION("GOOGLETRANSLATE(C166,""EN"",""KN"")"),"ಕಪಟ")</f>
        <v>ಕಪಟ</v>
      </c>
      <c r="N166" s="26">
        <f t="array" ref="N166">_xlfn.XLOOKUP(B166,'Sets Progress'!I:I,'Sets Progress'!I:I,"NOT YET")</f>
        <v>10</v>
      </c>
      <c r="O166" s="26" t="str">
        <f t="array" ref="O166">_xlfn.XLOOKUP(L:L,'Overall Progress'!L:L,'Overall Progress'!L:L,"NOT YET")</f>
        <v>NOT YET</v>
      </c>
      <c r="P166" s="26"/>
      <c r="Q166" s="26"/>
      <c r="R166" s="26"/>
      <c r="S166" s="26"/>
      <c r="T166" s="26"/>
      <c r="U166" s="26"/>
      <c r="V166" s="26"/>
      <c r="W166" s="26"/>
      <c r="X166" s="26"/>
      <c r="Y166" s="26"/>
      <c r="Z166" s="26"/>
    </row>
    <row r="167" hidden="1" customHeight="1" spans="1:26">
      <c r="A167" s="27">
        <v>809</v>
      </c>
      <c r="B167" s="27">
        <v>10</v>
      </c>
      <c r="C167" s="27" t="s">
        <v>1149</v>
      </c>
      <c r="D167" s="27" t="s">
        <v>1721</v>
      </c>
      <c r="E167" s="27" t="s">
        <v>2889</v>
      </c>
      <c r="F167" s="27" t="str">
        <f t="shared" si="0"/>
        <v>Temporal Latin Origin</v>
      </c>
      <c r="G167" s="27">
        <f t="shared" si="1"/>
        <v>8</v>
      </c>
      <c r="H167" s="27" t="s">
        <v>3082</v>
      </c>
      <c r="I167" s="27"/>
      <c r="J167" s="27"/>
      <c r="K167" s="27"/>
      <c r="L167" s="27" t="str">
        <f t="shared" si="2"/>
        <v>I</v>
      </c>
      <c r="M167" s="27" t="str">
        <f>IFERROR(__xludf.DUMMYFUNCTION("GOOGLETRANSLATE(C167,""EN"",""KN"")"),"ಆತ್ಮೀಯ")</f>
        <v>ಆತ್ಮೀಯ</v>
      </c>
      <c r="N167" s="27">
        <f t="array" ref="N167">_xlfn.XLOOKUP(B167,'Sets Progress'!I:I,'Sets Progress'!I:I,"NOT YET")</f>
        <v>10</v>
      </c>
      <c r="O167" s="27" t="str">
        <f t="array" ref="O167">_xlfn.XLOOKUP(L:L,'Overall Progress'!L:L,'Overall Progress'!L:L,"NOT YET")</f>
        <v>NOT YET</v>
      </c>
      <c r="P167" s="27"/>
      <c r="Q167" s="27"/>
      <c r="R167" s="27"/>
      <c r="S167" s="27"/>
      <c r="T167" s="27"/>
      <c r="U167" s="27"/>
      <c r="V167" s="27"/>
      <c r="W167" s="27"/>
      <c r="X167" s="27"/>
      <c r="Y167" s="27"/>
      <c r="Z167" s="27"/>
    </row>
    <row r="168" hidden="1" customHeight="1" spans="1:26">
      <c r="A168" s="26">
        <v>1112</v>
      </c>
      <c r="B168" s="26">
        <v>10</v>
      </c>
      <c r="C168" s="26" t="s">
        <v>1446</v>
      </c>
      <c r="D168" s="26" t="s">
        <v>2716</v>
      </c>
      <c r="E168" s="26" t="s">
        <v>2889</v>
      </c>
      <c r="F168" s="26" t="str">
        <f t="shared" si="0"/>
        <v>Negative Traits Latin Origin</v>
      </c>
      <c r="G168" s="26">
        <f t="shared" si="1"/>
        <v>11</v>
      </c>
      <c r="H168" s="26" t="s">
        <v>3083</v>
      </c>
      <c r="I168" s="26"/>
      <c r="J168" s="26"/>
      <c r="K168" s="26"/>
      <c r="L168" s="26" t="str">
        <f t="shared" si="2"/>
        <v>P</v>
      </c>
      <c r="M168" s="26" t="str">
        <f>IFERROR(__xludf.DUMMYFUNCTION("GOOGLETRANSLATE(C168,""EN"",""KN"")"),"ಆಡಂಬರದ")</f>
        <v>ಆಡಂಬರದ</v>
      </c>
      <c r="N168" s="26">
        <f t="array" ref="N168">_xlfn.XLOOKUP(B168,'Sets Progress'!I:I,'Sets Progress'!I:I,"NOT YET")</f>
        <v>10</v>
      </c>
      <c r="O168" s="26" t="str">
        <f t="array" ref="O168">_xlfn.XLOOKUP(L:L,'Overall Progress'!L:L,'Overall Progress'!L:L,"NOT YET")</f>
        <v>NOT YET</v>
      </c>
      <c r="P168" s="26"/>
      <c r="Q168" s="26"/>
      <c r="R168" s="26"/>
      <c r="S168" s="26"/>
      <c r="T168" s="26"/>
      <c r="U168" s="26"/>
      <c r="V168" s="26"/>
      <c r="W168" s="26"/>
      <c r="X168" s="26"/>
      <c r="Y168" s="26"/>
      <c r="Z168" s="26"/>
    </row>
    <row r="169" hidden="1" customHeight="1" spans="1:26">
      <c r="A169" s="27">
        <v>1160</v>
      </c>
      <c r="B169" s="27">
        <v>10</v>
      </c>
      <c r="C169" s="27" t="s">
        <v>1491</v>
      </c>
      <c r="D169" s="27" t="s">
        <v>2716</v>
      </c>
      <c r="E169" s="27" t="s">
        <v>2921</v>
      </c>
      <c r="F169" s="27" t="str">
        <f t="shared" si="0"/>
        <v>Negative Traits Unknown Origin</v>
      </c>
      <c r="G169" s="27">
        <f t="shared" si="1"/>
        <v>6</v>
      </c>
      <c r="H169" s="27" t="s">
        <v>3084</v>
      </c>
      <c r="I169" s="27"/>
      <c r="J169" s="27"/>
      <c r="K169" s="27"/>
      <c r="L169" s="27" t="str">
        <f t="shared" si="2"/>
        <v>Q</v>
      </c>
      <c r="M169" s="27" t="str">
        <f>IFERROR(__xludf.DUMMYFUNCTION("GOOGLETRANSLATE(C169,""EN"",""KN"")"),"ಚಮತ್ಕಾರಿ")</f>
        <v>ಚಮತ್ಕಾರಿ</v>
      </c>
      <c r="N169" s="27">
        <f t="array" ref="N169">_xlfn.XLOOKUP(B169,'Sets Progress'!I:I,'Sets Progress'!I:I,"NOT YET")</f>
        <v>10</v>
      </c>
      <c r="O169" s="27" t="str">
        <f t="array" ref="O169">_xlfn.XLOOKUP(L:L,'Overall Progress'!L:L,'Overall Progress'!L:L,"NOT YET")</f>
        <v>NOT YET</v>
      </c>
      <c r="P169" s="27"/>
      <c r="Q169" s="27"/>
      <c r="R169" s="27"/>
      <c r="S169" s="27"/>
      <c r="T169" s="27"/>
      <c r="U169" s="27"/>
      <c r="V169" s="27"/>
      <c r="W169" s="27"/>
      <c r="X169" s="27"/>
      <c r="Y169" s="27"/>
      <c r="Z169" s="27"/>
    </row>
    <row r="170" hidden="1" customHeight="1" spans="1:26">
      <c r="A170" s="26">
        <v>1184</v>
      </c>
      <c r="B170" s="26">
        <v>10</v>
      </c>
      <c r="C170" s="26" t="s">
        <v>1515</v>
      </c>
      <c r="D170" s="26" t="s">
        <v>2717</v>
      </c>
      <c r="E170" s="26" t="s">
        <v>2889</v>
      </c>
      <c r="F170" s="26" t="str">
        <f t="shared" si="0"/>
        <v>Positive Traits Latin Origin</v>
      </c>
      <c r="G170" s="26">
        <f t="shared" si="1"/>
        <v>11</v>
      </c>
      <c r="H170" s="26" t="s">
        <v>3085</v>
      </c>
      <c r="I170" s="26"/>
      <c r="J170" s="26"/>
      <c r="K170" s="26"/>
      <c r="L170" s="26" t="str">
        <f t="shared" si="2"/>
        <v>R</v>
      </c>
      <c r="M170" s="26" t="str">
        <f>IFERROR(__xludf.DUMMYFUNCTION("GOOGLETRANSLATE(C170,""EN"",""KN"")"),"ಅನುಮಾನಾಸ್ಪದ")</f>
        <v>ಅನುಮಾನಾಸ್ಪದ</v>
      </c>
      <c r="N170" s="26">
        <f t="array" ref="N170">_xlfn.XLOOKUP(B170,'Sets Progress'!I:I,'Sets Progress'!I:I,"NOT YET")</f>
        <v>10</v>
      </c>
      <c r="O170" s="26" t="str">
        <f t="array" ref="O170">_xlfn.XLOOKUP(L:L,'Overall Progress'!L:L,'Overall Progress'!L:L,"NOT YET")</f>
        <v>NOT YET</v>
      </c>
      <c r="P170" s="26"/>
      <c r="Q170" s="26"/>
      <c r="R170" s="26"/>
      <c r="S170" s="26"/>
      <c r="T170" s="26"/>
      <c r="U170" s="26"/>
      <c r="V170" s="26"/>
      <c r="W170" s="26"/>
      <c r="X170" s="26"/>
      <c r="Y170" s="26"/>
      <c r="Z170" s="26"/>
    </row>
    <row r="171" hidden="1" customHeight="1" spans="1:26">
      <c r="A171" s="27">
        <v>1188</v>
      </c>
      <c r="B171" s="27">
        <v>10</v>
      </c>
      <c r="C171" s="27" t="s">
        <v>1519</v>
      </c>
      <c r="D171" s="27" t="s">
        <v>1721</v>
      </c>
      <c r="E171" s="27" t="s">
        <v>2889</v>
      </c>
      <c r="F171" s="27" t="str">
        <f t="shared" si="0"/>
        <v>Temporal Latin Origin</v>
      </c>
      <c r="G171" s="27">
        <f t="shared" si="1"/>
        <v>6</v>
      </c>
      <c r="H171" s="27" t="s">
        <v>3086</v>
      </c>
      <c r="I171" s="27"/>
      <c r="J171" s="27"/>
      <c r="K171" s="27"/>
      <c r="L171" s="27" t="str">
        <f t="shared" si="2"/>
        <v>R</v>
      </c>
      <c r="M171" s="27" t="str">
        <f>IFERROR(__xludf.DUMMYFUNCTION("GOOGLETRANSLATE(C171,""EN"",""KN"")"),"ನಿರಾಕರಿಸು")</f>
        <v>ನಿರಾಕರಿಸು</v>
      </c>
      <c r="N171" s="27">
        <f t="array" ref="N171">_xlfn.XLOOKUP(B171,'Sets Progress'!I:I,'Sets Progress'!I:I,"NOT YET")</f>
        <v>10</v>
      </c>
      <c r="O171" s="27" t="str">
        <f t="array" ref="O171">_xlfn.XLOOKUP(L:L,'Overall Progress'!L:L,'Overall Progress'!L:L,"NOT YET")</f>
        <v>NOT YET</v>
      </c>
      <c r="P171" s="27"/>
      <c r="Q171" s="27"/>
      <c r="R171" s="27"/>
      <c r="S171" s="27"/>
      <c r="T171" s="27"/>
      <c r="U171" s="27"/>
      <c r="V171" s="27"/>
      <c r="W171" s="27"/>
      <c r="X171" s="27"/>
      <c r="Y171" s="27"/>
      <c r="Z171" s="27"/>
    </row>
    <row r="172" hidden="1" customHeight="1" spans="1:26">
      <c r="A172" s="26">
        <v>1212</v>
      </c>
      <c r="B172" s="26">
        <v>10</v>
      </c>
      <c r="C172" s="26" t="s">
        <v>1543</v>
      </c>
      <c r="D172" s="26" t="s">
        <v>2716</v>
      </c>
      <c r="E172" s="26" t="s">
        <v>2889</v>
      </c>
      <c r="F172" s="26" t="str">
        <f t="shared" si="0"/>
        <v>Negative Traits Latin Origin</v>
      </c>
      <c r="G172" s="26">
        <f t="shared" si="1"/>
        <v>9</v>
      </c>
      <c r="H172" s="26" t="s">
        <v>3087</v>
      </c>
      <c r="I172" s="26"/>
      <c r="J172" s="26"/>
      <c r="K172" s="26"/>
      <c r="L172" s="26" t="str">
        <f t="shared" si="2"/>
        <v>R</v>
      </c>
      <c r="M172" s="26" t="str">
        <f>IFERROR(__xludf.DUMMYFUNCTION("GOOGLETRANSLATE(C172,""EN"",""KN"")"),"ನಿರಾಕರಿಸು")</f>
        <v>ನಿರಾಕರಿಸು</v>
      </c>
      <c r="N172" s="26">
        <f t="array" ref="N172">_xlfn.XLOOKUP(B172,'Sets Progress'!I:I,'Sets Progress'!I:I,"NOT YET")</f>
        <v>10</v>
      </c>
      <c r="O172" s="26" t="str">
        <f t="array" ref="O172">_xlfn.XLOOKUP(L:L,'Overall Progress'!L:L,'Overall Progress'!L:L,"NOT YET")</f>
        <v>NOT YET</v>
      </c>
      <c r="P172" s="26"/>
      <c r="Q172" s="26"/>
      <c r="R172" s="26"/>
      <c r="S172" s="26"/>
      <c r="T172" s="26"/>
      <c r="U172" s="26"/>
      <c r="V172" s="26"/>
      <c r="W172" s="26"/>
      <c r="X172" s="26"/>
      <c r="Y172" s="26"/>
      <c r="Z172" s="26"/>
    </row>
    <row r="173" hidden="1" customHeight="1" spans="1:26">
      <c r="A173" s="27">
        <v>1339</v>
      </c>
      <c r="B173" s="27">
        <v>10</v>
      </c>
      <c r="C173" s="27" t="s">
        <v>1670</v>
      </c>
      <c r="D173" s="27" t="s">
        <v>1721</v>
      </c>
      <c r="E173" s="27" t="s">
        <v>2889</v>
      </c>
      <c r="F173" s="27" t="str">
        <f t="shared" si="0"/>
        <v>Temporal Latin Origin</v>
      </c>
      <c r="G173" s="27">
        <f t="shared" si="1"/>
        <v>11</v>
      </c>
      <c r="H173" s="27" t="s">
        <v>3088</v>
      </c>
      <c r="I173" s="27"/>
      <c r="J173" s="27"/>
      <c r="K173" s="27"/>
      <c r="L173" s="27" t="str">
        <f t="shared" si="2"/>
        <v>S</v>
      </c>
      <c r="M173" s="27" t="str">
        <f>IFERROR(__xludf.DUMMYFUNCTION("GOOGLETRANSLATE(C173,""EN"",""KN"")"),"ಅಧೀನ")</f>
        <v>ಅಧೀನ</v>
      </c>
      <c r="N173" s="27">
        <f t="array" ref="N173">_xlfn.XLOOKUP(B173,'Sets Progress'!I:I,'Sets Progress'!I:I,"NOT YET")</f>
        <v>10</v>
      </c>
      <c r="O173" s="27" t="str">
        <f t="array" ref="O173">_xlfn.XLOOKUP(L:L,'Overall Progress'!L:L,'Overall Progress'!L:L,"NOT YET")</f>
        <v>NOT YET</v>
      </c>
      <c r="P173" s="27"/>
      <c r="Q173" s="27"/>
      <c r="R173" s="27"/>
      <c r="S173" s="27"/>
      <c r="T173" s="27"/>
      <c r="U173" s="27"/>
      <c r="V173" s="27"/>
      <c r="W173" s="27"/>
      <c r="X173" s="27"/>
      <c r="Y173" s="27"/>
      <c r="Z173" s="27"/>
    </row>
    <row r="174" hidden="1" customHeight="1" spans="1:26">
      <c r="A174" s="26">
        <v>1447</v>
      </c>
      <c r="B174" s="26">
        <v>10</v>
      </c>
      <c r="C174" s="26" t="s">
        <v>1775</v>
      </c>
      <c r="D174" s="26" t="s">
        <v>2716</v>
      </c>
      <c r="E174" s="26" t="s">
        <v>2908</v>
      </c>
      <c r="F174" s="26" t="str">
        <f t="shared" si="0"/>
        <v>Negative Traits Old English Origin</v>
      </c>
      <c r="G174" s="26">
        <f t="shared" si="1"/>
        <v>15</v>
      </c>
      <c r="H174" s="26" t="s">
        <v>3089</v>
      </c>
      <c r="I174" s="26"/>
      <c r="J174" s="26"/>
      <c r="K174" s="26"/>
      <c r="L174" s="26" t="str">
        <f t="shared" si="2"/>
        <v>U</v>
      </c>
      <c r="M174" s="26" t="str">
        <f>IFERROR(__xludf.DUMMYFUNCTION("GOOGLETRANSLATE(C174,""EN"",""KN"")"),"ಪ್ರದರ್ಶಿಸದ")</f>
        <v>ಪ್ರದರ್ಶಿಸದ</v>
      </c>
      <c r="N174" s="26">
        <f t="array" ref="N174">_xlfn.XLOOKUP(B174,'Sets Progress'!I:I,'Sets Progress'!I:I,"NOT YET")</f>
        <v>10</v>
      </c>
      <c r="O174" s="26" t="str">
        <f t="array" ref="O174">_xlfn.XLOOKUP(L:L,'Overall Progress'!L:L,'Overall Progress'!L:L,"NOT YET")</f>
        <v>NOT YET</v>
      </c>
      <c r="P174" s="26"/>
      <c r="Q174" s="26"/>
      <c r="R174" s="26"/>
      <c r="S174" s="26"/>
      <c r="T174" s="26"/>
      <c r="U174" s="26"/>
      <c r="V174" s="26"/>
      <c r="W174" s="26"/>
      <c r="X174" s="26"/>
      <c r="Y174" s="26"/>
      <c r="Z174" s="26"/>
    </row>
    <row r="175" hidden="1" customHeight="1" spans="1:26">
      <c r="A175" s="27">
        <v>295</v>
      </c>
      <c r="B175" s="27">
        <v>11</v>
      </c>
      <c r="C175" s="27" t="s">
        <v>648</v>
      </c>
      <c r="D175" s="27" t="s">
        <v>2716</v>
      </c>
      <c r="E175" s="27" t="s">
        <v>2889</v>
      </c>
      <c r="F175" s="27" t="str">
        <f t="shared" si="0"/>
        <v>Negative Traits Latin Origin</v>
      </c>
      <c r="G175" s="27">
        <f t="shared" si="1"/>
        <v>12</v>
      </c>
      <c r="H175" s="27" t="s">
        <v>3090</v>
      </c>
      <c r="I175" s="27"/>
      <c r="J175" s="27"/>
      <c r="K175" s="27"/>
      <c r="L175" s="27" t="str">
        <f t="shared" si="2"/>
        <v>C</v>
      </c>
      <c r="M175" s="27" t="str">
        <f>IFERROR(__xludf.DUMMYFUNCTION("GOOGLETRANSLATE(C175,""EN"",""KN"")"),"ಅವಹೇಳನಕಾರಿ")</f>
        <v>ಅವಹೇಳನಕಾರಿ</v>
      </c>
      <c r="N175" s="27">
        <f t="array" ref="N175">_xlfn.XLOOKUP(B175,'Sets Progress'!I:I,'Sets Progress'!I:I,"NOT YET")</f>
        <v>11</v>
      </c>
      <c r="O175" s="27" t="str">
        <f t="array" ref="O175">_xlfn.XLOOKUP(L:L,'Overall Progress'!L:L,'Overall Progress'!L:L,"NOT YET")</f>
        <v>NOT YET</v>
      </c>
      <c r="P175" s="27"/>
      <c r="Q175" s="27"/>
      <c r="R175" s="27"/>
      <c r="S175" s="27"/>
      <c r="T175" s="27"/>
      <c r="U175" s="27"/>
      <c r="V175" s="27"/>
      <c r="W175" s="27"/>
      <c r="X175" s="27"/>
      <c r="Y175" s="27"/>
      <c r="Z175" s="27"/>
    </row>
    <row r="176" hidden="1" customHeight="1" spans="1:26">
      <c r="A176" s="26">
        <v>629</v>
      </c>
      <c r="B176" s="26">
        <v>11</v>
      </c>
      <c r="C176" s="26" t="s">
        <v>973</v>
      </c>
      <c r="D176" s="26" t="s">
        <v>1721</v>
      </c>
      <c r="E176" s="26" t="s">
        <v>2908</v>
      </c>
      <c r="F176" s="26" t="str">
        <f t="shared" si="0"/>
        <v>Temporal Old English Origin</v>
      </c>
      <c r="G176" s="26">
        <f t="shared" si="1"/>
        <v>6</v>
      </c>
      <c r="H176" s="26" t="s">
        <v>3091</v>
      </c>
      <c r="I176" s="26"/>
      <c r="J176" s="26"/>
      <c r="K176" s="26"/>
      <c r="L176" s="26" t="str">
        <f t="shared" si="2"/>
        <v>F</v>
      </c>
      <c r="M176" s="26" t="str">
        <f>IFERROR(__xludf.DUMMYFUNCTION("GOOGLETRANSLATE(C176,""EN"",""KN"")"),"ಫಾಸ್ಟರ್")</f>
        <v>ಫಾಸ್ಟರ್</v>
      </c>
      <c r="N176" s="26">
        <f t="array" ref="N176">_xlfn.XLOOKUP(B176,'Sets Progress'!I:I,'Sets Progress'!I:I,"NOT YET")</f>
        <v>11</v>
      </c>
      <c r="O176" s="26" t="str">
        <f t="array" ref="O176">_xlfn.XLOOKUP(L:L,'Overall Progress'!L:L,'Overall Progress'!L:L,"NOT YET")</f>
        <v>NOT YET</v>
      </c>
      <c r="P176" s="26"/>
      <c r="Q176" s="26"/>
      <c r="R176" s="26"/>
      <c r="S176" s="26"/>
      <c r="T176" s="26"/>
      <c r="U176" s="26"/>
      <c r="V176" s="26"/>
      <c r="W176" s="26"/>
      <c r="X176" s="26"/>
      <c r="Y176" s="26"/>
      <c r="Z176" s="26"/>
    </row>
    <row r="177" hidden="1" customHeight="1" spans="1:26">
      <c r="A177" s="27">
        <v>745</v>
      </c>
      <c r="B177" s="27">
        <v>11</v>
      </c>
      <c r="C177" s="27" t="s">
        <v>1086</v>
      </c>
      <c r="D177" s="27" t="s">
        <v>1721</v>
      </c>
      <c r="E177" s="27" t="s">
        <v>2889</v>
      </c>
      <c r="F177" s="27" t="str">
        <f t="shared" si="0"/>
        <v>Temporal Latin Origin</v>
      </c>
      <c r="G177" s="27">
        <f t="shared" si="1"/>
        <v>8</v>
      </c>
      <c r="H177" s="27" t="s">
        <v>3092</v>
      </c>
      <c r="I177" s="27"/>
      <c r="J177" s="27"/>
      <c r="K177" s="27"/>
      <c r="L177" s="27" t="str">
        <f t="shared" si="2"/>
        <v>I</v>
      </c>
      <c r="M177" s="27" t="str">
        <f>IFERROR(__xludf.DUMMYFUNCTION("GOOGLETRANSLATE(C177,""EN"",""KN"")"),"ಇಂಚಾಟ್")</f>
        <v>ಇಂಚಾಟ್</v>
      </c>
      <c r="N177" s="27">
        <f t="array" ref="N177">_xlfn.XLOOKUP(B177,'Sets Progress'!I:I,'Sets Progress'!I:I,"NOT YET")</f>
        <v>11</v>
      </c>
      <c r="O177" s="27" t="str">
        <f t="array" ref="O177">_xlfn.XLOOKUP(L:L,'Overall Progress'!L:L,'Overall Progress'!L:L,"NOT YET")</f>
        <v>NOT YET</v>
      </c>
      <c r="P177" s="27"/>
      <c r="Q177" s="27"/>
      <c r="R177" s="27"/>
      <c r="S177" s="27"/>
      <c r="T177" s="27"/>
      <c r="U177" s="27"/>
      <c r="V177" s="27"/>
      <c r="W177" s="27"/>
      <c r="X177" s="27"/>
      <c r="Y177" s="27"/>
      <c r="Z177" s="27"/>
    </row>
    <row r="178" hidden="1" customHeight="1" spans="1:26">
      <c r="A178" s="26">
        <v>827</v>
      </c>
      <c r="B178" s="26">
        <v>11</v>
      </c>
      <c r="C178" s="26" t="s">
        <v>1167</v>
      </c>
      <c r="D178" s="26" t="s">
        <v>2716</v>
      </c>
      <c r="E178" s="26" t="s">
        <v>2889</v>
      </c>
      <c r="F178" s="26" t="str">
        <f t="shared" si="0"/>
        <v>Negative Traits Latin Origin</v>
      </c>
      <c r="G178" s="26">
        <f t="shared" si="1"/>
        <v>3</v>
      </c>
      <c r="H178" s="26" t="s">
        <v>3093</v>
      </c>
      <c r="I178" s="26"/>
      <c r="J178" s="26"/>
      <c r="K178" s="26"/>
      <c r="L178" s="26" t="str">
        <f t="shared" si="2"/>
        <v>I</v>
      </c>
      <c r="M178" s="26" t="str">
        <f>IFERROR(__xludf.DUMMYFUNCTION("GOOGLETRANSLATE(C178,""EN"",""KN"")"),"ಐರ್")</f>
        <v>ಐರ್</v>
      </c>
      <c r="N178" s="26">
        <f t="array" ref="N178">_xlfn.XLOOKUP(B178,'Sets Progress'!I:I,'Sets Progress'!I:I,"NOT YET")</f>
        <v>11</v>
      </c>
      <c r="O178" s="26" t="str">
        <f t="array" ref="O178">_xlfn.XLOOKUP(L:L,'Overall Progress'!L:L,'Overall Progress'!L:L,"NOT YET")</f>
        <v>NOT YET</v>
      </c>
      <c r="P178" s="26"/>
      <c r="Q178" s="26"/>
      <c r="R178" s="26"/>
      <c r="S178" s="26"/>
      <c r="T178" s="26"/>
      <c r="U178" s="26"/>
      <c r="V178" s="26"/>
      <c r="W178" s="26"/>
      <c r="X178" s="26"/>
      <c r="Y178" s="26"/>
      <c r="Z178" s="26"/>
    </row>
    <row r="179" hidden="1" customHeight="1" spans="1:26">
      <c r="A179" s="27">
        <v>938</v>
      </c>
      <c r="B179" s="27">
        <v>11</v>
      </c>
      <c r="C179" s="27" t="s">
        <v>1274</v>
      </c>
      <c r="D179" s="27" t="s">
        <v>2716</v>
      </c>
      <c r="E179" s="27" t="s">
        <v>2893</v>
      </c>
      <c r="F179" s="27" t="str">
        <f t="shared" si="0"/>
        <v>Negative Traits Greek Origin</v>
      </c>
      <c r="G179" s="27">
        <f t="shared" si="1"/>
        <v>6</v>
      </c>
      <c r="H179" s="27" t="s">
        <v>3094</v>
      </c>
      <c r="I179" s="27"/>
      <c r="J179" s="27"/>
      <c r="K179" s="27"/>
      <c r="L179" s="27" t="str">
        <f t="shared" si="2"/>
        <v>M</v>
      </c>
      <c r="M179" s="27" t="str">
        <f>IFERROR(__xludf.DUMMYFUNCTION("GOOGLETRANSLATE(C179,""EN"",""KN"")"),"ಸಮೀಪದೃಷ್ಟಿ")</f>
        <v>ಸಮೀಪದೃಷ್ಟಿ</v>
      </c>
      <c r="N179" s="27">
        <f t="array" ref="N179">_xlfn.XLOOKUP(B179,'Sets Progress'!I:I,'Sets Progress'!I:I,"NOT YET")</f>
        <v>11</v>
      </c>
      <c r="O179" s="27" t="str">
        <f t="array" ref="O179">_xlfn.XLOOKUP(L:L,'Overall Progress'!L:L,'Overall Progress'!L:L,"NOT YET")</f>
        <v>NOT YET</v>
      </c>
      <c r="P179" s="27"/>
      <c r="Q179" s="27"/>
      <c r="R179" s="27"/>
      <c r="S179" s="27"/>
      <c r="T179" s="27"/>
      <c r="U179" s="27"/>
      <c r="V179" s="27"/>
      <c r="W179" s="27"/>
      <c r="X179" s="27"/>
      <c r="Y179" s="27"/>
      <c r="Z179" s="27"/>
    </row>
    <row r="180" hidden="1" customHeight="1" spans="1:26">
      <c r="A180" s="26">
        <v>1054</v>
      </c>
      <c r="B180" s="26">
        <v>11</v>
      </c>
      <c r="C180" s="26" t="s">
        <v>1389</v>
      </c>
      <c r="D180" s="26" t="s">
        <v>2717</v>
      </c>
      <c r="E180" s="26" t="s">
        <v>2889</v>
      </c>
      <c r="F180" s="26" t="str">
        <f t="shared" si="0"/>
        <v>Positive Traits Latin Origin</v>
      </c>
      <c r="G180" s="26">
        <f t="shared" si="1"/>
        <v>12</v>
      </c>
      <c r="H180" s="26" t="s">
        <v>3095</v>
      </c>
      <c r="I180" s="26"/>
      <c r="J180" s="26"/>
      <c r="K180" s="26"/>
      <c r="L180" s="26" t="str">
        <f t="shared" si="2"/>
        <v>P</v>
      </c>
      <c r="M180" s="26" t="str">
        <f>IFERROR(__xludf.DUMMYFUNCTION("GOOGLETRANSLATE(C180,""EN"",""KN"")"),"ಸೂಕ್ಷ್ಮತೆ")</f>
        <v>ಸೂಕ್ಷ್ಮತೆ</v>
      </c>
      <c r="N180" s="26">
        <f t="array" ref="N180">_xlfn.XLOOKUP(B180,'Sets Progress'!I:I,'Sets Progress'!I:I,"NOT YET")</f>
        <v>11</v>
      </c>
      <c r="O180" s="26" t="str">
        <f t="array" ref="O180">_xlfn.XLOOKUP(L:L,'Overall Progress'!L:L,'Overall Progress'!L:L,"NOT YET")</f>
        <v>NOT YET</v>
      </c>
      <c r="P180" s="26"/>
      <c r="Q180" s="26"/>
      <c r="R180" s="26"/>
      <c r="S180" s="26"/>
      <c r="T180" s="26"/>
      <c r="U180" s="26"/>
      <c r="V180" s="26"/>
      <c r="W180" s="26"/>
      <c r="X180" s="26"/>
      <c r="Y180" s="26"/>
      <c r="Z180" s="26"/>
    </row>
    <row r="181" hidden="1" customHeight="1" spans="1:26">
      <c r="A181" s="27">
        <v>1225</v>
      </c>
      <c r="B181" s="27">
        <v>11</v>
      </c>
      <c r="C181" s="27" t="s">
        <v>1556</v>
      </c>
      <c r="D181" s="27" t="s">
        <v>2717</v>
      </c>
      <c r="E181" s="27" t="s">
        <v>2889</v>
      </c>
      <c r="F181" s="27" t="str">
        <f t="shared" si="0"/>
        <v>Positive Traits Latin Origin</v>
      </c>
      <c r="G181" s="27">
        <f t="shared" si="1"/>
        <v>9</v>
      </c>
      <c r="H181" s="27" t="s">
        <v>3096</v>
      </c>
      <c r="I181" s="27"/>
      <c r="J181" s="27"/>
      <c r="K181" s="27"/>
      <c r="L181" s="27" t="str">
        <f t="shared" si="2"/>
        <v>R</v>
      </c>
      <c r="M181" s="27" t="str">
        <f>IFERROR(__xludf.DUMMYFUNCTION("GOOGLETRANSLATE(C181,""EN"",""KN"")"),"ಪುನರುತ್ಥಾನ")</f>
        <v>ಪುನರುತ್ಥಾನ</v>
      </c>
      <c r="N181" s="27">
        <f t="array" ref="N181">_xlfn.XLOOKUP(B181,'Sets Progress'!I:I,'Sets Progress'!I:I,"NOT YET")</f>
        <v>11</v>
      </c>
      <c r="O181" s="27" t="str">
        <f t="array" ref="O181">_xlfn.XLOOKUP(L:L,'Overall Progress'!L:L,'Overall Progress'!L:L,"NOT YET")</f>
        <v>NOT YET</v>
      </c>
      <c r="P181" s="27"/>
      <c r="Q181" s="27"/>
      <c r="R181" s="27"/>
      <c r="S181" s="27"/>
      <c r="T181" s="27"/>
      <c r="U181" s="27"/>
      <c r="V181" s="27"/>
      <c r="W181" s="27"/>
      <c r="X181" s="27"/>
      <c r="Y181" s="27"/>
      <c r="Z181" s="27"/>
    </row>
    <row r="182" hidden="1" customHeight="1" spans="1:26">
      <c r="A182" s="26">
        <v>1302</v>
      </c>
      <c r="B182" s="26">
        <v>11</v>
      </c>
      <c r="C182" s="26" t="s">
        <v>1633</v>
      </c>
      <c r="D182" s="26" t="s">
        <v>1721</v>
      </c>
      <c r="E182" s="26" t="s">
        <v>2889</v>
      </c>
      <c r="F182" s="26" t="str">
        <f t="shared" si="0"/>
        <v>Temporal Latin Origin</v>
      </c>
      <c r="G182" s="26">
        <f t="shared" si="1"/>
        <v>9</v>
      </c>
      <c r="H182" s="26" t="s">
        <v>3097</v>
      </c>
      <c r="I182" s="26"/>
      <c r="J182" s="26"/>
      <c r="K182" s="26"/>
      <c r="L182" s="26" t="str">
        <f t="shared" si="2"/>
        <v>S</v>
      </c>
      <c r="M182" s="26" t="str">
        <f>IFERROR(__xludf.DUMMYFUNCTION("GOOGLETRANSLATE(C182,""EN"",""KN"")"),"ಸ್ವಗತ")</f>
        <v>ಸ್ವಗತ</v>
      </c>
      <c r="N182" s="26">
        <f t="array" ref="N182">_xlfn.XLOOKUP(B182,'Sets Progress'!I:I,'Sets Progress'!I:I,"NOT YET")</f>
        <v>11</v>
      </c>
      <c r="O182" s="26" t="str">
        <f t="array" ref="O182">_xlfn.XLOOKUP(L:L,'Overall Progress'!L:L,'Overall Progress'!L:L,"NOT YET")</f>
        <v>NOT YET</v>
      </c>
      <c r="P182" s="26"/>
      <c r="Q182" s="26"/>
      <c r="R182" s="26"/>
      <c r="S182" s="26"/>
      <c r="T182" s="26"/>
      <c r="U182" s="26"/>
      <c r="V182" s="26"/>
      <c r="W182" s="26"/>
      <c r="X182" s="26"/>
      <c r="Y182" s="26"/>
      <c r="Z182" s="26"/>
    </row>
    <row r="183" hidden="1" customHeight="1" spans="1:26">
      <c r="A183" s="27">
        <v>1380</v>
      </c>
      <c r="B183" s="27">
        <v>11</v>
      </c>
      <c r="C183" s="27" t="s">
        <v>1711</v>
      </c>
      <c r="D183" s="27" t="s">
        <v>2717</v>
      </c>
      <c r="E183" s="27" t="s">
        <v>2889</v>
      </c>
      <c r="F183" s="27" t="str">
        <f t="shared" si="0"/>
        <v>Positive Traits Latin Origin</v>
      </c>
      <c r="G183" s="27">
        <f t="shared" si="1"/>
        <v>8</v>
      </c>
      <c r="H183" s="27" t="s">
        <v>3098</v>
      </c>
      <c r="I183" s="27"/>
      <c r="J183" s="27"/>
      <c r="K183" s="27"/>
      <c r="L183" s="27" t="str">
        <f t="shared" si="2"/>
        <v>T</v>
      </c>
      <c r="M183" s="27" t="str">
        <f>IFERROR(__xludf.DUMMYFUNCTION("GOOGLETRANSLATE(C183,""EN"",""KN"")"),"ಮೂರ್ತ")</f>
        <v>ಮೂರ್ತ</v>
      </c>
      <c r="N183" s="27">
        <f t="array" ref="N183">_xlfn.XLOOKUP(B183,'Sets Progress'!I:I,'Sets Progress'!I:I,"NOT YET")</f>
        <v>11</v>
      </c>
      <c r="O183" s="27" t="str">
        <f t="array" ref="O183">_xlfn.XLOOKUP(L:L,'Overall Progress'!L:L,'Overall Progress'!L:L,"NOT YET")</f>
        <v>NOT YET</v>
      </c>
      <c r="P183" s="27"/>
      <c r="Q183" s="27"/>
      <c r="R183" s="27"/>
      <c r="S183" s="27"/>
      <c r="T183" s="27"/>
      <c r="U183" s="27"/>
      <c r="V183" s="27"/>
      <c r="W183" s="27"/>
      <c r="X183" s="27"/>
      <c r="Y183" s="27"/>
      <c r="Z183" s="27"/>
    </row>
    <row r="184" hidden="1" customHeight="1" spans="1:26">
      <c r="A184" s="26">
        <v>1381</v>
      </c>
      <c r="B184" s="26">
        <v>11</v>
      </c>
      <c r="C184" s="26" t="s">
        <v>1712</v>
      </c>
      <c r="D184" s="26" t="s">
        <v>1721</v>
      </c>
      <c r="E184" s="26" t="s">
        <v>2893</v>
      </c>
      <c r="F184" s="26" t="str">
        <f t="shared" si="0"/>
        <v>Temporal Greek Origin</v>
      </c>
      <c r="G184" s="26">
        <f t="shared" si="1"/>
        <v>11</v>
      </c>
      <c r="H184" s="26" t="s">
        <v>3099</v>
      </c>
      <c r="I184" s="26"/>
      <c r="J184" s="26"/>
      <c r="K184" s="26"/>
      <c r="L184" s="26" t="str">
        <f t="shared" si="2"/>
        <v>T</v>
      </c>
      <c r="M184" s="26" t="str">
        <f>IFERROR(__xludf.DUMMYFUNCTION("GOOGLETRANSLATE(C184,""EN"",""KN"")"),"ಪ್ರಲೋಭನೆಗೊಳಿಸುವುದು")</f>
        <v>ಪ್ರಲೋಭನೆಗೊಳಿಸುವುದು</v>
      </c>
      <c r="N184" s="26">
        <f t="array" ref="N184">_xlfn.XLOOKUP(B184,'Sets Progress'!I:I,'Sets Progress'!I:I,"NOT YET")</f>
        <v>11</v>
      </c>
      <c r="O184" s="26" t="str">
        <f t="array" ref="O184">_xlfn.XLOOKUP(L:L,'Overall Progress'!L:L,'Overall Progress'!L:L,"NOT YET")</f>
        <v>NOT YET</v>
      </c>
      <c r="P184" s="26"/>
      <c r="Q184" s="26"/>
      <c r="R184" s="26"/>
      <c r="S184" s="26"/>
      <c r="T184" s="26"/>
      <c r="U184" s="26"/>
      <c r="V184" s="26"/>
      <c r="W184" s="26"/>
      <c r="X184" s="26"/>
      <c r="Y184" s="26"/>
      <c r="Z184" s="26"/>
    </row>
    <row r="185" hidden="1" customHeight="1" spans="1:26">
      <c r="A185" s="27">
        <v>1507</v>
      </c>
      <c r="B185" s="27">
        <v>11</v>
      </c>
      <c r="C185" s="27" t="s">
        <v>1835</v>
      </c>
      <c r="D185" s="27" t="s">
        <v>2717</v>
      </c>
      <c r="E185" s="27" t="s">
        <v>2889</v>
      </c>
      <c r="F185" s="27" t="str">
        <f t="shared" si="0"/>
        <v>Positive Traits Latin Origin</v>
      </c>
      <c r="G185" s="27">
        <f t="shared" si="1"/>
        <v>8</v>
      </c>
      <c r="H185" s="27" t="s">
        <v>3100</v>
      </c>
      <c r="I185" s="27"/>
      <c r="J185" s="27"/>
      <c r="K185" s="27"/>
      <c r="L185" s="27" t="str">
        <f t="shared" si="2"/>
        <v>V</v>
      </c>
      <c r="M185" s="27" t="str">
        <f>IFERROR(__xludf.DUMMYFUNCTION("GOOGLETRANSLATE(C185,""EN"",""KN"")"),"ಜಾಗರೂಕ")</f>
        <v>ಜಾಗರೂಕ</v>
      </c>
      <c r="N185" s="27">
        <f t="array" ref="N185">_xlfn.XLOOKUP(B185,'Sets Progress'!I:I,'Sets Progress'!I:I,"NOT YET")</f>
        <v>11</v>
      </c>
      <c r="O185" s="27" t="str">
        <f t="array" ref="O185">_xlfn.XLOOKUP(L:L,'Overall Progress'!L:L,'Overall Progress'!L:L,"NOT YET")</f>
        <v>NOT YET</v>
      </c>
      <c r="P185" s="27"/>
      <c r="Q185" s="27"/>
      <c r="R185" s="27"/>
      <c r="S185" s="27"/>
      <c r="T185" s="27"/>
      <c r="U185" s="27"/>
      <c r="V185" s="27"/>
      <c r="W185" s="27"/>
      <c r="X185" s="27"/>
      <c r="Y185" s="27"/>
      <c r="Z185" s="27"/>
    </row>
    <row r="186" hidden="1" customHeight="1" spans="1:26">
      <c r="A186" s="26">
        <v>84</v>
      </c>
      <c r="B186" s="26">
        <v>12</v>
      </c>
      <c r="C186" s="26" t="s">
        <v>435</v>
      </c>
      <c r="D186" s="26" t="s">
        <v>2946</v>
      </c>
      <c r="E186" s="26" t="s">
        <v>2893</v>
      </c>
      <c r="F186" s="26" t="str">
        <f t="shared" si="0"/>
        <v>Emotional Greek Origin</v>
      </c>
      <c r="G186" s="26">
        <f t="shared" si="1"/>
        <v>9</v>
      </c>
      <c r="H186" s="26" t="s">
        <v>3101</v>
      </c>
      <c r="I186" s="26"/>
      <c r="J186" s="26"/>
      <c r="K186" s="26"/>
      <c r="L186" s="26" t="str">
        <f t="shared" si="2"/>
        <v>A</v>
      </c>
      <c r="M186" s="26" t="str">
        <f>IFERROR(__xludf.DUMMYFUNCTION("GOOGLETRANSLATE(C186,""EN"",""KN"")"),"ವಿರೋಧಾಭಾಸ")</f>
        <v>ವಿರೋಧಾಭಾಸ</v>
      </c>
      <c r="N186" s="26">
        <f t="array" ref="N186">_xlfn.XLOOKUP(B186,'Sets Progress'!I:I,'Sets Progress'!I:I,"NOT YET")</f>
        <v>12</v>
      </c>
      <c r="O186" s="26" t="str">
        <f t="array" ref="O186">_xlfn.XLOOKUP(L:L,'Overall Progress'!L:L,'Overall Progress'!L:L,"NOT YET")</f>
        <v>NOT YET</v>
      </c>
      <c r="P186" s="26"/>
      <c r="Q186" s="26"/>
      <c r="R186" s="26"/>
      <c r="S186" s="26"/>
      <c r="T186" s="26"/>
      <c r="U186" s="26"/>
      <c r="V186" s="26"/>
      <c r="W186" s="26"/>
      <c r="X186" s="26"/>
      <c r="Y186" s="26"/>
      <c r="Z186" s="26"/>
    </row>
    <row r="187" hidden="1" customHeight="1" spans="1:26">
      <c r="A187" s="27">
        <v>287</v>
      </c>
      <c r="B187" s="27">
        <v>12</v>
      </c>
      <c r="C187" s="27" t="s">
        <v>640</v>
      </c>
      <c r="D187" s="27" t="s">
        <v>1721</v>
      </c>
      <c r="E187" s="27" t="s">
        <v>2889</v>
      </c>
      <c r="F187" s="27" t="str">
        <f t="shared" si="0"/>
        <v>Temporal Latin Origin</v>
      </c>
      <c r="G187" s="27">
        <f t="shared" si="1"/>
        <v>9</v>
      </c>
      <c r="H187" s="27" t="s">
        <v>3102</v>
      </c>
      <c r="I187" s="27"/>
      <c r="J187" s="27"/>
      <c r="K187" s="27"/>
      <c r="L187" s="27" t="str">
        <f t="shared" si="2"/>
        <v>C</v>
      </c>
      <c r="M187" s="27" t="str">
        <f>IFERROR(__xludf.DUMMYFUNCTION("GOOGLETRANSLATE(C187,""EN"",""KN"")"),"ಒಮ್ಮತ")</f>
        <v>ಒಮ್ಮತ</v>
      </c>
      <c r="N187" s="27">
        <f t="array" ref="N187">_xlfn.XLOOKUP(B187,'Sets Progress'!I:I,'Sets Progress'!I:I,"NOT YET")</f>
        <v>12</v>
      </c>
      <c r="O187" s="27" t="str">
        <f t="array" ref="O187">_xlfn.XLOOKUP(L:L,'Overall Progress'!L:L,'Overall Progress'!L:L,"NOT YET")</f>
        <v>NOT YET</v>
      </c>
      <c r="P187" s="27"/>
      <c r="Q187" s="27"/>
      <c r="R187" s="27"/>
      <c r="S187" s="27"/>
      <c r="T187" s="27"/>
      <c r="U187" s="27"/>
      <c r="V187" s="27"/>
      <c r="W187" s="27"/>
      <c r="X187" s="27"/>
      <c r="Y187" s="27"/>
      <c r="Z187" s="27"/>
    </row>
    <row r="188" hidden="1" customHeight="1" spans="1:26">
      <c r="A188" s="26">
        <v>443</v>
      </c>
      <c r="B188" s="26">
        <v>12</v>
      </c>
      <c r="C188" s="26" t="s">
        <v>792</v>
      </c>
      <c r="D188" s="26" t="s">
        <v>1721</v>
      </c>
      <c r="E188" s="26" t="s">
        <v>2889</v>
      </c>
      <c r="F188" s="26" t="str">
        <f t="shared" si="0"/>
        <v>Temporal Latin Origin</v>
      </c>
      <c r="G188" s="26">
        <f t="shared" si="1"/>
        <v>7</v>
      </c>
      <c r="H188" s="26" t="s">
        <v>3103</v>
      </c>
      <c r="I188" s="26"/>
      <c r="J188" s="26"/>
      <c r="K188" s="26"/>
      <c r="L188" s="26" t="str">
        <f t="shared" si="2"/>
        <v>D</v>
      </c>
      <c r="M188" s="26" t="str">
        <f>IFERROR(__xludf.DUMMYFUNCTION("GOOGLETRANSLATE(C188,""EN"",""KN"")"),"ಬಟ್ಟಿ ಇಳಿಸಿ")</f>
        <v>ಬಟ್ಟಿ ಇಳಿಸಿ</v>
      </c>
      <c r="N188" s="26">
        <f t="array" ref="N188">_xlfn.XLOOKUP(B188,'Sets Progress'!I:I,'Sets Progress'!I:I,"NOT YET")</f>
        <v>12</v>
      </c>
      <c r="O188" s="26" t="str">
        <f t="array" ref="O188">_xlfn.XLOOKUP(L:L,'Overall Progress'!L:L,'Overall Progress'!L:L,"NOT YET")</f>
        <v>NOT YET</v>
      </c>
      <c r="P188" s="26"/>
      <c r="Q188" s="26"/>
      <c r="R188" s="26"/>
      <c r="S188" s="26"/>
      <c r="T188" s="26"/>
      <c r="U188" s="26"/>
      <c r="V188" s="26"/>
      <c r="W188" s="26"/>
      <c r="X188" s="26"/>
      <c r="Y188" s="26"/>
      <c r="Z188" s="26"/>
    </row>
    <row r="189" hidden="1" customHeight="1" spans="1:26">
      <c r="A189" s="27">
        <v>484</v>
      </c>
      <c r="B189" s="27">
        <v>12</v>
      </c>
      <c r="C189" s="27" t="s">
        <v>833</v>
      </c>
      <c r="D189" s="27" t="s">
        <v>1721</v>
      </c>
      <c r="E189" s="27" t="s">
        <v>2889</v>
      </c>
      <c r="F189" s="27" t="str">
        <f t="shared" si="0"/>
        <v>Temporal Latin Origin</v>
      </c>
      <c r="G189" s="27">
        <f t="shared" si="1"/>
        <v>10</v>
      </c>
      <c r="H189" s="27" t="s">
        <v>3104</v>
      </c>
      <c r="I189" s="27"/>
      <c r="J189" s="27"/>
      <c r="K189" s="27"/>
      <c r="L189" s="27" t="str">
        <f t="shared" si="2"/>
        <v>E</v>
      </c>
      <c r="M189" s="27" t="str">
        <f>IFERROR(__xludf.DUMMYFUNCTION("GOOGLETRANSLATE(C189,""EN"",""KN"")"),"ಪ್ರಾಥಮಿಕ")</f>
        <v>ಪ್ರಾಥಮಿಕ</v>
      </c>
      <c r="N189" s="27">
        <f t="array" ref="N189">_xlfn.XLOOKUP(B189,'Sets Progress'!I:I,'Sets Progress'!I:I,"NOT YET")</f>
        <v>12</v>
      </c>
      <c r="O189" s="27" t="str">
        <f t="array" ref="O189">_xlfn.XLOOKUP(L:L,'Overall Progress'!L:L,'Overall Progress'!L:L,"NOT YET")</f>
        <v>NOT YET</v>
      </c>
      <c r="P189" s="27"/>
      <c r="Q189" s="27"/>
      <c r="R189" s="27"/>
      <c r="S189" s="27"/>
      <c r="T189" s="27"/>
      <c r="U189" s="27"/>
      <c r="V189" s="27"/>
      <c r="W189" s="27"/>
      <c r="X189" s="27"/>
      <c r="Y189" s="27"/>
      <c r="Z189" s="27"/>
    </row>
    <row r="190" hidden="1" customHeight="1" spans="1:26">
      <c r="A190" s="26">
        <v>702</v>
      </c>
      <c r="B190" s="26">
        <v>12</v>
      </c>
      <c r="C190" s="26" t="s">
        <v>1044</v>
      </c>
      <c r="D190" s="26" t="s">
        <v>1721</v>
      </c>
      <c r="E190" s="26" t="s">
        <v>2911</v>
      </c>
      <c r="F190" s="26" t="str">
        <f t="shared" si="0"/>
        <v>Temporal French Origin</v>
      </c>
      <c r="G190" s="26">
        <f t="shared" si="1"/>
        <v>9</v>
      </c>
      <c r="H190" s="26" t="s">
        <v>3105</v>
      </c>
      <c r="I190" s="26"/>
      <c r="J190" s="26"/>
      <c r="K190" s="26"/>
      <c r="L190" s="26" t="str">
        <f t="shared" si="2"/>
        <v>I</v>
      </c>
      <c r="M190" s="26" t="str">
        <f>IFERROR(__xludf.DUMMYFUNCTION("GOOGLETRANSLATE(C190,""EN"",""KN"")"),"ವಿಚಾರವಾದಿ")</f>
        <v>ವಿಚಾರವಾದಿ</v>
      </c>
      <c r="N190" s="26">
        <f t="array" ref="N190">_xlfn.XLOOKUP(B190,'Sets Progress'!I:I,'Sets Progress'!I:I,"NOT YET")</f>
        <v>12</v>
      </c>
      <c r="O190" s="26" t="str">
        <f t="array" ref="O190">_xlfn.XLOOKUP(L:L,'Overall Progress'!L:L,'Overall Progress'!L:L,"NOT YET")</f>
        <v>NOT YET</v>
      </c>
      <c r="P190" s="26"/>
      <c r="Q190" s="26"/>
      <c r="R190" s="26"/>
      <c r="S190" s="26"/>
      <c r="T190" s="26"/>
      <c r="U190" s="26"/>
      <c r="V190" s="26"/>
      <c r="W190" s="26"/>
      <c r="X190" s="26"/>
      <c r="Y190" s="26"/>
      <c r="Z190" s="26"/>
    </row>
    <row r="191" hidden="1" customHeight="1" spans="1:26">
      <c r="A191" s="27">
        <v>963</v>
      </c>
      <c r="B191" s="27">
        <v>12</v>
      </c>
      <c r="C191" s="27" t="s">
        <v>1299</v>
      </c>
      <c r="D191" s="27" t="s">
        <v>1721</v>
      </c>
      <c r="E191" s="27" t="s">
        <v>2889</v>
      </c>
      <c r="F191" s="27" t="str">
        <f t="shared" si="0"/>
        <v>Temporal Latin Origin</v>
      </c>
      <c r="G191" s="27">
        <f t="shared" si="1"/>
        <v>8</v>
      </c>
      <c r="H191" s="27" t="s">
        <v>3106</v>
      </c>
      <c r="I191" s="27"/>
      <c r="J191" s="27"/>
      <c r="K191" s="27"/>
      <c r="L191" s="27" t="str">
        <f t="shared" si="2"/>
        <v>N</v>
      </c>
      <c r="M191" s="27" t="str">
        <f>IFERROR(__xludf.DUMMYFUNCTION("GOOGLETRANSLATE(C191,""EN"",""KN"")"),"ಅಸಂಖ್ಯಾತ")</f>
        <v>ಅಸಂಖ್ಯಾತ</v>
      </c>
      <c r="N191" s="27">
        <f t="array" ref="N191">_xlfn.XLOOKUP(B191,'Sets Progress'!I:I,'Sets Progress'!I:I,"NOT YET")</f>
        <v>12</v>
      </c>
      <c r="O191" s="27" t="str">
        <f t="array" ref="O191">_xlfn.XLOOKUP(L:L,'Overall Progress'!L:L,'Overall Progress'!L:L,"NOT YET")</f>
        <v>NOT YET</v>
      </c>
      <c r="P191" s="27"/>
      <c r="Q191" s="27"/>
      <c r="R191" s="27"/>
      <c r="S191" s="27"/>
      <c r="T191" s="27"/>
      <c r="U191" s="27"/>
      <c r="V191" s="27"/>
      <c r="W191" s="27"/>
      <c r="X191" s="27"/>
      <c r="Y191" s="27"/>
      <c r="Z191" s="27"/>
    </row>
    <row r="192" hidden="1" customHeight="1" spans="1:26">
      <c r="A192" s="26">
        <v>979</v>
      </c>
      <c r="B192" s="26">
        <v>12</v>
      </c>
      <c r="C192" s="26" t="s">
        <v>1315</v>
      </c>
      <c r="D192" s="26" t="s">
        <v>2716</v>
      </c>
      <c r="E192" s="26" t="s">
        <v>2896</v>
      </c>
      <c r="F192" s="26" t="str">
        <f t="shared" si="0"/>
        <v>Negative Traits Old French Origin</v>
      </c>
      <c r="G192" s="26">
        <f t="shared" si="1"/>
        <v>6</v>
      </c>
      <c r="H192" s="26" t="s">
        <v>3107</v>
      </c>
      <c r="I192" s="26"/>
      <c r="J192" s="26"/>
      <c r="K192" s="26"/>
      <c r="L192" s="26" t="str">
        <f t="shared" si="2"/>
        <v>O</v>
      </c>
      <c r="M192" s="26" t="str">
        <f>IFERROR(__xludf.DUMMYFUNCTION("GOOGLETRANSLATE(C192,""EN"",""KN"")"),"ಅಸಹ್ಯಕರ")</f>
        <v>ಅಸಹ್ಯಕರ</v>
      </c>
      <c r="N192" s="26">
        <f t="array" ref="N192">_xlfn.XLOOKUP(B192,'Sets Progress'!I:I,'Sets Progress'!I:I,"NOT YET")</f>
        <v>12</v>
      </c>
      <c r="O192" s="26" t="str">
        <f t="array" ref="O192">_xlfn.XLOOKUP(L:L,'Overall Progress'!L:L,'Overall Progress'!L:L,"NOT YET")</f>
        <v>NOT YET</v>
      </c>
      <c r="P192" s="26"/>
      <c r="Q192" s="26"/>
      <c r="R192" s="26"/>
      <c r="S192" s="26"/>
      <c r="T192" s="26"/>
      <c r="U192" s="26"/>
      <c r="V192" s="26"/>
      <c r="W192" s="26"/>
      <c r="X192" s="26"/>
      <c r="Y192" s="26"/>
      <c r="Z192" s="26"/>
    </row>
    <row r="193" hidden="1" customHeight="1" spans="1:26">
      <c r="A193" s="27">
        <v>1351</v>
      </c>
      <c r="B193" s="27">
        <v>12</v>
      </c>
      <c r="C193" s="27" t="s">
        <v>1682</v>
      </c>
      <c r="D193" s="27" t="s">
        <v>2716</v>
      </c>
      <c r="E193" s="27" t="s">
        <v>2889</v>
      </c>
      <c r="F193" s="27" t="str">
        <f t="shared" si="0"/>
        <v>Negative Traits Latin Origin</v>
      </c>
      <c r="G193" s="27">
        <f t="shared" si="1"/>
        <v>11</v>
      </c>
      <c r="H193" s="27" t="s">
        <v>3108</v>
      </c>
      <c r="I193" s="27"/>
      <c r="J193" s="27"/>
      <c r="K193" s="27"/>
      <c r="L193" s="27" t="str">
        <f t="shared" si="2"/>
        <v>S</v>
      </c>
      <c r="M193" s="27" t="str">
        <f>IFERROR(__xludf.DUMMYFUNCTION("GOOGLETRANSLATE(C193,""EN"",""KN"")"),"ಅತಿಯಾದ")</f>
        <v>ಅತಿಯಾದ</v>
      </c>
      <c r="N193" s="27">
        <f t="array" ref="N193">_xlfn.XLOOKUP(B193,'Sets Progress'!I:I,'Sets Progress'!I:I,"NOT YET")</f>
        <v>12</v>
      </c>
      <c r="O193" s="27" t="str">
        <f t="array" ref="O193">_xlfn.XLOOKUP(L:L,'Overall Progress'!L:L,'Overall Progress'!L:L,"NOT YET")</f>
        <v>NOT YET</v>
      </c>
      <c r="P193" s="27"/>
      <c r="Q193" s="27"/>
      <c r="R193" s="27"/>
      <c r="S193" s="27"/>
      <c r="T193" s="27"/>
      <c r="U193" s="27"/>
      <c r="V193" s="27"/>
      <c r="W193" s="27"/>
      <c r="X193" s="27"/>
      <c r="Y193" s="27"/>
      <c r="Z193" s="27"/>
    </row>
    <row r="194" hidden="1" customHeight="1" spans="1:26">
      <c r="A194" s="26">
        <v>1440</v>
      </c>
      <c r="B194" s="26">
        <v>12</v>
      </c>
      <c r="C194" s="26" t="s">
        <v>1768</v>
      </c>
      <c r="D194" s="26" t="s">
        <v>2716</v>
      </c>
      <c r="E194" s="26" t="s">
        <v>2908</v>
      </c>
      <c r="F194" s="26" t="str">
        <f t="shared" si="0"/>
        <v>Negative Traits Old English Origin</v>
      </c>
      <c r="G194" s="26">
        <f t="shared" si="1"/>
        <v>11</v>
      </c>
      <c r="H194" s="26" t="s">
        <v>3109</v>
      </c>
      <c r="I194" s="26"/>
      <c r="J194" s="26"/>
      <c r="K194" s="26"/>
      <c r="L194" s="26" t="str">
        <f t="shared" si="2"/>
        <v>U</v>
      </c>
      <c r="M194" s="26" t="str">
        <f>IFERROR(__xludf.DUMMYFUNCTION("GOOGLETRANSLATE(C194,""EN"",""KN"")"),"ಅನಪೇಕ್ಷಿತ")</f>
        <v>ಅನಪೇಕ್ಷಿತ</v>
      </c>
      <c r="N194" s="26">
        <f t="array" ref="N194">_xlfn.XLOOKUP(B194,'Sets Progress'!I:I,'Sets Progress'!I:I,"NOT YET")</f>
        <v>12</v>
      </c>
      <c r="O194" s="26" t="str">
        <f t="array" ref="O194">_xlfn.XLOOKUP(L:L,'Overall Progress'!L:L,'Overall Progress'!L:L,"NOT YET")</f>
        <v>NOT YET</v>
      </c>
      <c r="P194" s="26"/>
      <c r="Q194" s="26"/>
      <c r="R194" s="26"/>
      <c r="S194" s="26"/>
      <c r="T194" s="26"/>
      <c r="U194" s="26"/>
      <c r="V194" s="26"/>
      <c r="W194" s="26"/>
      <c r="X194" s="26"/>
      <c r="Y194" s="26"/>
      <c r="Z194" s="26"/>
    </row>
    <row r="195" hidden="1" customHeight="1" spans="1:26">
      <c r="A195" s="27">
        <v>1465</v>
      </c>
      <c r="B195" s="27">
        <v>12</v>
      </c>
      <c r="C195" s="27" t="s">
        <v>1793</v>
      </c>
      <c r="D195" s="27" t="s">
        <v>1721</v>
      </c>
      <c r="E195" s="27" t="s">
        <v>2908</v>
      </c>
      <c r="F195" s="27" t="str">
        <f t="shared" si="0"/>
        <v>Temporal Old English Origin</v>
      </c>
      <c r="G195" s="27">
        <f t="shared" si="1"/>
        <v>10</v>
      </c>
      <c r="H195" s="27" t="s">
        <v>3110</v>
      </c>
      <c r="I195" s="27"/>
      <c r="J195" s="27"/>
      <c r="K195" s="27"/>
      <c r="L195" s="27" t="str">
        <f t="shared" si="2"/>
        <v>U</v>
      </c>
      <c r="M195" s="27" t="str">
        <f>IFERROR(__xludf.DUMMYFUNCTION("GOOGLETRANSLATE(C195,""EN"",""KN"")"),"ಮಾಹಿತಿಯಿಲ್ಲದ")</f>
        <v>ಮಾಹಿತಿಯಿಲ್ಲದ</v>
      </c>
      <c r="N195" s="27">
        <f t="array" ref="N195">_xlfn.XLOOKUP(B195,'Sets Progress'!I:I,'Sets Progress'!I:I,"NOT YET")</f>
        <v>12</v>
      </c>
      <c r="O195" s="27" t="str">
        <f t="array" ref="O195">_xlfn.XLOOKUP(L:L,'Overall Progress'!L:L,'Overall Progress'!L:L,"NOT YET")</f>
        <v>NOT YET</v>
      </c>
      <c r="P195" s="27"/>
      <c r="Q195" s="27"/>
      <c r="R195" s="27"/>
      <c r="S195" s="27"/>
      <c r="T195" s="27"/>
      <c r="U195" s="27"/>
      <c r="V195" s="27"/>
      <c r="W195" s="27"/>
      <c r="X195" s="27"/>
      <c r="Y195" s="27"/>
      <c r="Z195" s="27"/>
    </row>
    <row r="196" hidden="1" customHeight="1" spans="1:26">
      <c r="A196" s="26">
        <v>1515</v>
      </c>
      <c r="B196" s="26">
        <v>12</v>
      </c>
      <c r="C196" s="26" t="s">
        <v>1843</v>
      </c>
      <c r="D196" s="26" t="s">
        <v>2717</v>
      </c>
      <c r="E196" s="26" t="s">
        <v>2889</v>
      </c>
      <c r="F196" s="26" t="str">
        <f t="shared" si="0"/>
        <v>Positive Traits Latin Origin</v>
      </c>
      <c r="G196" s="26">
        <f t="shared" si="1"/>
        <v>8</v>
      </c>
      <c r="H196" s="26" t="s">
        <v>3111</v>
      </c>
      <c r="I196" s="26"/>
      <c r="J196" s="26"/>
      <c r="K196" s="26"/>
      <c r="L196" s="26" t="str">
        <f t="shared" si="2"/>
        <v>V</v>
      </c>
      <c r="M196" s="26" t="str">
        <f>IFERROR(__xludf.DUMMYFUNCTION("GOOGLETRANSLATE(C196,""EN"",""KN"")"),"ಹುರುಪು")</f>
        <v>ಹುರುಪು</v>
      </c>
      <c r="N196" s="26">
        <f t="array" ref="N196">_xlfn.XLOOKUP(B196,'Sets Progress'!I:I,'Sets Progress'!I:I,"NOT YET")</f>
        <v>12</v>
      </c>
      <c r="O196" s="26" t="str">
        <f t="array" ref="O196">_xlfn.XLOOKUP(L:L,'Overall Progress'!L:L,'Overall Progress'!L:L,"NOT YET")</f>
        <v>NOT YET</v>
      </c>
      <c r="P196" s="26"/>
      <c r="Q196" s="26"/>
      <c r="R196" s="26"/>
      <c r="S196" s="26"/>
      <c r="T196" s="26"/>
      <c r="U196" s="26"/>
      <c r="V196" s="26"/>
      <c r="W196" s="26"/>
      <c r="X196" s="26"/>
      <c r="Y196" s="26"/>
      <c r="Z196" s="26"/>
    </row>
    <row r="197" hidden="1" customHeight="1" spans="1:26">
      <c r="A197" s="27">
        <v>1529</v>
      </c>
      <c r="B197" s="27">
        <v>12</v>
      </c>
      <c r="C197" s="27" t="s">
        <v>1857</v>
      </c>
      <c r="D197" s="27" t="s">
        <v>2716</v>
      </c>
      <c r="E197" s="27" t="s">
        <v>2908</v>
      </c>
      <c r="F197" s="27" t="str">
        <f t="shared" si="0"/>
        <v>Negative Traits Old English Origin</v>
      </c>
      <c r="G197" s="27">
        <f t="shared" si="1"/>
        <v>9</v>
      </c>
      <c r="H197" s="27" t="s">
        <v>3112</v>
      </c>
      <c r="I197" s="27"/>
      <c r="J197" s="27"/>
      <c r="K197" s="27"/>
      <c r="L197" s="27" t="str">
        <f t="shared" si="2"/>
        <v>W</v>
      </c>
      <c r="M197" s="27" t="str">
        <f>IFERROR(__xludf.DUMMYFUNCTION("GOOGLETRANSLATE(C197,""EN"",""KN"")"),"ಆಯಾಸದಾಯಕ")</f>
        <v>ಆಯಾಸದಾಯಕ</v>
      </c>
      <c r="N197" s="27">
        <f t="array" ref="N197">_xlfn.XLOOKUP(B197,'Sets Progress'!I:I,'Sets Progress'!I:I,"NOT YET")</f>
        <v>12</v>
      </c>
      <c r="O197" s="27" t="str">
        <f t="array" ref="O197">_xlfn.XLOOKUP(L:L,'Overall Progress'!L:L,'Overall Progress'!L:L,"NOT YET")</f>
        <v>NOT YET</v>
      </c>
      <c r="P197" s="27"/>
      <c r="Q197" s="27"/>
      <c r="R197" s="27"/>
      <c r="S197" s="27"/>
      <c r="T197" s="27"/>
      <c r="U197" s="27"/>
      <c r="V197" s="27"/>
      <c r="W197" s="27"/>
      <c r="X197" s="27"/>
      <c r="Y197" s="27"/>
      <c r="Z197" s="27"/>
    </row>
    <row r="198" hidden="1" customHeight="1" spans="1:26">
      <c r="A198" s="26">
        <v>79</v>
      </c>
      <c r="B198" s="26">
        <v>13</v>
      </c>
      <c r="C198" s="26" t="s">
        <v>431</v>
      </c>
      <c r="D198" s="26" t="s">
        <v>2928</v>
      </c>
      <c r="E198" s="26" t="s">
        <v>2893</v>
      </c>
      <c r="F198" s="26" t="str">
        <f t="shared" si="0"/>
        <v>Philosophical Greek Origin</v>
      </c>
      <c r="G198" s="26">
        <f t="shared" si="1"/>
        <v>9</v>
      </c>
      <c r="H198" s="26" t="s">
        <v>3113</v>
      </c>
      <c r="I198" s="26"/>
      <c r="J198" s="26"/>
      <c r="K198" s="26"/>
      <c r="L198" s="26" t="str">
        <f t="shared" si="2"/>
        <v>A</v>
      </c>
      <c r="M198" s="26" t="str">
        <f>IFERROR(__xludf.DUMMYFUNCTION("GOOGLETRANSLATE(C198,""EN"",""KN"")"),"ಅಸಂಗತ")</f>
        <v>ಅಸಂಗತ</v>
      </c>
      <c r="N198" s="26">
        <f t="array" ref="N198">_xlfn.XLOOKUP(B198,'Sets Progress'!I:I,'Sets Progress'!I:I,"NOT YET")</f>
        <v>13</v>
      </c>
      <c r="O198" s="26" t="str">
        <f t="array" ref="O198">_xlfn.XLOOKUP(L:L,'Overall Progress'!L:L,'Overall Progress'!L:L,"NOT YET")</f>
        <v>NOT YET</v>
      </c>
      <c r="P198" s="26"/>
      <c r="Q198" s="26"/>
      <c r="R198" s="26"/>
      <c r="S198" s="26"/>
      <c r="T198" s="26"/>
      <c r="U198" s="26"/>
      <c r="V198" s="26"/>
      <c r="W198" s="26"/>
      <c r="X198" s="26"/>
      <c r="Y198" s="26"/>
      <c r="Z198" s="26"/>
    </row>
    <row r="199" hidden="1" customHeight="1" spans="1:26">
      <c r="A199" s="27">
        <v>186</v>
      </c>
      <c r="B199" s="27">
        <v>13</v>
      </c>
      <c r="C199" s="27" t="s">
        <v>536</v>
      </c>
      <c r="D199" s="27" t="s">
        <v>2892</v>
      </c>
      <c r="E199" s="27" t="s">
        <v>2908</v>
      </c>
      <c r="F199" s="27" t="str">
        <f t="shared" si="0"/>
        <v>Spatial Old English Origin</v>
      </c>
      <c r="G199" s="27">
        <f t="shared" si="1"/>
        <v>5</v>
      </c>
      <c r="H199" s="27" t="s">
        <v>3114</v>
      </c>
      <c r="I199" s="27"/>
      <c r="J199" s="27"/>
      <c r="K199" s="27"/>
      <c r="L199" s="27" t="str">
        <f t="shared" si="2"/>
        <v>B</v>
      </c>
      <c r="M199" s="27" t="str">
        <f>IFERROR(__xludf.DUMMYFUNCTION("GOOGLETRANSLATE(C199,""EN"",""KN"")"),"ಬ್ರೂಕ್")</f>
        <v>ಬ್ರೂಕ್</v>
      </c>
      <c r="N199" s="27">
        <f t="array" ref="N199">_xlfn.XLOOKUP(B199,'Sets Progress'!I:I,'Sets Progress'!I:I,"NOT YET")</f>
        <v>13</v>
      </c>
      <c r="O199" s="27" t="str">
        <f t="array" ref="O199">_xlfn.XLOOKUP(L:L,'Overall Progress'!L:L,'Overall Progress'!L:L,"NOT YET")</f>
        <v>NOT YET</v>
      </c>
      <c r="P199" s="27"/>
      <c r="Q199" s="27"/>
      <c r="R199" s="27"/>
      <c r="S199" s="27"/>
      <c r="T199" s="27"/>
      <c r="U199" s="27"/>
      <c r="V199" s="27"/>
      <c r="W199" s="27"/>
      <c r="X199" s="27"/>
      <c r="Y199" s="27"/>
      <c r="Z199" s="27"/>
    </row>
    <row r="200" hidden="1" customHeight="1" spans="1:26">
      <c r="A200" s="26">
        <v>308</v>
      </c>
      <c r="B200" s="26">
        <v>13</v>
      </c>
      <c r="C200" s="26" t="s">
        <v>660</v>
      </c>
      <c r="D200" s="26" t="s">
        <v>2928</v>
      </c>
      <c r="E200" s="26" t="s">
        <v>2889</v>
      </c>
      <c r="F200" s="26" t="str">
        <f t="shared" si="0"/>
        <v>Philosophical Latin Origin</v>
      </c>
      <c r="G200" s="26">
        <f t="shared" si="1"/>
        <v>10</v>
      </c>
      <c r="H200" s="26" t="s">
        <v>3115</v>
      </c>
      <c r="I200" s="26"/>
      <c r="J200" s="26"/>
      <c r="K200" s="26"/>
      <c r="L200" s="26" t="str">
        <f t="shared" si="2"/>
        <v>C</v>
      </c>
      <c r="M200" s="26" t="str">
        <f>IFERROR(__xludf.DUMMYFUNCTION("GOOGLETRANSLATE(C200,""EN"",""KN"")"),"ಸುರುಳಿಯಾಕಾರದ")</f>
        <v>ಸುರುಳಿಯಾಕಾರದ</v>
      </c>
      <c r="N200" s="26">
        <f t="array" ref="N200">_xlfn.XLOOKUP(B200,'Sets Progress'!I:I,'Sets Progress'!I:I,"NOT YET")</f>
        <v>13</v>
      </c>
      <c r="O200" s="26" t="str">
        <f t="array" ref="O200">_xlfn.XLOOKUP(L:L,'Overall Progress'!L:L,'Overall Progress'!L:L,"NOT YET")</f>
        <v>NOT YET</v>
      </c>
      <c r="P200" s="26"/>
      <c r="Q200" s="26"/>
      <c r="R200" s="26"/>
      <c r="S200" s="26"/>
      <c r="T200" s="26"/>
      <c r="U200" s="26"/>
      <c r="V200" s="26"/>
      <c r="W200" s="26"/>
      <c r="X200" s="26"/>
      <c r="Y200" s="26"/>
      <c r="Z200" s="26"/>
    </row>
    <row r="201" hidden="1" customHeight="1" spans="1:26">
      <c r="A201" s="27">
        <v>373</v>
      </c>
      <c r="B201" s="27">
        <v>13</v>
      </c>
      <c r="C201" s="27" t="s">
        <v>723</v>
      </c>
      <c r="D201" s="27" t="s">
        <v>2892</v>
      </c>
      <c r="E201" s="27" t="s">
        <v>2896</v>
      </c>
      <c r="F201" s="27" t="str">
        <f t="shared" si="0"/>
        <v>Spatial Old French Origin</v>
      </c>
      <c r="G201" s="27">
        <f t="shared" si="1"/>
        <v>10</v>
      </c>
      <c r="H201" s="27" t="s">
        <v>3116</v>
      </c>
      <c r="I201" s="27"/>
      <c r="J201" s="27"/>
      <c r="K201" s="27"/>
      <c r="L201" s="27" t="str">
        <f t="shared" si="2"/>
        <v>D</v>
      </c>
      <c r="M201" s="27" t="str">
        <f>IFERROR(__xludf.DUMMYFUNCTION("GOOGLETRANSLATE(C201,""EN"",""KN"")"),"ಗಡೀಪಾರು")</f>
        <v>ಗಡೀಪಾರು</v>
      </c>
      <c r="N201" s="27">
        <f t="array" ref="N201">_xlfn.XLOOKUP(B201,'Sets Progress'!I:I,'Sets Progress'!I:I,"NOT YET")</f>
        <v>13</v>
      </c>
      <c r="O201" s="27" t="str">
        <f t="array" ref="O201">_xlfn.XLOOKUP(L:L,'Overall Progress'!L:L,'Overall Progress'!L:L,"NOT YET")</f>
        <v>NOT YET</v>
      </c>
      <c r="P201" s="27"/>
      <c r="Q201" s="27"/>
      <c r="R201" s="27"/>
      <c r="S201" s="27"/>
      <c r="T201" s="27"/>
      <c r="U201" s="27"/>
      <c r="V201" s="27"/>
      <c r="W201" s="27"/>
      <c r="X201" s="27"/>
      <c r="Y201" s="27"/>
      <c r="Z201" s="27"/>
    </row>
    <row r="202" hidden="1" customHeight="1" spans="1:26">
      <c r="A202" s="26">
        <v>495</v>
      </c>
      <c r="B202" s="26">
        <v>13</v>
      </c>
      <c r="C202" s="26" t="s">
        <v>844</v>
      </c>
      <c r="D202" s="26" t="s">
        <v>1721</v>
      </c>
      <c r="E202" s="26" t="s">
        <v>2889</v>
      </c>
      <c r="F202" s="26" t="str">
        <f t="shared" si="0"/>
        <v>Temporal Latin Origin</v>
      </c>
      <c r="G202" s="26">
        <f t="shared" si="1"/>
        <v>7</v>
      </c>
      <c r="H202" s="26" t="s">
        <v>3117</v>
      </c>
      <c r="I202" s="26"/>
      <c r="J202" s="26"/>
      <c r="K202" s="26"/>
      <c r="L202" s="26" t="str">
        <f t="shared" si="2"/>
        <v>E</v>
      </c>
      <c r="M202" s="26" t="str">
        <f>IFERROR(__xludf.DUMMYFUNCTION("GOOGLETRANSLATE(C202,""EN"",""KN"")"),"ಅನುಕರಿಸಿ")</f>
        <v>ಅನುಕರಿಸಿ</v>
      </c>
      <c r="N202" s="26">
        <f t="array" ref="N202">_xlfn.XLOOKUP(B202,'Sets Progress'!I:I,'Sets Progress'!I:I,"NOT YET")</f>
        <v>13</v>
      </c>
      <c r="O202" s="26" t="str">
        <f t="array" ref="O202">_xlfn.XLOOKUP(L:L,'Overall Progress'!L:L,'Overall Progress'!L:L,"NOT YET")</f>
        <v>NOT YET</v>
      </c>
      <c r="P202" s="26"/>
      <c r="Q202" s="26"/>
      <c r="R202" s="26"/>
      <c r="S202" s="26"/>
      <c r="T202" s="26"/>
      <c r="U202" s="26"/>
      <c r="V202" s="26"/>
      <c r="W202" s="26"/>
      <c r="X202" s="26"/>
      <c r="Y202" s="26"/>
      <c r="Z202" s="26"/>
    </row>
    <row r="203" hidden="1" customHeight="1" spans="1:26">
      <c r="A203" s="27">
        <v>516</v>
      </c>
      <c r="B203" s="27">
        <v>13</v>
      </c>
      <c r="C203" s="27" t="s">
        <v>865</v>
      </c>
      <c r="D203" s="27" t="s">
        <v>1721</v>
      </c>
      <c r="E203" s="27" t="s">
        <v>2896</v>
      </c>
      <c r="F203" s="27" t="str">
        <f t="shared" si="0"/>
        <v>Temporal Old French Origin</v>
      </c>
      <c r="G203" s="27">
        <f t="shared" si="1"/>
        <v>8</v>
      </c>
      <c r="H203" s="27" t="s">
        <v>3118</v>
      </c>
      <c r="I203" s="27"/>
      <c r="J203" s="27"/>
      <c r="K203" s="27"/>
      <c r="L203" s="27" t="str">
        <f t="shared" si="2"/>
        <v>E</v>
      </c>
      <c r="M203" s="27" t="str">
        <f>IFERROR(__xludf.DUMMYFUNCTION("GOOGLETRANSLATE(C203,""EN"",""KN"")"),"ಎಂಬ ಶೀರ್ಷಿಕೆಯಿದೆ")</f>
        <v>ಎಂಬ ಶೀರ್ಷಿಕೆಯಿದೆ</v>
      </c>
      <c r="N203" s="27">
        <f t="array" ref="N203">_xlfn.XLOOKUP(B203,'Sets Progress'!I:I,'Sets Progress'!I:I,"NOT YET")</f>
        <v>13</v>
      </c>
      <c r="O203" s="27" t="str">
        <f t="array" ref="O203">_xlfn.XLOOKUP(L:L,'Overall Progress'!L:L,'Overall Progress'!L:L,"NOT YET")</f>
        <v>NOT YET</v>
      </c>
      <c r="P203" s="27"/>
      <c r="Q203" s="27"/>
      <c r="R203" s="27"/>
      <c r="S203" s="27"/>
      <c r="T203" s="27"/>
      <c r="U203" s="27"/>
      <c r="V203" s="27"/>
      <c r="W203" s="27"/>
      <c r="X203" s="27"/>
      <c r="Y203" s="27"/>
      <c r="Z203" s="27"/>
    </row>
    <row r="204" hidden="1" customHeight="1" spans="1:26">
      <c r="A204" s="26">
        <v>542</v>
      </c>
      <c r="B204" s="26">
        <v>13</v>
      </c>
      <c r="C204" s="26" t="s">
        <v>888</v>
      </c>
      <c r="D204" s="26" t="s">
        <v>1721</v>
      </c>
      <c r="E204" s="26" t="s">
        <v>2889</v>
      </c>
      <c r="F204" s="26" t="str">
        <f t="shared" si="0"/>
        <v>Temporal Latin Origin</v>
      </c>
      <c r="G204" s="26">
        <f t="shared" si="1"/>
        <v>7</v>
      </c>
      <c r="H204" s="26" t="s">
        <v>3119</v>
      </c>
      <c r="I204" s="26"/>
      <c r="J204" s="26"/>
      <c r="K204" s="26"/>
      <c r="L204" s="26" t="str">
        <f t="shared" si="2"/>
        <v>E</v>
      </c>
      <c r="M204" s="26" t="str">
        <f>IFERROR(__xludf.DUMMYFUNCTION("GOOGLETRANSLATE(C204,""EN"",""KN"")"),"ತಪ್ಪಿಸಿಕೊಳ್ಳುವ")</f>
        <v>ತಪ್ಪಿಸಿಕೊಳ್ಳುವ</v>
      </c>
      <c r="N204" s="26">
        <f t="array" ref="N204">_xlfn.XLOOKUP(B204,'Sets Progress'!I:I,'Sets Progress'!I:I,"NOT YET")</f>
        <v>13</v>
      </c>
      <c r="O204" s="26" t="str">
        <f t="array" ref="O204">_xlfn.XLOOKUP(L:L,'Overall Progress'!L:L,'Overall Progress'!L:L,"NOT YET")</f>
        <v>NOT YET</v>
      </c>
      <c r="P204" s="26"/>
      <c r="Q204" s="26"/>
      <c r="R204" s="26"/>
      <c r="S204" s="26"/>
      <c r="T204" s="26"/>
      <c r="U204" s="26"/>
      <c r="V204" s="26"/>
      <c r="W204" s="26"/>
      <c r="X204" s="26"/>
      <c r="Y204" s="26"/>
      <c r="Z204" s="26"/>
    </row>
    <row r="205" hidden="1" customHeight="1" spans="1:26">
      <c r="A205" s="27">
        <v>636</v>
      </c>
      <c r="B205" s="27">
        <v>13</v>
      </c>
      <c r="C205" s="27" t="s">
        <v>980</v>
      </c>
      <c r="D205" s="27" t="s">
        <v>2716</v>
      </c>
      <c r="E205" s="27" t="s">
        <v>2889</v>
      </c>
      <c r="F205" s="27" t="str">
        <f t="shared" si="0"/>
        <v>Negative Traits Latin Origin</v>
      </c>
      <c r="G205" s="27">
        <f t="shared" si="1"/>
        <v>9</v>
      </c>
      <c r="H205" s="27" t="s">
        <v>3120</v>
      </c>
      <c r="I205" s="27"/>
      <c r="J205" s="27"/>
      <c r="K205" s="27"/>
      <c r="L205" s="27" t="str">
        <f t="shared" si="2"/>
        <v>F</v>
      </c>
      <c r="M205" s="27" t="str">
        <f>IFERROR(__xludf.DUMMYFUNCTION("GOOGLETRANSLATE(C205,""EN"",""KN"")"),"ಕ್ಷುಲ್ಲಕ")</f>
        <v>ಕ್ಷುಲ್ಲಕ</v>
      </c>
      <c r="N205" s="27">
        <f t="array" ref="N205">_xlfn.XLOOKUP(B205,'Sets Progress'!I:I,'Sets Progress'!I:I,"NOT YET")</f>
        <v>13</v>
      </c>
      <c r="O205" s="27" t="str">
        <f t="array" ref="O205">_xlfn.XLOOKUP(L:L,'Overall Progress'!L:L,'Overall Progress'!L:L,"NOT YET")</f>
        <v>NOT YET</v>
      </c>
      <c r="P205" s="27"/>
      <c r="Q205" s="27"/>
      <c r="R205" s="27"/>
      <c r="S205" s="27"/>
      <c r="T205" s="27"/>
      <c r="U205" s="27"/>
      <c r="V205" s="27"/>
      <c r="W205" s="27"/>
      <c r="X205" s="27"/>
      <c r="Y205" s="27"/>
      <c r="Z205" s="27"/>
    </row>
    <row r="206" hidden="1" customHeight="1" spans="1:26">
      <c r="A206" s="26">
        <v>944</v>
      </c>
      <c r="B206" s="26">
        <v>13</v>
      </c>
      <c r="C206" s="26" t="s">
        <v>1280</v>
      </c>
      <c r="D206" s="26" t="s">
        <v>1721</v>
      </c>
      <c r="E206" s="26" t="s">
        <v>2889</v>
      </c>
      <c r="F206" s="26" t="str">
        <f t="shared" si="0"/>
        <v>Temporal Latin Origin</v>
      </c>
      <c r="G206" s="26">
        <f t="shared" si="1"/>
        <v>9</v>
      </c>
      <c r="H206" s="26" t="s">
        <v>3121</v>
      </c>
      <c r="I206" s="26"/>
      <c r="J206" s="26"/>
      <c r="K206" s="26"/>
      <c r="L206" s="26" t="str">
        <f t="shared" si="2"/>
        <v>N</v>
      </c>
      <c r="M206" s="26" t="str">
        <f>IFERROR(__xludf.DUMMYFUNCTION("GOOGLETRANSLATE(C206,""EN"",""KN"")"),"ನಿರೂಪಣೆ")</f>
        <v>ನಿರೂಪಣೆ</v>
      </c>
      <c r="N206" s="26">
        <f t="array" ref="N206">_xlfn.XLOOKUP(B206,'Sets Progress'!I:I,'Sets Progress'!I:I,"NOT YET")</f>
        <v>13</v>
      </c>
      <c r="O206" s="26" t="str">
        <f t="array" ref="O206">_xlfn.XLOOKUP(L:L,'Overall Progress'!L:L,'Overall Progress'!L:L,"NOT YET")</f>
        <v>NOT YET</v>
      </c>
      <c r="P206" s="26"/>
      <c r="Q206" s="26"/>
      <c r="R206" s="26"/>
      <c r="S206" s="26"/>
      <c r="T206" s="26"/>
      <c r="U206" s="26"/>
      <c r="V206" s="26"/>
      <c r="W206" s="26"/>
      <c r="X206" s="26"/>
      <c r="Y206" s="26"/>
      <c r="Z206" s="26"/>
    </row>
    <row r="207" hidden="1" customHeight="1" spans="1:26">
      <c r="A207" s="27">
        <v>1015</v>
      </c>
      <c r="B207" s="27">
        <v>13</v>
      </c>
      <c r="C207" s="27" t="s">
        <v>1350</v>
      </c>
      <c r="D207" s="27" t="s">
        <v>1721</v>
      </c>
      <c r="E207" s="27" t="s">
        <v>2889</v>
      </c>
      <c r="F207" s="27" t="str">
        <f t="shared" si="0"/>
        <v>Temporal Latin Origin</v>
      </c>
      <c r="G207" s="27">
        <f t="shared" si="1"/>
        <v>7</v>
      </c>
      <c r="H207" s="27" t="s">
        <v>3122</v>
      </c>
      <c r="I207" s="27"/>
      <c r="J207" s="27"/>
      <c r="K207" s="27"/>
      <c r="L207" s="27" t="str">
        <f t="shared" si="2"/>
        <v>P</v>
      </c>
      <c r="M207" s="27" t="str">
        <f>IFERROR(__xludf.DUMMYFUNCTION("GOOGLETRANSLATE(C207,""EN"",""KN"")"),"ವಿರೋಧಾಭಾಸ")</f>
        <v>ವಿರೋಧಾಭಾಸ</v>
      </c>
      <c r="N207" s="27">
        <f t="array" ref="N207">_xlfn.XLOOKUP(B207,'Sets Progress'!I:I,'Sets Progress'!I:I,"NOT YET")</f>
        <v>13</v>
      </c>
      <c r="O207" s="27" t="str">
        <f t="array" ref="O207">_xlfn.XLOOKUP(L:L,'Overall Progress'!L:L,'Overall Progress'!L:L,"NOT YET")</f>
        <v>NOT YET</v>
      </c>
      <c r="P207" s="27"/>
      <c r="Q207" s="27"/>
      <c r="R207" s="27"/>
      <c r="S207" s="27"/>
      <c r="T207" s="27"/>
      <c r="U207" s="27"/>
      <c r="V207" s="27"/>
      <c r="W207" s="27"/>
      <c r="X207" s="27"/>
      <c r="Y207" s="27"/>
      <c r="Z207" s="27"/>
    </row>
    <row r="208" hidden="1" customHeight="1" spans="1:26">
      <c r="A208" s="26">
        <v>1091</v>
      </c>
      <c r="B208" s="26">
        <v>13</v>
      </c>
      <c r="C208" s="26" t="s">
        <v>1426</v>
      </c>
      <c r="D208" s="26" t="s">
        <v>2717</v>
      </c>
      <c r="E208" s="26" t="s">
        <v>2889</v>
      </c>
      <c r="F208" s="26" t="str">
        <f t="shared" si="0"/>
        <v>Positive Traits Latin Origin</v>
      </c>
      <c r="G208" s="26">
        <f t="shared" si="1"/>
        <v>6</v>
      </c>
      <c r="H208" s="26" t="s">
        <v>3123</v>
      </c>
      <c r="I208" s="26"/>
      <c r="J208" s="26"/>
      <c r="K208" s="26"/>
      <c r="L208" s="26" t="str">
        <f t="shared" si="2"/>
        <v>P</v>
      </c>
      <c r="M208" s="26" t="str">
        <f>IFERROR(__xludf.DUMMYFUNCTION("GOOGLETRANSLATE(C208,""EN"",""KN"")"),"ಪ್ರಬಲ")</f>
        <v>ಪ್ರಬಲ</v>
      </c>
      <c r="N208" s="26">
        <f t="array" ref="N208">_xlfn.XLOOKUP(B208,'Sets Progress'!I:I,'Sets Progress'!I:I,"NOT YET")</f>
        <v>13</v>
      </c>
      <c r="O208" s="26" t="str">
        <f t="array" ref="O208">_xlfn.XLOOKUP(L:L,'Overall Progress'!L:L,'Overall Progress'!L:L,"NOT YET")</f>
        <v>NOT YET</v>
      </c>
      <c r="P208" s="26"/>
      <c r="Q208" s="26"/>
      <c r="R208" s="26"/>
      <c r="S208" s="26"/>
      <c r="T208" s="26"/>
      <c r="U208" s="26"/>
      <c r="V208" s="26"/>
      <c r="W208" s="26"/>
      <c r="X208" s="26"/>
      <c r="Y208" s="26"/>
      <c r="Z208" s="26"/>
    </row>
    <row r="209" hidden="1" customHeight="1" spans="1:26">
      <c r="A209" s="27">
        <v>1403</v>
      </c>
      <c r="B209" s="27">
        <v>13</v>
      </c>
      <c r="C209" s="27" t="s">
        <v>1734</v>
      </c>
      <c r="D209" s="27" t="s">
        <v>2717</v>
      </c>
      <c r="E209" s="27" t="s">
        <v>2969</v>
      </c>
      <c r="F209" s="27" t="str">
        <f t="shared" si="0"/>
        <v>Positive Traits Old Norse Origin</v>
      </c>
      <c r="G209" s="27">
        <f t="shared" si="1"/>
        <v>6</v>
      </c>
      <c r="H209" s="27" t="s">
        <v>3124</v>
      </c>
      <c r="I209" s="27"/>
      <c r="J209" s="27"/>
      <c r="K209" s="27"/>
      <c r="L209" s="27" t="str">
        <f t="shared" si="2"/>
        <v>T</v>
      </c>
      <c r="M209" s="27" t="str">
        <f>IFERROR(__xludf.DUMMYFUNCTION("GOOGLETRANSLATE(C209,""EN"",""KN"")"),"ಮಿತವ್ಯಯ")</f>
        <v>ಮಿತವ್ಯಯ</v>
      </c>
      <c r="N209" s="27">
        <f t="array" ref="N209">_xlfn.XLOOKUP(B209,'Sets Progress'!I:I,'Sets Progress'!I:I,"NOT YET")</f>
        <v>13</v>
      </c>
      <c r="O209" s="27" t="str">
        <f t="array" ref="O209">_xlfn.XLOOKUP(L:L,'Overall Progress'!L:L,'Overall Progress'!L:L,"NOT YET")</f>
        <v>NOT YET</v>
      </c>
      <c r="P209" s="27"/>
      <c r="Q209" s="27"/>
      <c r="R209" s="27"/>
      <c r="S209" s="27"/>
      <c r="T209" s="27"/>
      <c r="U209" s="27"/>
      <c r="V209" s="27"/>
      <c r="W209" s="27"/>
      <c r="X209" s="27"/>
      <c r="Y209" s="27"/>
      <c r="Z209" s="27"/>
    </row>
    <row r="210" hidden="1" customHeight="1" spans="1:26">
      <c r="A210" s="26">
        <v>1434</v>
      </c>
      <c r="B210" s="26">
        <v>13</v>
      </c>
      <c r="C210" s="26" t="s">
        <v>284</v>
      </c>
      <c r="D210" s="26" t="s">
        <v>1721</v>
      </c>
      <c r="E210" s="26" t="s">
        <v>2889</v>
      </c>
      <c r="F210" s="26" t="str">
        <f t="shared" si="0"/>
        <v>Temporal Latin Origin</v>
      </c>
      <c r="G210" s="26">
        <f t="shared" si="1"/>
        <v>10</v>
      </c>
      <c r="H210" s="26" t="s">
        <v>3125</v>
      </c>
      <c r="I210" s="26"/>
      <c r="J210" s="26"/>
      <c r="K210" s="26"/>
      <c r="L210" s="26" t="str">
        <f t="shared" si="2"/>
        <v>U</v>
      </c>
      <c r="M210" s="26" t="str">
        <f>IFERROR(__xludf.DUMMYFUNCTION("GOOGLETRANSLATE(C210,""EN"",""KN"")"),"ಸರ್ವತ್ರ")</f>
        <v>ಸರ್ವತ್ರ</v>
      </c>
      <c r="N210" s="26">
        <f t="array" ref="N210">_xlfn.XLOOKUP(B210,'Sets Progress'!I:I,'Sets Progress'!I:I,"NOT YET")</f>
        <v>13</v>
      </c>
      <c r="O210" s="26" t="str">
        <f t="array" ref="O210">_xlfn.XLOOKUP(L:L,'Overall Progress'!L:L,'Overall Progress'!L:L,"NOT YET")</f>
        <v>NOT YET</v>
      </c>
      <c r="P210" s="26"/>
      <c r="Q210" s="26"/>
      <c r="R210" s="26"/>
      <c r="S210" s="26"/>
      <c r="T210" s="26"/>
      <c r="U210" s="26"/>
      <c r="V210" s="26"/>
      <c r="W210" s="26"/>
      <c r="X210" s="26"/>
      <c r="Y210" s="26"/>
      <c r="Z210" s="26"/>
    </row>
    <row r="211" hidden="1" customHeight="1" spans="1:26">
      <c r="A211" s="27">
        <v>1539</v>
      </c>
      <c r="B211" s="27">
        <v>13</v>
      </c>
      <c r="C211" s="27" t="s">
        <v>1867</v>
      </c>
      <c r="D211" s="27" t="s">
        <v>2716</v>
      </c>
      <c r="E211" s="27" t="s">
        <v>2893</v>
      </c>
      <c r="F211" s="27" t="str">
        <f t="shared" si="0"/>
        <v>Negative Traits Greek Origin</v>
      </c>
      <c r="G211" s="27">
        <f t="shared" si="1"/>
        <v>10</v>
      </c>
      <c r="H211" s="27" t="s">
        <v>3126</v>
      </c>
      <c r="I211" s="27"/>
      <c r="J211" s="27"/>
      <c r="K211" s="27"/>
      <c r="L211" s="27" t="str">
        <f t="shared" si="2"/>
        <v>X</v>
      </c>
      <c r="M211" s="27" t="str">
        <f>IFERROR(__xludf.DUMMYFUNCTION("GOOGLETRANSLATE(C211,""EN"",""KN"")"),"ಅನ್ಯದ್ವೇಷದ")</f>
        <v>ಅನ್ಯದ್ವೇಷದ</v>
      </c>
      <c r="N211" s="27">
        <f t="array" ref="N211">_xlfn.XLOOKUP(B211,'Sets Progress'!I:I,'Sets Progress'!I:I,"NOT YET")</f>
        <v>13</v>
      </c>
      <c r="O211" s="27" t="str">
        <f t="array" ref="O211">_xlfn.XLOOKUP(L:L,'Overall Progress'!L:L,'Overall Progress'!L:L,"NOT YET")</f>
        <v>NOT YET</v>
      </c>
      <c r="P211" s="27"/>
      <c r="Q211" s="27"/>
      <c r="R211" s="27"/>
      <c r="S211" s="27"/>
      <c r="T211" s="27"/>
      <c r="U211" s="27"/>
      <c r="V211" s="27"/>
      <c r="W211" s="27"/>
      <c r="X211" s="27"/>
      <c r="Y211" s="27"/>
      <c r="Z211" s="27"/>
    </row>
    <row r="212" hidden="1" customHeight="1" spans="1:26">
      <c r="A212" s="26">
        <v>61</v>
      </c>
      <c r="B212" s="26">
        <v>14</v>
      </c>
      <c r="C212" s="26" t="s">
        <v>414</v>
      </c>
      <c r="D212" s="26" t="s">
        <v>2717</v>
      </c>
      <c r="E212" s="26" t="s">
        <v>2911</v>
      </c>
      <c r="F212" s="26" t="str">
        <f t="shared" si="0"/>
        <v>Positive Traits French Origin</v>
      </c>
      <c r="G212" s="26">
        <f t="shared" si="1"/>
        <v>10</v>
      </c>
      <c r="H212" s="26" t="s">
        <v>3127</v>
      </c>
      <c r="I212" s="26"/>
      <c r="J212" s="26"/>
      <c r="K212" s="26"/>
      <c r="L212" s="26" t="str">
        <f t="shared" si="2"/>
        <v>A</v>
      </c>
      <c r="M212" s="26" t="str">
        <f>IFERROR(__xludf.DUMMYFUNCTION("GOOGLETRANSLATE(C212,""EN"",""KN"")"),"ಪರೋಪಕಾರಿ")</f>
        <v>ಪರೋಪಕಾರಿ</v>
      </c>
      <c r="N212" s="26">
        <f t="array" ref="N212">_xlfn.XLOOKUP(B212,'Sets Progress'!I:I,'Sets Progress'!I:I,"NOT YET")</f>
        <v>14</v>
      </c>
      <c r="O212" s="26" t="str">
        <f t="array" ref="O212">_xlfn.XLOOKUP(L:L,'Overall Progress'!L:L,'Overall Progress'!L:L,"NOT YET")</f>
        <v>NOT YET</v>
      </c>
      <c r="P212" s="26"/>
      <c r="Q212" s="26"/>
      <c r="R212" s="26"/>
      <c r="S212" s="26"/>
      <c r="T212" s="26"/>
      <c r="U212" s="26"/>
      <c r="V212" s="26"/>
      <c r="W212" s="26"/>
      <c r="X212" s="26"/>
      <c r="Y212" s="26"/>
      <c r="Z212" s="26"/>
    </row>
    <row r="213" hidden="1" customHeight="1" spans="1:26">
      <c r="A213" s="27">
        <v>82</v>
      </c>
      <c r="B213" s="27">
        <v>14</v>
      </c>
      <c r="C213" s="27" t="s">
        <v>433</v>
      </c>
      <c r="D213" s="27" t="s">
        <v>2946</v>
      </c>
      <c r="E213" s="27" t="s">
        <v>2893</v>
      </c>
      <c r="F213" s="27" t="str">
        <f t="shared" si="0"/>
        <v>Emotional Greek Origin</v>
      </c>
      <c r="G213" s="27">
        <f t="shared" si="1"/>
        <v>10</v>
      </c>
      <c r="H213" s="27" t="s">
        <v>3128</v>
      </c>
      <c r="I213" s="27"/>
      <c r="J213" s="27"/>
      <c r="K213" s="27"/>
      <c r="L213" s="27" t="str">
        <f t="shared" si="2"/>
        <v>A</v>
      </c>
      <c r="M213" s="27" t="str">
        <f>IFERROR(__xludf.DUMMYFUNCTION("GOOGLETRANSLATE(C213,""EN"",""KN"")"),"ವಿರೋಧಿಸು")</f>
        <v>ವಿರೋಧಿಸು</v>
      </c>
      <c r="N213" s="27">
        <f t="array" ref="N213">_xlfn.XLOOKUP(B213,'Sets Progress'!I:I,'Sets Progress'!I:I,"NOT YET")</f>
        <v>14</v>
      </c>
      <c r="O213" s="27" t="str">
        <f t="array" ref="O213">_xlfn.XLOOKUP(L:L,'Overall Progress'!L:L,'Overall Progress'!L:L,"NOT YET")</f>
        <v>NOT YET</v>
      </c>
      <c r="P213" s="27"/>
      <c r="Q213" s="27"/>
      <c r="R213" s="27"/>
      <c r="S213" s="27"/>
      <c r="T213" s="27"/>
      <c r="U213" s="27"/>
      <c r="V213" s="27"/>
      <c r="W213" s="27"/>
      <c r="X213" s="27"/>
      <c r="Y213" s="27"/>
      <c r="Z213" s="27"/>
    </row>
    <row r="214" hidden="1" customHeight="1" spans="1:26">
      <c r="A214" s="26">
        <v>98</v>
      </c>
      <c r="B214" s="26">
        <v>14</v>
      </c>
      <c r="C214" s="26" t="s">
        <v>449</v>
      </c>
      <c r="D214" s="26" t="s">
        <v>1721</v>
      </c>
      <c r="E214" s="26" t="s">
        <v>2911</v>
      </c>
      <c r="F214" s="26" t="str">
        <f t="shared" si="0"/>
        <v>Temporal French Origin</v>
      </c>
      <c r="G214" s="26">
        <f t="shared" si="1"/>
        <v>7</v>
      </c>
      <c r="H214" s="26" t="s">
        <v>3129</v>
      </c>
      <c r="I214" s="26"/>
      <c r="J214" s="26"/>
      <c r="K214" s="26"/>
      <c r="L214" s="26" t="str">
        <f t="shared" si="2"/>
        <v>A</v>
      </c>
      <c r="M214" s="26" t="str">
        <f>IFERROR(__xludf.DUMMYFUNCTION("GOOGLETRANSLATE(C214,""EN"",""KN"")"),"ಅಪ್ರೋಪೋಸ್")</f>
        <v>ಅಪ್ರೋಪೋಸ್</v>
      </c>
      <c r="N214" s="26">
        <f t="array" ref="N214">_xlfn.XLOOKUP(B214,'Sets Progress'!I:I,'Sets Progress'!I:I,"NOT YET")</f>
        <v>14</v>
      </c>
      <c r="O214" s="26" t="str">
        <f t="array" ref="O214">_xlfn.XLOOKUP(L:L,'Overall Progress'!L:L,'Overall Progress'!L:L,"NOT YET")</f>
        <v>NOT YET</v>
      </c>
      <c r="P214" s="26"/>
      <c r="Q214" s="26"/>
      <c r="R214" s="26"/>
      <c r="S214" s="26"/>
      <c r="T214" s="26"/>
      <c r="U214" s="26"/>
      <c r="V214" s="26"/>
      <c r="W214" s="26"/>
      <c r="X214" s="26"/>
      <c r="Y214" s="26"/>
      <c r="Z214" s="26"/>
    </row>
    <row r="215" hidden="1" customHeight="1" spans="1:26">
      <c r="A215" s="27">
        <v>154</v>
      </c>
      <c r="B215" s="27">
        <v>14</v>
      </c>
      <c r="C215" s="27" t="s">
        <v>503</v>
      </c>
      <c r="D215" s="27" t="s">
        <v>2717</v>
      </c>
      <c r="E215" s="27" t="s">
        <v>2908</v>
      </c>
      <c r="F215" s="27" t="str">
        <f t="shared" si="0"/>
        <v>Positive Traits Old English Origin</v>
      </c>
      <c r="G215" s="27">
        <f t="shared" si="1"/>
        <v>8</v>
      </c>
      <c r="H215" s="27" t="s">
        <v>3130</v>
      </c>
      <c r="I215" s="27"/>
      <c r="J215" s="27"/>
      <c r="K215" s="27"/>
      <c r="L215" s="27" t="str">
        <f t="shared" si="2"/>
        <v>B</v>
      </c>
      <c r="M215" s="27" t="str">
        <f>IFERROR(__xludf.DUMMYFUNCTION("GOOGLETRANSLATE(C215,""EN"",""KN"")"),"ಗೆಳೆತನ ಮಾಡಿ")</f>
        <v>ಗೆಳೆತನ ಮಾಡಿ</v>
      </c>
      <c r="N215" s="27">
        <f t="array" ref="N215">_xlfn.XLOOKUP(B215,'Sets Progress'!I:I,'Sets Progress'!I:I,"NOT YET")</f>
        <v>14</v>
      </c>
      <c r="O215" s="27" t="str">
        <f t="array" ref="O215">_xlfn.XLOOKUP(L:L,'Overall Progress'!L:L,'Overall Progress'!L:L,"NOT YET")</f>
        <v>NOT YET</v>
      </c>
      <c r="P215" s="27"/>
      <c r="Q215" s="27"/>
      <c r="R215" s="27"/>
      <c r="S215" s="27"/>
      <c r="T215" s="27"/>
      <c r="U215" s="27"/>
      <c r="V215" s="27"/>
      <c r="W215" s="27"/>
      <c r="X215" s="27"/>
      <c r="Y215" s="27"/>
      <c r="Z215" s="27"/>
    </row>
    <row r="216" hidden="1" customHeight="1" spans="1:26">
      <c r="A216" s="26">
        <v>182</v>
      </c>
      <c r="B216" s="26">
        <v>14</v>
      </c>
      <c r="C216" s="26" t="s">
        <v>532</v>
      </c>
      <c r="D216" s="26" t="s">
        <v>2946</v>
      </c>
      <c r="E216" s="26" t="s">
        <v>2908</v>
      </c>
      <c r="F216" s="26" t="str">
        <f t="shared" si="0"/>
        <v>Emotional Old English Origin</v>
      </c>
      <c r="G216" s="26">
        <f t="shared" si="1"/>
        <v>6</v>
      </c>
      <c r="H216" s="26" t="s">
        <v>3131</v>
      </c>
      <c r="I216" s="26"/>
      <c r="J216" s="26"/>
      <c r="K216" s="26"/>
      <c r="L216" s="26" t="str">
        <f t="shared" si="2"/>
        <v>B</v>
      </c>
      <c r="M216" s="26" t="str">
        <f>IFERROR(__xludf.DUMMYFUNCTION("GOOGLETRANSLATE(C216,""EN"",""KN"")"),"ಲಜ್ಜೆಗೆಟ್ಟ")</f>
        <v>ಲಜ್ಜೆಗೆಟ್ಟ</v>
      </c>
      <c r="N216" s="26">
        <f t="array" ref="N216">_xlfn.XLOOKUP(B216,'Sets Progress'!I:I,'Sets Progress'!I:I,"NOT YET")</f>
        <v>14</v>
      </c>
      <c r="O216" s="26" t="str">
        <f t="array" ref="O216">_xlfn.XLOOKUP(L:L,'Overall Progress'!L:L,'Overall Progress'!L:L,"NOT YET")</f>
        <v>NOT YET</v>
      </c>
      <c r="P216" s="26"/>
      <c r="Q216" s="26"/>
      <c r="R216" s="26"/>
      <c r="S216" s="26"/>
      <c r="T216" s="26"/>
      <c r="U216" s="26"/>
      <c r="V216" s="26"/>
      <c r="W216" s="26"/>
      <c r="X216" s="26"/>
      <c r="Y216" s="26"/>
      <c r="Z216" s="26"/>
    </row>
    <row r="217" hidden="1" customHeight="1" spans="1:26">
      <c r="A217" s="27">
        <v>196</v>
      </c>
      <c r="B217" s="27">
        <v>14</v>
      </c>
      <c r="C217" s="27" t="s">
        <v>546</v>
      </c>
      <c r="D217" s="27" t="s">
        <v>2716</v>
      </c>
      <c r="E217" s="27" t="s">
        <v>2889</v>
      </c>
      <c r="F217" s="27" t="str">
        <f t="shared" si="0"/>
        <v>Negative Traits Latin Origin</v>
      </c>
      <c r="G217" s="27">
        <f t="shared" si="1"/>
        <v>10</v>
      </c>
      <c r="H217" s="27" t="s">
        <v>3132</v>
      </c>
      <c r="I217" s="27"/>
      <c r="J217" s="27"/>
      <c r="K217" s="27"/>
      <c r="L217" s="27" t="str">
        <f t="shared" si="2"/>
        <v>C</v>
      </c>
      <c r="M217" s="27" t="str">
        <f>IFERROR(__xludf.DUMMYFUNCTION("GOOGLETRANSLATE(C217,""EN"",""KN"")"),"ವಿಪತ್ತು")</f>
        <v>ವಿಪತ್ತು</v>
      </c>
      <c r="N217" s="27">
        <f t="array" ref="N217">_xlfn.XLOOKUP(B217,'Sets Progress'!I:I,'Sets Progress'!I:I,"NOT YET")</f>
        <v>14</v>
      </c>
      <c r="O217" s="27" t="str">
        <f t="array" ref="O217">_xlfn.XLOOKUP(L:L,'Overall Progress'!L:L,'Overall Progress'!L:L,"NOT YET")</f>
        <v>NOT YET</v>
      </c>
      <c r="P217" s="27"/>
      <c r="Q217" s="27"/>
      <c r="R217" s="27"/>
      <c r="S217" s="27"/>
      <c r="T217" s="27"/>
      <c r="U217" s="27"/>
      <c r="V217" s="27"/>
      <c r="W217" s="27"/>
      <c r="X217" s="27"/>
      <c r="Y217" s="27"/>
      <c r="Z217" s="27"/>
    </row>
    <row r="218" hidden="1" customHeight="1" spans="1:26">
      <c r="A218" s="26">
        <v>356</v>
      </c>
      <c r="B218" s="26">
        <v>14</v>
      </c>
      <c r="C218" s="26" t="s">
        <v>706</v>
      </c>
      <c r="D218" s="26" t="s">
        <v>2716</v>
      </c>
      <c r="E218" s="26" t="s">
        <v>2889</v>
      </c>
      <c r="F218" s="26" t="str">
        <f t="shared" si="0"/>
        <v>Negative Traits Latin Origin</v>
      </c>
      <c r="G218" s="26">
        <f t="shared" si="1"/>
        <v>10</v>
      </c>
      <c r="H218" s="26" t="s">
        <v>3133</v>
      </c>
      <c r="I218" s="26"/>
      <c r="J218" s="26"/>
      <c r="K218" s="26"/>
      <c r="L218" s="26" t="str">
        <f t="shared" si="2"/>
        <v>D</v>
      </c>
      <c r="M218" s="26" t="str">
        <f>IFERROR(__xludf.DUMMYFUNCTION("GOOGLETRANSLATE(C218,""EN"",""KN"")"),"ಮಾನಹಾನಿಕರ")</f>
        <v>ಮಾನಹಾನಿಕರ</v>
      </c>
      <c r="N218" s="26">
        <f t="array" ref="N218">_xlfn.XLOOKUP(B218,'Sets Progress'!I:I,'Sets Progress'!I:I,"NOT YET")</f>
        <v>14</v>
      </c>
      <c r="O218" s="26" t="str">
        <f t="array" ref="O218">_xlfn.XLOOKUP(L:L,'Overall Progress'!L:L,'Overall Progress'!L:L,"NOT YET")</f>
        <v>NOT YET</v>
      </c>
      <c r="P218" s="26"/>
      <c r="Q218" s="26"/>
      <c r="R218" s="26"/>
      <c r="S218" s="26"/>
      <c r="T218" s="26"/>
      <c r="U218" s="26"/>
      <c r="V218" s="26"/>
      <c r="W218" s="26"/>
      <c r="X218" s="26"/>
      <c r="Y218" s="26"/>
      <c r="Z218" s="26"/>
    </row>
    <row r="219" hidden="1" customHeight="1" spans="1:26">
      <c r="A219" s="27">
        <v>363</v>
      </c>
      <c r="B219" s="27">
        <v>14</v>
      </c>
      <c r="C219" s="27" t="s">
        <v>713</v>
      </c>
      <c r="D219" s="27" t="s">
        <v>2716</v>
      </c>
      <c r="E219" s="27" t="s">
        <v>2889</v>
      </c>
      <c r="F219" s="27" t="str">
        <f t="shared" si="0"/>
        <v>Negative Traits Latin Origin</v>
      </c>
      <c r="G219" s="27">
        <f t="shared" si="1"/>
        <v>11</v>
      </c>
      <c r="H219" s="27" t="s">
        <v>3134</v>
      </c>
      <c r="I219" s="27"/>
      <c r="J219" s="27"/>
      <c r="K219" s="27"/>
      <c r="L219" s="27" t="str">
        <f t="shared" si="2"/>
        <v>D</v>
      </c>
      <c r="M219" s="27" t="str">
        <f>IFERROR(__xludf.DUMMYFUNCTION("GOOGLETRANSLATE(C219,""EN"",""KN"")"),"ಅಳಿಸುವ")</f>
        <v>ಅಳಿಸುವ</v>
      </c>
      <c r="N219" s="27">
        <f t="array" ref="N219">_xlfn.XLOOKUP(B219,'Sets Progress'!I:I,'Sets Progress'!I:I,"NOT YET")</f>
        <v>14</v>
      </c>
      <c r="O219" s="27" t="str">
        <f t="array" ref="O219">_xlfn.XLOOKUP(L:L,'Overall Progress'!L:L,'Overall Progress'!L:L,"NOT YET")</f>
        <v>NOT YET</v>
      </c>
      <c r="P219" s="27"/>
      <c r="Q219" s="27"/>
      <c r="R219" s="27"/>
      <c r="S219" s="27"/>
      <c r="T219" s="27"/>
      <c r="U219" s="27"/>
      <c r="V219" s="27"/>
      <c r="W219" s="27"/>
      <c r="X219" s="27"/>
      <c r="Y219" s="27"/>
      <c r="Z219" s="27"/>
    </row>
    <row r="220" hidden="1" customHeight="1" spans="1:26">
      <c r="A220" s="26">
        <v>364</v>
      </c>
      <c r="B220" s="26">
        <v>14</v>
      </c>
      <c r="C220" s="26" t="s">
        <v>714</v>
      </c>
      <c r="D220" s="26" t="s">
        <v>1721</v>
      </c>
      <c r="E220" s="26" t="s">
        <v>2889</v>
      </c>
      <c r="F220" s="26" t="str">
        <f t="shared" si="0"/>
        <v>Temporal Latin Origin</v>
      </c>
      <c r="G220" s="26">
        <f t="shared" si="1"/>
        <v>10</v>
      </c>
      <c r="H220" s="26" t="s">
        <v>3135</v>
      </c>
      <c r="I220" s="26"/>
      <c r="J220" s="26"/>
      <c r="K220" s="26"/>
      <c r="L220" s="26" t="str">
        <f t="shared" si="2"/>
        <v>D</v>
      </c>
      <c r="M220" s="26" t="str">
        <f>IFERROR(__xludf.DUMMYFUNCTION("GOOGLETRANSLATE(C220,""EN"",""KN"")"),"ಉದ್ದೇಶಪೂರ್ವಕ")</f>
        <v>ಉದ್ದೇಶಪೂರ್ವಕ</v>
      </c>
      <c r="N220" s="26">
        <f t="array" ref="N220">_xlfn.XLOOKUP(B220,'Sets Progress'!I:I,'Sets Progress'!I:I,"NOT YET")</f>
        <v>14</v>
      </c>
      <c r="O220" s="26" t="str">
        <f t="array" ref="O220">_xlfn.XLOOKUP(L:L,'Overall Progress'!L:L,'Overall Progress'!L:L,"NOT YET")</f>
        <v>NOT YET</v>
      </c>
      <c r="P220" s="26"/>
      <c r="Q220" s="26"/>
      <c r="R220" s="26"/>
      <c r="S220" s="26"/>
      <c r="T220" s="26"/>
      <c r="U220" s="26"/>
      <c r="V220" s="26"/>
      <c r="W220" s="26"/>
      <c r="X220" s="26"/>
      <c r="Y220" s="26"/>
      <c r="Z220" s="26"/>
    </row>
    <row r="221" hidden="1" customHeight="1" spans="1:26">
      <c r="A221" s="27">
        <v>547</v>
      </c>
      <c r="B221" s="27">
        <v>14</v>
      </c>
      <c r="C221" s="27" t="s">
        <v>893</v>
      </c>
      <c r="D221" s="27" t="s">
        <v>1721</v>
      </c>
      <c r="E221" s="27" t="s">
        <v>2889</v>
      </c>
      <c r="F221" s="27" t="str">
        <f t="shared" si="0"/>
        <v>Temporal Latin Origin</v>
      </c>
      <c r="G221" s="27">
        <f t="shared" si="1"/>
        <v>8</v>
      </c>
      <c r="H221" s="27" t="s">
        <v>3136</v>
      </c>
      <c r="I221" s="27"/>
      <c r="J221" s="27"/>
      <c r="K221" s="27"/>
      <c r="L221" s="27" t="str">
        <f t="shared" si="2"/>
        <v>E</v>
      </c>
      <c r="M221" s="27" t="str">
        <f>IFERROR(__xludf.DUMMYFUNCTION("GOOGLETRANSLATE(C221,""EN"",""KN"")"),"ನಿಖರವಾದ")</f>
        <v>ನಿಖರವಾದ</v>
      </c>
      <c r="N221" s="27">
        <f t="array" ref="N221">_xlfn.XLOOKUP(B221,'Sets Progress'!I:I,'Sets Progress'!I:I,"NOT YET")</f>
        <v>14</v>
      </c>
      <c r="O221" s="27" t="str">
        <f t="array" ref="O221">_xlfn.XLOOKUP(L:L,'Overall Progress'!L:L,'Overall Progress'!L:L,"NOT YET")</f>
        <v>NOT YET</v>
      </c>
      <c r="P221" s="27"/>
      <c r="Q221" s="27"/>
      <c r="R221" s="27"/>
      <c r="S221" s="27"/>
      <c r="T221" s="27"/>
      <c r="U221" s="27"/>
      <c r="V221" s="27"/>
      <c r="W221" s="27"/>
      <c r="X221" s="27"/>
      <c r="Y221" s="27"/>
      <c r="Z221" s="27"/>
    </row>
    <row r="222" hidden="1" customHeight="1" spans="1:26">
      <c r="A222" s="26">
        <v>599</v>
      </c>
      <c r="B222" s="26">
        <v>14</v>
      </c>
      <c r="C222" s="26" t="s">
        <v>943</v>
      </c>
      <c r="D222" s="26" t="s">
        <v>2946</v>
      </c>
      <c r="E222" s="26" t="s">
        <v>2908</v>
      </c>
      <c r="F222" s="26" t="str">
        <f t="shared" si="0"/>
        <v>Emotional Old English Origin</v>
      </c>
      <c r="G222" s="26">
        <f t="shared" si="1"/>
        <v>6</v>
      </c>
      <c r="H222" s="26" t="s">
        <v>3137</v>
      </c>
      <c r="I222" s="26"/>
      <c r="J222" s="26"/>
      <c r="K222" s="26"/>
      <c r="L222" s="26" t="str">
        <f t="shared" si="2"/>
        <v>F</v>
      </c>
      <c r="M222" s="26" t="str">
        <f>IFERROR(__xludf.DUMMYFUNCTION("GOOGLETRANSLATE(C222,""EN"",""KN"")"),"ಚಂಚಲ")</f>
        <v>ಚಂಚಲ</v>
      </c>
      <c r="N222" s="26">
        <f t="array" ref="N222">_xlfn.XLOOKUP(B222,'Sets Progress'!I:I,'Sets Progress'!I:I,"NOT YET")</f>
        <v>14</v>
      </c>
      <c r="O222" s="26" t="str">
        <f t="array" ref="O222">_xlfn.XLOOKUP(L:L,'Overall Progress'!L:L,'Overall Progress'!L:L,"NOT YET")</f>
        <v>NOT YET</v>
      </c>
      <c r="P222" s="26"/>
      <c r="Q222" s="26"/>
      <c r="R222" s="26"/>
      <c r="S222" s="26"/>
      <c r="T222" s="26"/>
      <c r="U222" s="26"/>
      <c r="V222" s="26"/>
      <c r="W222" s="26"/>
      <c r="X222" s="26"/>
      <c r="Y222" s="26"/>
      <c r="Z222" s="26"/>
    </row>
    <row r="223" hidden="1" customHeight="1" spans="1:26">
      <c r="A223" s="27">
        <v>617</v>
      </c>
      <c r="B223" s="27">
        <v>14</v>
      </c>
      <c r="C223" s="27" t="s">
        <v>961</v>
      </c>
      <c r="D223" s="27" t="s">
        <v>2716</v>
      </c>
      <c r="E223" s="27" t="s">
        <v>2921</v>
      </c>
      <c r="F223" s="27" t="str">
        <f t="shared" si="0"/>
        <v>Negative Traits Unknown Origin</v>
      </c>
      <c r="G223" s="27">
        <f t="shared" si="1"/>
        <v>9</v>
      </c>
      <c r="H223" s="27" t="s">
        <v>3138</v>
      </c>
      <c r="I223" s="27"/>
      <c r="J223" s="27"/>
      <c r="K223" s="27"/>
      <c r="L223" s="27" t="str">
        <f t="shared" si="2"/>
        <v>F</v>
      </c>
      <c r="M223" s="27" t="str">
        <f>IFERROR(__xludf.DUMMYFUNCTION("GOOGLETRANSLATE(C223,""EN"",""KN"")"),"ಫೂಲ್ಹಾರ್ಡಿ")</f>
        <v>ಫೂಲ್ಹಾರ್ಡಿ</v>
      </c>
      <c r="N223" s="27">
        <f t="array" ref="N223">_xlfn.XLOOKUP(B223,'Sets Progress'!I:I,'Sets Progress'!I:I,"NOT YET")</f>
        <v>14</v>
      </c>
      <c r="O223" s="27" t="str">
        <f t="array" ref="O223">_xlfn.XLOOKUP(L:L,'Overall Progress'!L:L,'Overall Progress'!L:L,"NOT YET")</f>
        <v>NOT YET</v>
      </c>
      <c r="P223" s="27"/>
      <c r="Q223" s="27"/>
      <c r="R223" s="27"/>
      <c r="S223" s="27"/>
      <c r="T223" s="27"/>
      <c r="U223" s="27"/>
      <c r="V223" s="27"/>
      <c r="W223" s="27"/>
      <c r="X223" s="27"/>
      <c r="Y223" s="27"/>
      <c r="Z223" s="27"/>
    </row>
    <row r="224" hidden="1" customHeight="1" spans="1:26">
      <c r="A224" s="26">
        <v>932</v>
      </c>
      <c r="B224" s="26">
        <v>14</v>
      </c>
      <c r="C224" s="26" t="s">
        <v>1268</v>
      </c>
      <c r="D224" s="26" t="s">
        <v>1721</v>
      </c>
      <c r="E224" s="26" t="s">
        <v>2889</v>
      </c>
      <c r="F224" s="26" t="str">
        <f t="shared" si="0"/>
        <v>Temporal Latin Origin</v>
      </c>
      <c r="G224" s="26">
        <f t="shared" si="1"/>
        <v>12</v>
      </c>
      <c r="H224" s="26" t="s">
        <v>3139</v>
      </c>
      <c r="I224" s="26"/>
      <c r="J224" s="26"/>
      <c r="K224" s="26"/>
      <c r="L224" s="26" t="str">
        <f t="shared" si="2"/>
        <v>M</v>
      </c>
      <c r="M224" s="26" t="str">
        <f>IFERROR(__xludf.DUMMYFUNCTION("GOOGLETRANSLATE(C224,""EN"",""KN"")"),"ಬಹುಮುಖಿ")</f>
        <v>ಬಹುಮುಖಿ</v>
      </c>
      <c r="N224" s="26">
        <f t="array" ref="N224">_xlfn.XLOOKUP(B224,'Sets Progress'!I:I,'Sets Progress'!I:I,"NOT YET")</f>
        <v>14</v>
      </c>
      <c r="O224" s="26" t="str">
        <f t="array" ref="O224">_xlfn.XLOOKUP(L:L,'Overall Progress'!L:L,'Overall Progress'!L:L,"NOT YET")</f>
        <v>NOT YET</v>
      </c>
      <c r="P224" s="26"/>
      <c r="Q224" s="26"/>
      <c r="R224" s="26"/>
      <c r="S224" s="26"/>
      <c r="T224" s="26"/>
      <c r="U224" s="26"/>
      <c r="V224" s="26"/>
      <c r="W224" s="26"/>
      <c r="X224" s="26"/>
      <c r="Y224" s="26"/>
      <c r="Z224" s="26"/>
    </row>
    <row r="225" hidden="1" customHeight="1" spans="1:26">
      <c r="A225" s="27">
        <v>947</v>
      </c>
      <c r="B225" s="27">
        <v>14</v>
      </c>
      <c r="C225" s="27" t="s">
        <v>1283</v>
      </c>
      <c r="D225" s="27" t="s">
        <v>2716</v>
      </c>
      <c r="E225" s="27" t="s">
        <v>2889</v>
      </c>
      <c r="F225" s="27" t="str">
        <f t="shared" si="0"/>
        <v>Negative Traits Latin Origin</v>
      </c>
      <c r="G225" s="27">
        <f t="shared" si="1"/>
        <v>9</v>
      </c>
      <c r="H225" s="27" t="s">
        <v>3140</v>
      </c>
      <c r="I225" s="27"/>
      <c r="J225" s="27"/>
      <c r="K225" s="27"/>
      <c r="L225" s="27" t="str">
        <f t="shared" si="2"/>
        <v>N</v>
      </c>
      <c r="M225" s="27" t="str">
        <f>IFERROR(__xludf.DUMMYFUNCTION("GOOGLETRANSLATE(C225,""EN"",""KN"")"),"ನಿರ್ಲಕ್ಷ್ಯ")</f>
        <v>ನಿರ್ಲಕ್ಷ್ಯ</v>
      </c>
      <c r="N225" s="27">
        <f t="array" ref="N225">_xlfn.XLOOKUP(B225,'Sets Progress'!I:I,'Sets Progress'!I:I,"NOT YET")</f>
        <v>14</v>
      </c>
      <c r="O225" s="27" t="str">
        <f t="array" ref="O225">_xlfn.XLOOKUP(L:L,'Overall Progress'!L:L,'Overall Progress'!L:L,"NOT YET")</f>
        <v>NOT YET</v>
      </c>
      <c r="P225" s="27"/>
      <c r="Q225" s="27"/>
      <c r="R225" s="27"/>
      <c r="S225" s="27"/>
      <c r="T225" s="27"/>
      <c r="U225" s="27"/>
      <c r="V225" s="27"/>
      <c r="W225" s="27"/>
      <c r="X225" s="27"/>
      <c r="Y225" s="27"/>
      <c r="Z225" s="27"/>
    </row>
    <row r="226" hidden="1" customHeight="1" spans="1:26">
      <c r="A226" s="26">
        <v>975</v>
      </c>
      <c r="B226" s="26">
        <v>14</v>
      </c>
      <c r="C226" s="26" t="s">
        <v>1311</v>
      </c>
      <c r="D226" s="26" t="s">
        <v>2716</v>
      </c>
      <c r="E226" s="26" t="s">
        <v>2889</v>
      </c>
      <c r="F226" s="26" t="str">
        <f t="shared" si="0"/>
        <v>Negative Traits Latin Origin</v>
      </c>
      <c r="G226" s="26">
        <f t="shared" si="1"/>
        <v>9</v>
      </c>
      <c r="H226" s="26" t="s">
        <v>3141</v>
      </c>
      <c r="I226" s="26"/>
      <c r="J226" s="26"/>
      <c r="K226" s="26"/>
      <c r="L226" s="26" t="str">
        <f t="shared" si="2"/>
        <v>O</v>
      </c>
      <c r="M226" s="26" t="str">
        <f>IFERROR(__xludf.DUMMYFUNCTION("GOOGLETRANSLATE(C226,""EN"",""KN"")"),"ಹಠಮಾರಿ")</f>
        <v>ಹಠಮಾರಿ</v>
      </c>
      <c r="N226" s="26">
        <f t="array" ref="N226">_xlfn.XLOOKUP(B226,'Sets Progress'!I:I,'Sets Progress'!I:I,"NOT YET")</f>
        <v>14</v>
      </c>
      <c r="O226" s="26" t="str">
        <f t="array" ref="O226">_xlfn.XLOOKUP(L:L,'Overall Progress'!L:L,'Overall Progress'!L:L,"NOT YET")</f>
        <v>NOT YET</v>
      </c>
      <c r="P226" s="26"/>
      <c r="Q226" s="26"/>
      <c r="R226" s="26"/>
      <c r="S226" s="26"/>
      <c r="T226" s="26"/>
      <c r="U226" s="26"/>
      <c r="V226" s="26"/>
      <c r="W226" s="26"/>
      <c r="X226" s="26"/>
      <c r="Y226" s="26"/>
      <c r="Z226" s="26"/>
    </row>
    <row r="227" hidden="1" customHeight="1" spans="1:26">
      <c r="A227" s="27">
        <v>1026</v>
      </c>
      <c r="B227" s="27">
        <v>14</v>
      </c>
      <c r="C227" s="27" t="s">
        <v>1361</v>
      </c>
      <c r="D227" s="27" t="s">
        <v>1721</v>
      </c>
      <c r="E227" s="27" t="s">
        <v>2889</v>
      </c>
      <c r="F227" s="27" t="str">
        <f t="shared" si="0"/>
        <v>Temporal Latin Origin</v>
      </c>
      <c r="G227" s="27">
        <f t="shared" si="1"/>
        <v>6</v>
      </c>
      <c r="H227" s="27" t="s">
        <v>3142</v>
      </c>
      <c r="I227" s="27"/>
      <c r="J227" s="27"/>
      <c r="K227" s="27"/>
      <c r="L227" s="27" t="str">
        <f t="shared" si="2"/>
        <v>P</v>
      </c>
      <c r="M227" s="27" t="str">
        <f>IFERROR(__xludf.DUMMYFUNCTION("GOOGLETRANSLATE(C227,""EN"",""KN"")"),"ಪೇಟೆಂಟ್")</f>
        <v>ಪೇಟೆಂಟ್</v>
      </c>
      <c r="N227" s="27">
        <f t="array" ref="N227">_xlfn.XLOOKUP(B227,'Sets Progress'!I:I,'Sets Progress'!I:I,"NOT YET")</f>
        <v>14</v>
      </c>
      <c r="O227" s="27" t="str">
        <f t="array" ref="O227">_xlfn.XLOOKUP(L:L,'Overall Progress'!L:L,'Overall Progress'!L:L,"NOT YET")</f>
        <v>NOT YET</v>
      </c>
      <c r="P227" s="27"/>
      <c r="Q227" s="27"/>
      <c r="R227" s="27"/>
      <c r="S227" s="27"/>
      <c r="T227" s="27"/>
      <c r="U227" s="27"/>
      <c r="V227" s="27"/>
      <c r="W227" s="27"/>
      <c r="X227" s="27"/>
      <c r="Y227" s="27"/>
      <c r="Z227" s="27"/>
    </row>
    <row r="228" hidden="1" customHeight="1" spans="1:26">
      <c r="A228" s="26">
        <v>1180</v>
      </c>
      <c r="B228" s="26">
        <v>14</v>
      </c>
      <c r="C228" s="26" t="s">
        <v>1511</v>
      </c>
      <c r="D228" s="26" t="s">
        <v>1721</v>
      </c>
      <c r="E228" s="26" t="s">
        <v>2889</v>
      </c>
      <c r="F228" s="26" t="str">
        <f t="shared" si="0"/>
        <v>Temporal Latin Origin</v>
      </c>
      <c r="G228" s="26">
        <f t="shared" si="1"/>
        <v>8</v>
      </c>
      <c r="H228" s="26" t="s">
        <v>3143</v>
      </c>
      <c r="I228" s="26"/>
      <c r="J228" s="26"/>
      <c r="K228" s="26"/>
      <c r="L228" s="26" t="str">
        <f t="shared" si="2"/>
        <v>R</v>
      </c>
      <c r="M228" s="26" t="str">
        <f>IFERROR(__xludf.DUMMYFUNCTION("GOOGLETRANSLATE(C228,""EN"",""KN"")"),"ಆಶ್ರಯ")</f>
        <v>ಆಶ್ರಯ</v>
      </c>
      <c r="N228" s="26">
        <f t="array" ref="N228">_xlfn.XLOOKUP(B228,'Sets Progress'!I:I,'Sets Progress'!I:I,"NOT YET")</f>
        <v>14</v>
      </c>
      <c r="O228" s="26" t="str">
        <f t="array" ref="O228">_xlfn.XLOOKUP(L:L,'Overall Progress'!L:L,'Overall Progress'!L:L,"NOT YET")</f>
        <v>NOT YET</v>
      </c>
      <c r="P228" s="26"/>
      <c r="Q228" s="26"/>
      <c r="R228" s="26"/>
      <c r="S228" s="26"/>
      <c r="T228" s="26"/>
      <c r="U228" s="26"/>
      <c r="V228" s="26"/>
      <c r="W228" s="26"/>
      <c r="X228" s="26"/>
      <c r="Y228" s="26"/>
      <c r="Z228" s="26"/>
    </row>
    <row r="229" hidden="1" customHeight="1" spans="1:26">
      <c r="A229" s="27">
        <v>1198</v>
      </c>
      <c r="B229" s="27">
        <v>14</v>
      </c>
      <c r="C229" s="27" t="s">
        <v>1529</v>
      </c>
      <c r="D229" s="27" t="s">
        <v>2717</v>
      </c>
      <c r="E229" s="27" t="s">
        <v>2889</v>
      </c>
      <c r="F229" s="27" t="str">
        <f t="shared" si="0"/>
        <v>Positive Traits Latin Origin</v>
      </c>
      <c r="G229" s="27">
        <f t="shared" si="1"/>
        <v>10</v>
      </c>
      <c r="H229" s="27" t="s">
        <v>3144</v>
      </c>
      <c r="I229" s="27"/>
      <c r="J229" s="27"/>
      <c r="K229" s="27"/>
      <c r="L229" s="27" t="str">
        <f t="shared" si="2"/>
        <v>R</v>
      </c>
      <c r="M229" s="27" t="str">
        <f>IFERROR(__xludf.DUMMYFUNCTION("GOOGLETRANSLATE(C229,""EN"",""KN"")"),"ಪಟ್ಟುಬಿಡದ")</f>
        <v>ಪಟ್ಟುಬಿಡದ</v>
      </c>
      <c r="N229" s="27">
        <f t="array" ref="N229">_xlfn.XLOOKUP(B229,'Sets Progress'!I:I,'Sets Progress'!I:I,"NOT YET")</f>
        <v>14</v>
      </c>
      <c r="O229" s="27" t="str">
        <f t="array" ref="O229">_xlfn.XLOOKUP(L:L,'Overall Progress'!L:L,'Overall Progress'!L:L,"NOT YET")</f>
        <v>NOT YET</v>
      </c>
      <c r="P229" s="27"/>
      <c r="Q229" s="27"/>
      <c r="R229" s="27"/>
      <c r="S229" s="27"/>
      <c r="T229" s="27"/>
      <c r="U229" s="27"/>
      <c r="V229" s="27"/>
      <c r="W229" s="27"/>
      <c r="X229" s="27"/>
      <c r="Y229" s="27"/>
      <c r="Z229" s="27"/>
    </row>
    <row r="230" hidden="1" customHeight="1" spans="1:26">
      <c r="A230" s="26">
        <v>1277</v>
      </c>
      <c r="B230" s="26">
        <v>14</v>
      </c>
      <c r="C230" s="26" t="s">
        <v>1608</v>
      </c>
      <c r="D230" s="26" t="s">
        <v>1721</v>
      </c>
      <c r="E230" s="26" t="s">
        <v>2908</v>
      </c>
      <c r="F230" s="26" t="str">
        <f t="shared" si="0"/>
        <v>Temporal Old English Origin</v>
      </c>
      <c r="G230" s="26">
        <f t="shared" si="1"/>
        <v>8</v>
      </c>
      <c r="H230" s="26" t="s">
        <v>3145</v>
      </c>
      <c r="I230" s="26"/>
      <c r="J230" s="26"/>
      <c r="K230" s="26"/>
      <c r="L230" s="26" t="str">
        <f t="shared" si="2"/>
        <v>S</v>
      </c>
      <c r="M230" s="26" t="str">
        <f>IFERROR(__xludf.DUMMYFUNCTION("GOOGLETRANSLATE(C230,""EN"",""KN"")"),"ಪ್ರದರ್ಶನ")</f>
        <v>ಪ್ರದರ್ಶನ</v>
      </c>
      <c r="N230" s="26">
        <f t="array" ref="N230">_xlfn.XLOOKUP(B230,'Sets Progress'!I:I,'Sets Progress'!I:I,"NOT YET")</f>
        <v>14</v>
      </c>
      <c r="O230" s="26" t="str">
        <f t="array" ref="O230">_xlfn.XLOOKUP(L:L,'Overall Progress'!L:L,'Overall Progress'!L:L,"NOT YET")</f>
        <v>NOT YET</v>
      </c>
      <c r="P230" s="26"/>
      <c r="Q230" s="26"/>
      <c r="R230" s="26"/>
      <c r="S230" s="26"/>
      <c r="T230" s="26"/>
      <c r="U230" s="26"/>
      <c r="V230" s="26"/>
      <c r="W230" s="26"/>
      <c r="X230" s="26"/>
      <c r="Y230" s="26"/>
      <c r="Z230" s="26"/>
    </row>
    <row r="231" hidden="1" customHeight="1" spans="1:26">
      <c r="A231" s="27">
        <v>1443</v>
      </c>
      <c r="B231" s="27">
        <v>14</v>
      </c>
      <c r="C231" s="27" t="s">
        <v>1771</v>
      </c>
      <c r="D231" s="27" t="s">
        <v>1721</v>
      </c>
      <c r="E231" s="27" t="s">
        <v>2908</v>
      </c>
      <c r="F231" s="27" t="str">
        <f t="shared" si="0"/>
        <v>Temporal Old English Origin</v>
      </c>
      <c r="G231" s="27">
        <f t="shared" si="1"/>
        <v>20</v>
      </c>
      <c r="H231" s="27" t="s">
        <v>3146</v>
      </c>
      <c r="I231" s="27"/>
      <c r="J231" s="27"/>
      <c r="K231" s="27"/>
      <c r="L231" s="27" t="str">
        <f t="shared" si="2"/>
        <v>U</v>
      </c>
      <c r="M231" s="27" t="str">
        <f>IFERROR(__xludf.DUMMYFUNCTION("GOOGLETRANSLATE(C231,""EN"",""KN"")"),"ಅಸಾಧಾರಣವಾಗಿ")</f>
        <v>ಅಸಾಧಾರಣವಾಗಿ</v>
      </c>
      <c r="N231" s="27">
        <f t="array" ref="N231">_xlfn.XLOOKUP(B231,'Sets Progress'!I:I,'Sets Progress'!I:I,"NOT YET")</f>
        <v>14</v>
      </c>
      <c r="O231" s="27" t="str">
        <f t="array" ref="O231">_xlfn.XLOOKUP(L:L,'Overall Progress'!L:L,'Overall Progress'!L:L,"NOT YET")</f>
        <v>NOT YET</v>
      </c>
      <c r="P231" s="27"/>
      <c r="Q231" s="27"/>
      <c r="R231" s="27"/>
      <c r="S231" s="27"/>
      <c r="T231" s="27"/>
      <c r="U231" s="27"/>
      <c r="V231" s="27"/>
      <c r="W231" s="27"/>
      <c r="X231" s="27"/>
      <c r="Y231" s="27"/>
      <c r="Z231" s="27"/>
    </row>
    <row r="232" hidden="1" customHeight="1" spans="1:26">
      <c r="A232" s="26">
        <v>1536</v>
      </c>
      <c r="B232" s="26">
        <v>14</v>
      </c>
      <c r="C232" s="26" t="s">
        <v>1864</v>
      </c>
      <c r="D232" s="26" t="s">
        <v>2717</v>
      </c>
      <c r="E232" s="26" t="s">
        <v>2908</v>
      </c>
      <c r="F232" s="26" t="str">
        <f t="shared" si="0"/>
        <v>Positive Traits Old English Origin</v>
      </c>
      <c r="G232" s="26">
        <f t="shared" si="1"/>
        <v>5</v>
      </c>
      <c r="H232" s="26" t="s">
        <v>3147</v>
      </c>
      <c r="I232" s="26"/>
      <c r="J232" s="26"/>
      <c r="K232" s="26"/>
      <c r="L232" s="26" t="str">
        <f t="shared" si="2"/>
        <v>W</v>
      </c>
      <c r="M232" s="26" t="str">
        <f>IFERROR(__xludf.DUMMYFUNCTION("GOOGLETRANSLATE(C232,""EN"",""KN"")"),"ಹಾಸ್ಯದ")</f>
        <v>ಹಾಸ್ಯದ</v>
      </c>
      <c r="N232" s="26">
        <f t="array" ref="N232">_xlfn.XLOOKUP(B232,'Sets Progress'!I:I,'Sets Progress'!I:I,"NOT YET")</f>
        <v>14</v>
      </c>
      <c r="O232" s="26" t="str">
        <f t="array" ref="O232">_xlfn.XLOOKUP(L:L,'Overall Progress'!L:L,'Overall Progress'!L:L,"NOT YET")</f>
        <v>NOT YET</v>
      </c>
      <c r="P232" s="26"/>
      <c r="Q232" s="26"/>
      <c r="R232" s="26"/>
      <c r="S232" s="26"/>
      <c r="T232" s="26"/>
      <c r="U232" s="26"/>
      <c r="V232" s="26"/>
      <c r="W232" s="26"/>
      <c r="X232" s="26"/>
      <c r="Y232" s="26"/>
      <c r="Z232" s="26"/>
    </row>
    <row r="233" hidden="1" customHeight="1" spans="1:26">
      <c r="A233" s="27">
        <v>28</v>
      </c>
      <c r="B233" s="27">
        <v>15</v>
      </c>
      <c r="C233" s="27" t="s">
        <v>313</v>
      </c>
      <c r="D233" s="27" t="s">
        <v>2717</v>
      </c>
      <c r="E233" s="27" t="s">
        <v>2889</v>
      </c>
      <c r="F233" s="27" t="str">
        <f t="shared" si="0"/>
        <v>Positive Traits Latin Origin</v>
      </c>
      <c r="G233" s="27">
        <f t="shared" si="1"/>
        <v>11</v>
      </c>
      <c r="H233" s="27" t="s">
        <v>3148</v>
      </c>
      <c r="I233" s="27"/>
      <c r="J233" s="27"/>
      <c r="K233" s="27"/>
      <c r="L233" s="27" t="str">
        <f t="shared" si="2"/>
        <v>A</v>
      </c>
      <c r="M233" s="27" t="str">
        <f>IFERROR(__xludf.DUMMYFUNCTION("GOOGLETRANSLATE(C233,""EN"",""KN"")"),"ಸ್ವಾಧೀನಪಡಿಸಿಕೊಳ್ಳುವ")</f>
        <v>ಸ್ವಾಧೀನಪಡಿಸಿಕೊಳ್ಳುವ</v>
      </c>
      <c r="N233" s="27">
        <f t="array" ref="N233">_xlfn.XLOOKUP(B233,'Sets Progress'!I:I,'Sets Progress'!I:I,"NOT YET")</f>
        <v>15</v>
      </c>
      <c r="O233" s="27" t="str">
        <f t="array" ref="O233">_xlfn.XLOOKUP(L:L,'Overall Progress'!L:L,'Overall Progress'!L:L,"NOT YET")</f>
        <v>NOT YET</v>
      </c>
      <c r="P233" s="27"/>
      <c r="Q233" s="27"/>
      <c r="R233" s="27"/>
      <c r="S233" s="27"/>
      <c r="T233" s="27"/>
      <c r="U233" s="27"/>
      <c r="V233" s="27"/>
      <c r="W233" s="27"/>
      <c r="X233" s="27"/>
      <c r="Y233" s="27"/>
      <c r="Z233" s="27"/>
    </row>
    <row r="234" hidden="1" customHeight="1" spans="1:26">
      <c r="A234" s="26">
        <v>247</v>
      </c>
      <c r="B234" s="26">
        <v>15</v>
      </c>
      <c r="C234" s="26" t="s">
        <v>598</v>
      </c>
      <c r="D234" s="26" t="s">
        <v>2716</v>
      </c>
      <c r="E234" s="26" t="s">
        <v>2889</v>
      </c>
      <c r="F234" s="26" t="str">
        <f t="shared" si="0"/>
        <v>Negative Traits Latin Origin</v>
      </c>
      <c r="G234" s="26">
        <f t="shared" si="1"/>
        <v>8</v>
      </c>
      <c r="H234" s="26" t="s">
        <v>3149</v>
      </c>
      <c r="I234" s="26"/>
      <c r="J234" s="26"/>
      <c r="K234" s="26"/>
      <c r="L234" s="26" t="str">
        <f t="shared" si="2"/>
        <v>C</v>
      </c>
      <c r="M234" s="26" t="str">
        <f>IFERROR(__xludf.DUMMYFUNCTION("GOOGLETRANSLATE(C234,""EN"",""KN"")"),"ಬಲಾತ್ಕಾರ")</f>
        <v>ಬಲಾತ್ಕಾರ</v>
      </c>
      <c r="N234" s="26">
        <f t="array" ref="N234">_xlfn.XLOOKUP(B234,'Sets Progress'!I:I,'Sets Progress'!I:I,"NOT YET")</f>
        <v>15</v>
      </c>
      <c r="O234" s="26" t="str">
        <f t="array" ref="O234">_xlfn.XLOOKUP(L:L,'Overall Progress'!L:L,'Overall Progress'!L:L,"NOT YET")</f>
        <v>NOT YET</v>
      </c>
      <c r="P234" s="26"/>
      <c r="Q234" s="26"/>
      <c r="R234" s="26"/>
      <c r="S234" s="26"/>
      <c r="T234" s="26"/>
      <c r="U234" s="26"/>
      <c r="V234" s="26"/>
      <c r="W234" s="26"/>
      <c r="X234" s="26"/>
      <c r="Y234" s="26"/>
      <c r="Z234" s="26"/>
    </row>
    <row r="235" hidden="1" customHeight="1" spans="1:26">
      <c r="A235" s="27">
        <v>289</v>
      </c>
      <c r="B235" s="27">
        <v>15</v>
      </c>
      <c r="C235" s="27" t="s">
        <v>642</v>
      </c>
      <c r="D235" s="27" t="s">
        <v>2892</v>
      </c>
      <c r="E235" s="27" t="s">
        <v>2889</v>
      </c>
      <c r="F235" s="27" t="str">
        <f t="shared" si="0"/>
        <v>Spatial Latin Origin</v>
      </c>
      <c r="G235" s="27">
        <f t="shared" si="1"/>
        <v>11</v>
      </c>
      <c r="H235" s="27" t="s">
        <v>3150</v>
      </c>
      <c r="I235" s="27"/>
      <c r="J235" s="27"/>
      <c r="K235" s="27"/>
      <c r="L235" s="27" t="str">
        <f t="shared" si="2"/>
        <v>C</v>
      </c>
      <c r="M235" s="27" t="str">
        <f>IFERROR(__xludf.DUMMYFUNCTION("GOOGLETRANSLATE(C235,""EN"",""KN"")"),"ಎದ್ದುಕಾಣುವ")</f>
        <v>ಎದ್ದುಕಾಣುವ</v>
      </c>
      <c r="N235" s="27">
        <f t="array" ref="N235">_xlfn.XLOOKUP(B235,'Sets Progress'!I:I,'Sets Progress'!I:I,"NOT YET")</f>
        <v>15</v>
      </c>
      <c r="O235" s="27" t="str">
        <f t="array" ref="O235">_xlfn.XLOOKUP(L:L,'Overall Progress'!L:L,'Overall Progress'!L:L,"NOT YET")</f>
        <v>NOT YET</v>
      </c>
      <c r="P235" s="27"/>
      <c r="Q235" s="27"/>
      <c r="R235" s="27"/>
      <c r="S235" s="27"/>
      <c r="T235" s="27"/>
      <c r="U235" s="27"/>
      <c r="V235" s="27"/>
      <c r="W235" s="27"/>
      <c r="X235" s="27"/>
      <c r="Y235" s="27"/>
      <c r="Z235" s="27"/>
    </row>
    <row r="236" hidden="1" customHeight="1" spans="1:26">
      <c r="A236" s="26">
        <v>690</v>
      </c>
      <c r="B236" s="26">
        <v>15</v>
      </c>
      <c r="C236" s="26" t="s">
        <v>1032</v>
      </c>
      <c r="D236" s="26" t="s">
        <v>1721</v>
      </c>
      <c r="E236" s="26" t="s">
        <v>2921</v>
      </c>
      <c r="F236" s="26" t="str">
        <f t="shared" si="0"/>
        <v>Temporal Unknown Origin</v>
      </c>
      <c r="G236" s="26">
        <f t="shared" si="1"/>
        <v>10</v>
      </c>
      <c r="H236" s="26" t="s">
        <v>3151</v>
      </c>
      <c r="I236" s="26"/>
      <c r="J236" s="26"/>
      <c r="K236" s="26"/>
      <c r="L236" s="26" t="str">
        <f t="shared" si="2"/>
        <v>H</v>
      </c>
      <c r="M236" s="26" t="str">
        <f>IFERROR(__xludf.DUMMYFUNCTION("GOOGLETRANSLATE(C236,""EN"",""KN"")"),"ಹಾಡ್ಜ್ಪೋಡ್ಜ್")</f>
        <v>ಹಾಡ್ಜ್ಪೋಡ್ಜ್</v>
      </c>
      <c r="N236" s="26">
        <f t="array" ref="N236">_xlfn.XLOOKUP(B236,'Sets Progress'!I:I,'Sets Progress'!I:I,"NOT YET")</f>
        <v>15</v>
      </c>
      <c r="O236" s="26" t="str">
        <f t="array" ref="O236">_xlfn.XLOOKUP(L:L,'Overall Progress'!L:L,'Overall Progress'!L:L,"NOT YET")</f>
        <v>NOT YET</v>
      </c>
      <c r="P236" s="26"/>
      <c r="Q236" s="26"/>
      <c r="R236" s="26"/>
      <c r="S236" s="26"/>
      <c r="T236" s="26"/>
      <c r="U236" s="26"/>
      <c r="V236" s="26"/>
      <c r="W236" s="26"/>
      <c r="X236" s="26"/>
      <c r="Y236" s="26"/>
      <c r="Z236" s="26"/>
    </row>
    <row r="237" hidden="1" customHeight="1" spans="1:26">
      <c r="A237" s="27">
        <v>725</v>
      </c>
      <c r="B237" s="27">
        <v>15</v>
      </c>
      <c r="C237" s="27" t="s">
        <v>1067</v>
      </c>
      <c r="D237" s="27" t="s">
        <v>1721</v>
      </c>
      <c r="E237" s="27" t="s">
        <v>2889</v>
      </c>
      <c r="F237" s="27" t="str">
        <f t="shared" si="0"/>
        <v>Temporal Latin Origin</v>
      </c>
      <c r="G237" s="27">
        <f t="shared" si="1"/>
        <v>11</v>
      </c>
      <c r="H237" s="27" t="s">
        <v>3152</v>
      </c>
      <c r="I237" s="27"/>
      <c r="J237" s="27"/>
      <c r="K237" s="27"/>
      <c r="L237" s="27" t="str">
        <f t="shared" si="2"/>
        <v>I</v>
      </c>
      <c r="M237" s="27" t="str">
        <f>IFERROR(__xludf.DUMMYFUNCTION("GOOGLETRANSLATE(C237,""EN"",""KN"")"),"ಅಪ್ರಸ್ತುತ")</f>
        <v>ಅಪ್ರಸ್ತುತ</v>
      </c>
      <c r="N237" s="27">
        <f t="array" ref="N237">_xlfn.XLOOKUP(B237,'Sets Progress'!I:I,'Sets Progress'!I:I,"NOT YET")</f>
        <v>15</v>
      </c>
      <c r="O237" s="27" t="str">
        <f t="array" ref="O237">_xlfn.XLOOKUP(L:L,'Overall Progress'!L:L,'Overall Progress'!L:L,"NOT YET")</f>
        <v>NOT YET</v>
      </c>
      <c r="P237" s="27"/>
      <c r="Q237" s="27"/>
      <c r="R237" s="27"/>
      <c r="S237" s="27"/>
      <c r="T237" s="27"/>
      <c r="U237" s="27"/>
      <c r="V237" s="27"/>
      <c r="W237" s="27"/>
      <c r="X237" s="27"/>
      <c r="Y237" s="27"/>
      <c r="Z237" s="27"/>
    </row>
    <row r="238" hidden="1" customHeight="1" spans="1:26">
      <c r="A238" s="26">
        <v>868</v>
      </c>
      <c r="B238" s="26">
        <v>15</v>
      </c>
      <c r="C238" s="26" t="s">
        <v>1207</v>
      </c>
      <c r="D238" s="26" t="s">
        <v>1721</v>
      </c>
      <c r="E238" s="26" t="s">
        <v>2908</v>
      </c>
      <c r="F238" s="26" t="str">
        <f t="shared" si="0"/>
        <v>Temporal Old English Origin</v>
      </c>
      <c r="G238" s="26">
        <f t="shared" si="1"/>
        <v>11</v>
      </c>
      <c r="H238" s="26" t="s">
        <v>3153</v>
      </c>
      <c r="I238" s="26"/>
      <c r="J238" s="26"/>
      <c r="K238" s="26"/>
      <c r="L238" s="26" t="str">
        <f t="shared" si="2"/>
        <v>L</v>
      </c>
      <c r="M238" s="26" t="str">
        <f>IFERROR(__xludf.DUMMYFUNCTION("GOOGLETRANSLATE(C238,""EN"",""KN"")"),"ದೀರ್ಘ-ಗಾಳಿ")</f>
        <v>ದೀರ್ಘ-ಗಾಳಿ</v>
      </c>
      <c r="N238" s="26">
        <f t="array" ref="N238">_xlfn.XLOOKUP(B238,'Sets Progress'!I:I,'Sets Progress'!I:I,"NOT YET")</f>
        <v>15</v>
      </c>
      <c r="O238" s="26" t="str">
        <f t="array" ref="O238">_xlfn.XLOOKUP(L:L,'Overall Progress'!L:L,'Overall Progress'!L:L,"NOT YET")</f>
        <v>NOT YET</v>
      </c>
      <c r="P238" s="26"/>
      <c r="Q238" s="26"/>
      <c r="R238" s="26"/>
      <c r="S238" s="26"/>
      <c r="T238" s="26"/>
      <c r="U238" s="26"/>
      <c r="V238" s="26"/>
      <c r="W238" s="26"/>
      <c r="X238" s="26"/>
      <c r="Y238" s="26"/>
      <c r="Z238" s="26"/>
    </row>
    <row r="239" hidden="1" customHeight="1" spans="1:26">
      <c r="A239" s="27">
        <v>1005</v>
      </c>
      <c r="B239" s="27">
        <v>15</v>
      </c>
      <c r="C239" s="27" t="s">
        <v>1340</v>
      </c>
      <c r="D239" s="27" t="s">
        <v>1721</v>
      </c>
      <c r="E239" s="27" t="s">
        <v>2908</v>
      </c>
      <c r="F239" s="27" t="str">
        <f t="shared" si="0"/>
        <v>Temporal Old English Origin</v>
      </c>
      <c r="G239" s="27">
        <f t="shared" si="1"/>
        <v>7</v>
      </c>
      <c r="H239" s="27" t="s">
        <v>3154</v>
      </c>
      <c r="I239" s="27"/>
      <c r="J239" s="27"/>
      <c r="K239" s="27"/>
      <c r="L239" s="27" t="str">
        <f t="shared" si="2"/>
        <v>O</v>
      </c>
      <c r="M239" s="27" t="str">
        <f>IFERROR(__xludf.DUMMYFUNCTION("GOOGLETRANSLATE(C239,""EN"",""KN"")"),"ಅತಿಯಾದ ಬಳಕೆ")</f>
        <v>ಅತಿಯಾದ ಬಳಕೆ</v>
      </c>
      <c r="N239" s="27">
        <f t="array" ref="N239">_xlfn.XLOOKUP(B239,'Sets Progress'!I:I,'Sets Progress'!I:I,"NOT YET")</f>
        <v>15</v>
      </c>
      <c r="O239" s="27" t="str">
        <f t="array" ref="O239">_xlfn.XLOOKUP(L:L,'Overall Progress'!L:L,'Overall Progress'!L:L,"NOT YET")</f>
        <v>NOT YET</v>
      </c>
      <c r="P239" s="27"/>
      <c r="Q239" s="27"/>
      <c r="R239" s="27"/>
      <c r="S239" s="27"/>
      <c r="T239" s="27"/>
      <c r="U239" s="27"/>
      <c r="V239" s="27"/>
      <c r="W239" s="27"/>
      <c r="X239" s="27"/>
      <c r="Y239" s="27"/>
      <c r="Z239" s="27"/>
    </row>
    <row r="240" hidden="1" customHeight="1" spans="1:26">
      <c r="A240" s="26">
        <v>1074</v>
      </c>
      <c r="B240" s="26">
        <v>15</v>
      </c>
      <c r="C240" s="26" t="s">
        <v>1409</v>
      </c>
      <c r="D240" s="26" t="s">
        <v>2717</v>
      </c>
      <c r="E240" s="26" t="s">
        <v>2889</v>
      </c>
      <c r="F240" s="26" t="str">
        <f t="shared" si="0"/>
        <v>Positive Traits Latin Origin</v>
      </c>
      <c r="G240" s="26">
        <f t="shared" si="1"/>
        <v>9</v>
      </c>
      <c r="H240" s="26" t="s">
        <v>3155</v>
      </c>
      <c r="I240" s="26"/>
      <c r="J240" s="26"/>
      <c r="K240" s="26"/>
      <c r="L240" s="26" t="str">
        <f t="shared" si="2"/>
        <v>P</v>
      </c>
      <c r="M240" s="26" t="str">
        <f>IFERROR(__xludf.DUMMYFUNCTION("GOOGLETRANSLATE(C240,""EN"",""KN"")"),"ತೋರಿಕೆಯ")</f>
        <v>ತೋರಿಕೆಯ</v>
      </c>
      <c r="N240" s="26">
        <f t="array" ref="N240">_xlfn.XLOOKUP(B240,'Sets Progress'!I:I,'Sets Progress'!I:I,"NOT YET")</f>
        <v>15</v>
      </c>
      <c r="O240" s="26" t="str">
        <f t="array" ref="O240">_xlfn.XLOOKUP(L:L,'Overall Progress'!L:L,'Overall Progress'!L:L,"NOT YET")</f>
        <v>NOT YET</v>
      </c>
      <c r="P240" s="26"/>
      <c r="Q240" s="26"/>
      <c r="R240" s="26"/>
      <c r="S240" s="26"/>
      <c r="T240" s="26"/>
      <c r="U240" s="26"/>
      <c r="V240" s="26"/>
      <c r="W240" s="26"/>
      <c r="X240" s="26"/>
      <c r="Y240" s="26"/>
      <c r="Z240" s="26"/>
    </row>
    <row r="241" hidden="1" customHeight="1" spans="1:26">
      <c r="A241" s="27">
        <v>1189</v>
      </c>
      <c r="B241" s="27">
        <v>15</v>
      </c>
      <c r="C241" s="27" t="s">
        <v>1520</v>
      </c>
      <c r="D241" s="27" t="s">
        <v>1721</v>
      </c>
      <c r="E241" s="27" t="s">
        <v>2889</v>
      </c>
      <c r="F241" s="27" t="str">
        <f t="shared" si="0"/>
        <v>Temporal Latin Origin</v>
      </c>
      <c r="G241" s="27">
        <f t="shared" si="1"/>
        <v>7</v>
      </c>
      <c r="H241" s="27" t="s">
        <v>3156</v>
      </c>
      <c r="I241" s="27"/>
      <c r="J241" s="27"/>
      <c r="K241" s="27"/>
      <c r="L241" s="27" t="str">
        <f t="shared" si="2"/>
        <v>R</v>
      </c>
      <c r="M241" s="27" t="str">
        <f>IFERROR(__xludf.DUMMYFUNCTION("GOOGLETRANSLATE(C241,""EN"",""KN"")"),"ಹಿಮ್ಮೆಟ್ಟುವಿಕೆ")</f>
        <v>ಹಿಮ್ಮೆಟ್ಟುವಿಕೆ</v>
      </c>
      <c r="N241" s="27">
        <f t="array" ref="N241">_xlfn.XLOOKUP(B241,'Sets Progress'!I:I,'Sets Progress'!I:I,"NOT YET")</f>
        <v>15</v>
      </c>
      <c r="O241" s="27" t="str">
        <f t="array" ref="O241">_xlfn.XLOOKUP(L:L,'Overall Progress'!L:L,'Overall Progress'!L:L,"NOT YET")</f>
        <v>NOT YET</v>
      </c>
      <c r="P241" s="27"/>
      <c r="Q241" s="27"/>
      <c r="R241" s="27"/>
      <c r="S241" s="27"/>
      <c r="T241" s="27"/>
      <c r="U241" s="27"/>
      <c r="V241" s="27"/>
      <c r="W241" s="27"/>
      <c r="X241" s="27"/>
      <c r="Y241" s="27"/>
      <c r="Z241" s="27"/>
    </row>
    <row r="242" hidden="1" customHeight="1" spans="1:26">
      <c r="A242" s="26">
        <v>1244</v>
      </c>
      <c r="B242" s="26">
        <v>15</v>
      </c>
      <c r="C242" s="26" t="s">
        <v>1575</v>
      </c>
      <c r="D242" s="26" t="s">
        <v>2717</v>
      </c>
      <c r="E242" s="26" t="s">
        <v>2889</v>
      </c>
      <c r="F242" s="26" t="str">
        <f t="shared" si="0"/>
        <v>Positive Traits Latin Origin</v>
      </c>
      <c r="G242" s="26">
        <f t="shared" si="1"/>
        <v>9</v>
      </c>
      <c r="H242" s="26" t="s">
        <v>3157</v>
      </c>
      <c r="I242" s="26"/>
      <c r="J242" s="26"/>
      <c r="K242" s="26"/>
      <c r="L242" s="26" t="str">
        <f t="shared" si="2"/>
        <v>S</v>
      </c>
      <c r="M242" s="26" t="str">
        <f>IFERROR(__xludf.DUMMYFUNCTION("GOOGLETRANSLATE(C242,""EN"",""KN"")"),"ಜಾಣತನದ")</f>
        <v>ಜಾಣತನದ</v>
      </c>
      <c r="N242" s="26">
        <f t="array" ref="N242">_xlfn.XLOOKUP(B242,'Sets Progress'!I:I,'Sets Progress'!I:I,"NOT YET")</f>
        <v>15</v>
      </c>
      <c r="O242" s="26" t="str">
        <f t="array" ref="O242">_xlfn.XLOOKUP(L:L,'Overall Progress'!L:L,'Overall Progress'!L:L,"NOT YET")</f>
        <v>NOT YET</v>
      </c>
      <c r="P242" s="26"/>
      <c r="Q242" s="26"/>
      <c r="R242" s="26"/>
      <c r="S242" s="26"/>
      <c r="T242" s="26"/>
      <c r="U242" s="26"/>
      <c r="V242" s="26"/>
      <c r="W242" s="26"/>
      <c r="X242" s="26"/>
      <c r="Y242" s="26"/>
      <c r="Z242" s="26"/>
    </row>
    <row r="243" hidden="1" customHeight="1" spans="1:26">
      <c r="A243" s="27">
        <v>1267</v>
      </c>
      <c r="B243" s="27">
        <v>15</v>
      </c>
      <c r="C243" s="27" t="s">
        <v>1598</v>
      </c>
      <c r="D243" s="27" t="s">
        <v>2716</v>
      </c>
      <c r="E243" s="27" t="s">
        <v>2908</v>
      </c>
      <c r="F243" s="27" t="str">
        <f t="shared" si="0"/>
        <v>Negative Traits Old English Origin</v>
      </c>
      <c r="G243" s="27">
        <f t="shared" si="1"/>
        <v>12</v>
      </c>
      <c r="H243" s="27" t="s">
        <v>3158</v>
      </c>
      <c r="I243" s="27"/>
      <c r="J243" s="27"/>
      <c r="K243" s="27"/>
      <c r="L243" s="27" t="str">
        <f t="shared" si="2"/>
        <v>S</v>
      </c>
      <c r="M243" s="27" t="str">
        <f>IFERROR(__xludf.DUMMYFUNCTION("GOOGLETRANSLATE(C243,""EN"",""KN"")"),"ಸ್ವಯಂ ಸೇವೆ")</f>
        <v>ಸ್ವಯಂ ಸೇವೆ</v>
      </c>
      <c r="N243" s="27">
        <f t="array" ref="N243">_xlfn.XLOOKUP(B243,'Sets Progress'!I:I,'Sets Progress'!I:I,"NOT YET")</f>
        <v>15</v>
      </c>
      <c r="O243" s="27" t="str">
        <f t="array" ref="O243">_xlfn.XLOOKUP(L:L,'Overall Progress'!L:L,'Overall Progress'!L:L,"NOT YET")</f>
        <v>NOT YET</v>
      </c>
      <c r="P243" s="27"/>
      <c r="Q243" s="27"/>
      <c r="R243" s="27"/>
      <c r="S243" s="27"/>
      <c r="T243" s="27"/>
      <c r="U243" s="27"/>
      <c r="V243" s="27"/>
      <c r="W243" s="27"/>
      <c r="X243" s="27"/>
      <c r="Y243" s="27"/>
      <c r="Z243" s="27"/>
    </row>
    <row r="244" hidden="1" customHeight="1" spans="1:26">
      <c r="A244" s="26">
        <v>1284</v>
      </c>
      <c r="B244" s="26">
        <v>15</v>
      </c>
      <c r="C244" s="26" t="s">
        <v>1615</v>
      </c>
      <c r="D244" s="26" t="s">
        <v>1721</v>
      </c>
      <c r="E244" s="26" t="s">
        <v>2889</v>
      </c>
      <c r="F244" s="26" t="str">
        <f t="shared" si="0"/>
        <v>Temporal Latin Origin</v>
      </c>
      <c r="G244" s="26">
        <f t="shared" si="1"/>
        <v>8</v>
      </c>
      <c r="H244" s="26" t="s">
        <v>3159</v>
      </c>
      <c r="I244" s="26"/>
      <c r="J244" s="26"/>
      <c r="K244" s="26"/>
      <c r="L244" s="26" t="str">
        <f t="shared" si="2"/>
        <v>S</v>
      </c>
      <c r="M244" s="26" t="str">
        <f>IFERROR(__xludf.DUMMYFUNCTION("GOOGLETRANSLATE(C244,""EN"",""KN"")"),"ಸಿನೆಕ್ಯೂರ್")</f>
        <v>ಸಿನೆಕ್ಯೂರ್</v>
      </c>
      <c r="N244" s="26">
        <f t="array" ref="N244">_xlfn.XLOOKUP(B244,'Sets Progress'!I:I,'Sets Progress'!I:I,"NOT YET")</f>
        <v>15</v>
      </c>
      <c r="O244" s="26" t="str">
        <f t="array" ref="O244">_xlfn.XLOOKUP(L:L,'Overall Progress'!L:L,'Overall Progress'!L:L,"NOT YET")</f>
        <v>NOT YET</v>
      </c>
      <c r="P244" s="26"/>
      <c r="Q244" s="26"/>
      <c r="R244" s="26"/>
      <c r="S244" s="26"/>
      <c r="T244" s="26"/>
      <c r="U244" s="26"/>
      <c r="V244" s="26"/>
      <c r="W244" s="26"/>
      <c r="X244" s="26"/>
      <c r="Y244" s="26"/>
      <c r="Z244" s="26"/>
    </row>
    <row r="245" hidden="1" customHeight="1" spans="1:26">
      <c r="A245" s="27">
        <v>1378</v>
      </c>
      <c r="B245" s="27">
        <v>15</v>
      </c>
      <c r="C245" s="27" t="s">
        <v>1709</v>
      </c>
      <c r="D245" s="27" t="s">
        <v>1721</v>
      </c>
      <c r="E245" s="27" t="s">
        <v>2889</v>
      </c>
      <c r="F245" s="27" t="str">
        <f t="shared" si="0"/>
        <v>Temporal Latin Origin</v>
      </c>
      <c r="G245" s="27">
        <f t="shared" si="1"/>
        <v>7</v>
      </c>
      <c r="H245" s="27" t="s">
        <v>3160</v>
      </c>
      <c r="I245" s="27"/>
      <c r="J245" s="27"/>
      <c r="K245" s="27"/>
      <c r="L245" s="27" t="str">
        <f t="shared" si="2"/>
        <v>T</v>
      </c>
      <c r="M245" s="27" t="str">
        <f>IFERROR(__xludf.DUMMYFUNCTION("GOOGLETRANSLATE(C245,""EN"",""KN"")"),"ಸ್ಪರ್ಶಕ")</f>
        <v>ಸ್ಪರ್ಶಕ</v>
      </c>
      <c r="N245" s="27">
        <f t="array" ref="N245">_xlfn.XLOOKUP(B245,'Sets Progress'!I:I,'Sets Progress'!I:I,"NOT YET")</f>
        <v>15</v>
      </c>
      <c r="O245" s="27" t="str">
        <f t="array" ref="O245">_xlfn.XLOOKUP(L:L,'Overall Progress'!L:L,'Overall Progress'!L:L,"NOT YET")</f>
        <v>NOT YET</v>
      </c>
      <c r="P245" s="27"/>
      <c r="Q245" s="27"/>
      <c r="R245" s="27"/>
      <c r="S245" s="27"/>
      <c r="T245" s="27"/>
      <c r="U245" s="27"/>
      <c r="V245" s="27"/>
      <c r="W245" s="27"/>
      <c r="X245" s="27"/>
      <c r="Y245" s="27"/>
      <c r="Z245" s="27"/>
    </row>
    <row r="246" hidden="1" customHeight="1" spans="1:26">
      <c r="A246" s="26">
        <v>1538</v>
      </c>
      <c r="B246" s="26">
        <v>15</v>
      </c>
      <c r="C246" s="26" t="s">
        <v>1866</v>
      </c>
      <c r="D246" s="26" t="s">
        <v>1721</v>
      </c>
      <c r="E246" s="26" t="s">
        <v>2908</v>
      </c>
      <c r="F246" s="26" t="str">
        <f t="shared" si="0"/>
        <v>Temporal Old English Origin</v>
      </c>
      <c r="G246" s="26">
        <f t="shared" si="1"/>
        <v>3</v>
      </c>
      <c r="H246" s="26" t="s">
        <v>3161</v>
      </c>
      <c r="I246" s="26"/>
      <c r="J246" s="26"/>
      <c r="K246" s="26"/>
      <c r="L246" s="26" t="str">
        <f t="shared" si="2"/>
        <v>W</v>
      </c>
      <c r="M246" s="26" t="str">
        <f>IFERROR(__xludf.DUMMYFUNCTION("GOOGLETRANSLATE(C246,""EN"",""KN"")"),"ವೂ")</f>
        <v>ವೂ</v>
      </c>
      <c r="N246" s="26">
        <f t="array" ref="N246">_xlfn.XLOOKUP(B246,'Sets Progress'!I:I,'Sets Progress'!I:I,"NOT YET")</f>
        <v>15</v>
      </c>
      <c r="O246" s="26" t="str">
        <f t="array" ref="O246">_xlfn.XLOOKUP(L:L,'Overall Progress'!L:L,'Overall Progress'!L:L,"NOT YET")</f>
        <v>NOT YET</v>
      </c>
      <c r="P246" s="26"/>
      <c r="Q246" s="26"/>
      <c r="R246" s="26"/>
      <c r="S246" s="26"/>
      <c r="T246" s="26"/>
      <c r="U246" s="26"/>
      <c r="V246" s="26"/>
      <c r="W246" s="26"/>
      <c r="X246" s="26"/>
      <c r="Y246" s="26"/>
      <c r="Z246" s="26"/>
    </row>
    <row r="247" hidden="1" customHeight="1" spans="1:26">
      <c r="A247" s="27">
        <v>158</v>
      </c>
      <c r="B247" s="27">
        <v>16</v>
      </c>
      <c r="C247" s="27" t="s">
        <v>507</v>
      </c>
      <c r="D247" s="27" t="s">
        <v>2946</v>
      </c>
      <c r="E247" s="27" t="s">
        <v>2899</v>
      </c>
      <c r="F247" s="27" t="str">
        <f t="shared" si="0"/>
        <v>Emotional Middle English Origin</v>
      </c>
      <c r="G247" s="27">
        <f t="shared" si="1"/>
        <v>5</v>
      </c>
      <c r="H247" s="27" t="s">
        <v>3162</v>
      </c>
      <c r="I247" s="27"/>
      <c r="J247" s="27"/>
      <c r="K247" s="27"/>
      <c r="L247" s="27" t="str">
        <f t="shared" si="2"/>
        <v>B</v>
      </c>
      <c r="M247" s="27" t="str">
        <f>IFERROR(__xludf.DUMMYFUNCTION("GOOGLETRANSLATE(C247,""EN"",""KN"")"),"ಬೆಲೀ")</f>
        <v>ಬೆಲೀ</v>
      </c>
      <c r="N247" s="27">
        <f t="array" ref="N247">_xlfn.XLOOKUP(B247,'Sets Progress'!I:I,'Sets Progress'!I:I,"NOT YET")</f>
        <v>16</v>
      </c>
      <c r="O247" s="27" t="str">
        <f t="array" ref="O247">_xlfn.XLOOKUP(L:L,'Overall Progress'!L:L,'Overall Progress'!L:L,"NOT YET")</f>
        <v>NOT YET</v>
      </c>
      <c r="P247" s="27"/>
      <c r="Q247" s="27"/>
      <c r="R247" s="27"/>
      <c r="S247" s="27"/>
      <c r="T247" s="27"/>
      <c r="U247" s="27"/>
      <c r="V247" s="27"/>
      <c r="W247" s="27"/>
      <c r="X247" s="27"/>
      <c r="Y247" s="27"/>
      <c r="Z247" s="27"/>
    </row>
    <row r="248" hidden="1" customHeight="1" spans="1:26">
      <c r="A248" s="26">
        <v>311</v>
      </c>
      <c r="B248" s="26">
        <v>16</v>
      </c>
      <c r="C248" s="26" t="s">
        <v>662</v>
      </c>
      <c r="D248" s="26" t="s">
        <v>2717</v>
      </c>
      <c r="E248" s="26" t="s">
        <v>2889</v>
      </c>
      <c r="F248" s="26" t="str">
        <f t="shared" si="0"/>
        <v>Positive Traits Latin Origin</v>
      </c>
      <c r="G248" s="26">
        <f t="shared" si="1"/>
        <v>7</v>
      </c>
      <c r="H248" s="26" t="s">
        <v>3163</v>
      </c>
      <c r="I248" s="26"/>
      <c r="J248" s="26"/>
      <c r="K248" s="26"/>
      <c r="L248" s="26" t="str">
        <f t="shared" si="2"/>
        <v>C</v>
      </c>
      <c r="M248" s="26" t="str">
        <f>IFERROR(__xludf.DUMMYFUNCTION("GOOGLETRANSLATE(C248,""EN"",""KN"")"),"ಸೌಹಾರ್ದಯುತ")</f>
        <v>ಸೌಹಾರ್ದಯುತ</v>
      </c>
      <c r="N248" s="26">
        <f t="array" ref="N248">_xlfn.XLOOKUP(B248,'Sets Progress'!I:I,'Sets Progress'!I:I,"NOT YET")</f>
        <v>16</v>
      </c>
      <c r="O248" s="26" t="str">
        <f t="array" ref="O248">_xlfn.XLOOKUP(L:L,'Overall Progress'!L:L,'Overall Progress'!L:L,"NOT YET")</f>
        <v>NOT YET</v>
      </c>
      <c r="P248" s="26"/>
      <c r="Q248" s="26"/>
      <c r="R248" s="26"/>
      <c r="S248" s="26"/>
      <c r="T248" s="26"/>
      <c r="U248" s="26"/>
      <c r="V248" s="26"/>
      <c r="W248" s="26"/>
      <c r="X248" s="26"/>
      <c r="Y248" s="26"/>
      <c r="Z248" s="26"/>
    </row>
    <row r="249" hidden="1" customHeight="1" spans="1:26">
      <c r="A249" s="27">
        <v>337</v>
      </c>
      <c r="B249" s="27">
        <v>16</v>
      </c>
      <c r="C249" s="27" t="s">
        <v>687</v>
      </c>
      <c r="D249" s="27" t="s">
        <v>1721</v>
      </c>
      <c r="E249" s="27" t="s">
        <v>2896</v>
      </c>
      <c r="F249" s="27" t="str">
        <f t="shared" si="0"/>
        <v>Temporal Old French Origin</v>
      </c>
      <c r="G249" s="27">
        <f t="shared" si="1"/>
        <v>4</v>
      </c>
      <c r="H249" s="27" t="s">
        <v>3164</v>
      </c>
      <c r="I249" s="27"/>
      <c r="J249" s="27"/>
      <c r="K249" s="27"/>
      <c r="L249" s="27" t="str">
        <f t="shared" si="2"/>
        <v>C</v>
      </c>
      <c r="M249" s="27" t="str">
        <f>IFERROR(__xludf.DUMMYFUNCTION("GOOGLETRANSLATE(C249,""EN"",""KN"")"),"ದಂಡೆ")</f>
        <v>ದಂಡೆ</v>
      </c>
      <c r="N249" s="27">
        <f t="array" ref="N249">_xlfn.XLOOKUP(B249,'Sets Progress'!I:I,'Sets Progress'!I:I,"NOT YET")</f>
        <v>16</v>
      </c>
      <c r="O249" s="27" t="str">
        <f t="array" ref="O249">_xlfn.XLOOKUP(L:L,'Overall Progress'!L:L,'Overall Progress'!L:L,"NOT YET")</f>
        <v>NOT YET</v>
      </c>
      <c r="P249" s="27"/>
      <c r="Q249" s="27"/>
      <c r="R249" s="27"/>
      <c r="S249" s="27"/>
      <c r="T249" s="27"/>
      <c r="U249" s="27"/>
      <c r="V249" s="27"/>
      <c r="W249" s="27"/>
      <c r="X249" s="27"/>
      <c r="Y249" s="27"/>
      <c r="Z249" s="27"/>
    </row>
    <row r="250" hidden="1" customHeight="1" spans="1:26">
      <c r="A250" s="26">
        <v>404</v>
      </c>
      <c r="B250" s="26">
        <v>16</v>
      </c>
      <c r="C250" s="26" t="s">
        <v>753</v>
      </c>
      <c r="D250" s="26" t="s">
        <v>2892</v>
      </c>
      <c r="E250" s="26" t="s">
        <v>2889</v>
      </c>
      <c r="F250" s="26" t="str">
        <f t="shared" si="0"/>
        <v>Spatial Latin Origin</v>
      </c>
      <c r="G250" s="26">
        <f t="shared" si="1"/>
        <v>10</v>
      </c>
      <c r="H250" s="26" t="s">
        <v>3165</v>
      </c>
      <c r="I250" s="26"/>
      <c r="J250" s="26"/>
      <c r="K250" s="26"/>
      <c r="L250" s="26" t="str">
        <f t="shared" si="2"/>
        <v>D</v>
      </c>
      <c r="M250" s="26" t="str">
        <f>IFERROR(__xludf.DUMMYFUNCTION("GOOGLETRANSLATE(C250,""EN"",""KN"")"),"ಅಲ್ಪಾರ್ಥಕ")</f>
        <v>ಅಲ್ಪಾರ್ಥಕ</v>
      </c>
      <c r="N250" s="26">
        <f t="array" ref="N250">_xlfn.XLOOKUP(B250,'Sets Progress'!I:I,'Sets Progress'!I:I,"NOT YET")</f>
        <v>16</v>
      </c>
      <c r="O250" s="26" t="str">
        <f t="array" ref="O250">_xlfn.XLOOKUP(L:L,'Overall Progress'!L:L,'Overall Progress'!L:L,"NOT YET")</f>
        <v>NOT YET</v>
      </c>
      <c r="P250" s="26"/>
      <c r="Q250" s="26"/>
      <c r="R250" s="26"/>
      <c r="S250" s="26"/>
      <c r="T250" s="26"/>
      <c r="U250" s="26"/>
      <c r="V250" s="26"/>
      <c r="W250" s="26"/>
      <c r="X250" s="26"/>
      <c r="Y250" s="26"/>
      <c r="Z250" s="26"/>
    </row>
    <row r="251" hidden="1" customHeight="1" spans="1:26">
      <c r="A251" s="27">
        <v>418</v>
      </c>
      <c r="B251" s="27">
        <v>16</v>
      </c>
      <c r="C251" s="27" t="s">
        <v>767</v>
      </c>
      <c r="D251" s="27" t="s">
        <v>2716</v>
      </c>
      <c r="E251" s="27" t="s">
        <v>2896</v>
      </c>
      <c r="F251" s="27" t="str">
        <f t="shared" si="0"/>
        <v>Negative Traits Old French Origin</v>
      </c>
      <c r="G251" s="27">
        <f t="shared" si="1"/>
        <v>7</v>
      </c>
      <c r="H251" s="27" t="s">
        <v>3166</v>
      </c>
      <c r="I251" s="27"/>
      <c r="J251" s="27"/>
      <c r="K251" s="27"/>
      <c r="L251" s="27" t="str">
        <f t="shared" si="2"/>
        <v>D</v>
      </c>
      <c r="M251" s="27" t="str">
        <f>IFERROR(__xludf.DUMMYFUNCTION("GOOGLETRANSLATE(C251,""EN"",""KN"")"),"ತಿರಸ್ಕಾರ")</f>
        <v>ತಿರಸ್ಕಾರ</v>
      </c>
      <c r="N251" s="27">
        <f t="array" ref="N251">_xlfn.XLOOKUP(B251,'Sets Progress'!I:I,'Sets Progress'!I:I,"NOT YET")</f>
        <v>16</v>
      </c>
      <c r="O251" s="27" t="str">
        <f t="array" ref="O251">_xlfn.XLOOKUP(L:L,'Overall Progress'!L:L,'Overall Progress'!L:L,"NOT YET")</f>
        <v>NOT YET</v>
      </c>
      <c r="P251" s="27"/>
      <c r="Q251" s="27"/>
      <c r="R251" s="27"/>
      <c r="S251" s="27"/>
      <c r="T251" s="27"/>
      <c r="U251" s="27"/>
      <c r="V251" s="27"/>
      <c r="W251" s="27"/>
      <c r="X251" s="27"/>
      <c r="Y251" s="27"/>
      <c r="Z251" s="27"/>
    </row>
    <row r="252" hidden="1" customHeight="1" spans="1:26">
      <c r="A252" s="26">
        <v>460</v>
      </c>
      <c r="B252" s="26">
        <v>16</v>
      </c>
      <c r="C252" s="26" t="s">
        <v>809</v>
      </c>
      <c r="D252" s="26" t="s">
        <v>2716</v>
      </c>
      <c r="E252" s="26" t="s">
        <v>2889</v>
      </c>
      <c r="F252" s="26" t="str">
        <f t="shared" si="0"/>
        <v>Negative Traits Latin Origin</v>
      </c>
      <c r="G252" s="26">
        <f t="shared" si="1"/>
        <v>9</v>
      </c>
      <c r="H252" s="26" t="s">
        <v>3167</v>
      </c>
      <c r="I252" s="26"/>
      <c r="J252" s="26"/>
      <c r="K252" s="26"/>
      <c r="L252" s="26" t="str">
        <f t="shared" si="2"/>
        <v>D</v>
      </c>
      <c r="M252" s="26" t="str">
        <f>IFERROR(__xludf.DUMMYFUNCTION("GOOGLETRANSLATE(C252,""EN"",""KN"")"),"ದ್ವಂದ್ವತೆ")</f>
        <v>ದ್ವಂದ್ವತೆ</v>
      </c>
      <c r="N252" s="26">
        <f t="array" ref="N252">_xlfn.XLOOKUP(B252,'Sets Progress'!I:I,'Sets Progress'!I:I,"NOT YET")</f>
        <v>16</v>
      </c>
      <c r="O252" s="26" t="str">
        <f t="array" ref="O252">_xlfn.XLOOKUP(L:L,'Overall Progress'!L:L,'Overall Progress'!L:L,"NOT YET")</f>
        <v>NOT YET</v>
      </c>
      <c r="P252" s="26"/>
      <c r="Q252" s="26"/>
      <c r="R252" s="26"/>
      <c r="S252" s="26"/>
      <c r="T252" s="26"/>
      <c r="U252" s="26"/>
      <c r="V252" s="26"/>
      <c r="W252" s="26"/>
      <c r="X252" s="26"/>
      <c r="Y252" s="26"/>
      <c r="Z252" s="26"/>
    </row>
    <row r="253" hidden="1" customHeight="1" spans="1:26">
      <c r="A253" s="27">
        <v>611</v>
      </c>
      <c r="B253" s="27">
        <v>16</v>
      </c>
      <c r="C253" s="27" t="s">
        <v>955</v>
      </c>
      <c r="D253" s="27" t="s">
        <v>1721</v>
      </c>
      <c r="E253" s="27" t="s">
        <v>2921</v>
      </c>
      <c r="F253" s="27" t="str">
        <f t="shared" si="0"/>
        <v>Temporal Unknown Origin</v>
      </c>
      <c r="G253" s="27">
        <f t="shared" si="1"/>
        <v>5</v>
      </c>
      <c r="H253" s="27" t="s">
        <v>3168</v>
      </c>
      <c r="I253" s="28"/>
      <c r="J253" s="28" t="s">
        <v>3169</v>
      </c>
      <c r="K253" s="27"/>
      <c r="L253" s="27" t="str">
        <f t="shared" si="2"/>
        <v>F</v>
      </c>
      <c r="M253" s="27" t="str">
        <f>IFERROR(__xludf.DUMMYFUNCTION("GOOGLETRANSLATE(C253,""EN"",""KN"")"),"ಫ್ಲೌಟ್")</f>
        <v>ಫ್ಲೌಟ್</v>
      </c>
      <c r="N253" s="27">
        <f t="array" ref="N253">_xlfn.XLOOKUP(B253,'Sets Progress'!I:I,'Sets Progress'!I:I,"NOT YET")</f>
        <v>16</v>
      </c>
      <c r="O253" s="27" t="str">
        <f t="array" ref="O253">_xlfn.XLOOKUP(L:L,'Overall Progress'!L:L,'Overall Progress'!L:L,"NOT YET")</f>
        <v>NOT YET</v>
      </c>
      <c r="P253" s="27"/>
      <c r="Q253" s="27"/>
      <c r="R253" s="27"/>
      <c r="S253" s="27"/>
      <c r="T253" s="27"/>
      <c r="U253" s="27"/>
      <c r="V253" s="27"/>
      <c r="W253" s="27"/>
      <c r="X253" s="27"/>
      <c r="Y253" s="27"/>
      <c r="Z253" s="27"/>
    </row>
    <row r="254" hidden="1" customHeight="1" spans="1:26">
      <c r="A254" s="26">
        <v>672</v>
      </c>
      <c r="B254" s="26">
        <v>16</v>
      </c>
      <c r="C254" s="26" t="s">
        <v>173</v>
      </c>
      <c r="D254" s="26" t="s">
        <v>1721</v>
      </c>
      <c r="E254" s="26" t="s">
        <v>2921</v>
      </c>
      <c r="F254" s="26" t="str">
        <f t="shared" si="0"/>
        <v>Temporal Unknown Origin</v>
      </c>
      <c r="G254" s="26">
        <f t="shared" si="1"/>
        <v>9</v>
      </c>
      <c r="H254" s="26" t="s">
        <v>3170</v>
      </c>
      <c r="I254" s="26"/>
      <c r="J254" s="26"/>
      <c r="K254" s="26"/>
      <c r="L254" s="26" t="str">
        <f t="shared" si="2"/>
        <v>H</v>
      </c>
      <c r="M254" s="26" t="str">
        <f>IFERROR(__xludf.DUMMYFUNCTION("GOOGLETRANSLATE(C254,""EN"",""KN"")"),"ಹಾಕ್ನೀಡ್")</f>
        <v>ಹಾಕ್ನೀಡ್</v>
      </c>
      <c r="N254" s="26">
        <f t="array" ref="N254">_xlfn.XLOOKUP(B254,'Sets Progress'!I:I,'Sets Progress'!I:I,"NOT YET")</f>
        <v>16</v>
      </c>
      <c r="O254" s="26" t="str">
        <f t="array" ref="O254">_xlfn.XLOOKUP(L:L,'Overall Progress'!L:L,'Overall Progress'!L:L,"NOT YET")</f>
        <v>NOT YET</v>
      </c>
      <c r="P254" s="26"/>
      <c r="Q254" s="26"/>
      <c r="R254" s="26"/>
      <c r="S254" s="26"/>
      <c r="T254" s="26"/>
      <c r="U254" s="26"/>
      <c r="V254" s="26"/>
      <c r="W254" s="26"/>
      <c r="X254" s="26"/>
      <c r="Y254" s="26"/>
      <c r="Z254" s="26"/>
    </row>
    <row r="255" hidden="1" customHeight="1" spans="1:26">
      <c r="A255" s="27">
        <v>677</v>
      </c>
      <c r="B255" s="27">
        <v>16</v>
      </c>
      <c r="C255" s="27" t="s">
        <v>1019</v>
      </c>
      <c r="D255" s="27" t="s">
        <v>1721</v>
      </c>
      <c r="E255" s="27" t="s">
        <v>2908</v>
      </c>
      <c r="F255" s="27" t="str">
        <f t="shared" si="0"/>
        <v>Temporal Old English Origin</v>
      </c>
      <c r="G255" s="27">
        <f t="shared" si="1"/>
        <v>9</v>
      </c>
      <c r="H255" s="27" t="s">
        <v>3171</v>
      </c>
      <c r="I255" s="27"/>
      <c r="J255" s="27"/>
      <c r="K255" s="27"/>
      <c r="L255" s="27" t="str">
        <f t="shared" si="2"/>
        <v>H</v>
      </c>
      <c r="M255" s="27" t="str">
        <f>IFERROR(__xludf.DUMMYFUNCTION("GOOGLETRANSLATE(C255,""EN"",""KN"")"),"ಹರ್ಬಿಂಗರ್")</f>
        <v>ಹರ್ಬಿಂಗರ್</v>
      </c>
      <c r="N255" s="27">
        <f t="array" ref="N255">_xlfn.XLOOKUP(B255,'Sets Progress'!I:I,'Sets Progress'!I:I,"NOT YET")</f>
        <v>16</v>
      </c>
      <c r="O255" s="27" t="str">
        <f t="array" ref="O255">_xlfn.XLOOKUP(L:L,'Overall Progress'!L:L,'Overall Progress'!L:L,"NOT YET")</f>
        <v>NOT YET</v>
      </c>
      <c r="P255" s="27"/>
      <c r="Q255" s="27"/>
      <c r="R255" s="27"/>
      <c r="S255" s="27"/>
      <c r="T255" s="27"/>
      <c r="U255" s="27"/>
      <c r="V255" s="27"/>
      <c r="W255" s="27"/>
      <c r="X255" s="27"/>
      <c r="Y255" s="27"/>
      <c r="Z255" s="27"/>
    </row>
    <row r="256" hidden="1" customHeight="1" spans="1:26">
      <c r="A256" s="26">
        <v>865</v>
      </c>
      <c r="B256" s="26">
        <v>16</v>
      </c>
      <c r="C256" s="26" t="s">
        <v>194</v>
      </c>
      <c r="D256" s="26" t="s">
        <v>1721</v>
      </c>
      <c r="E256" s="26" t="s">
        <v>2893</v>
      </c>
      <c r="F256" s="26" t="str">
        <f t="shared" si="0"/>
        <v>Temporal Greek Origin</v>
      </c>
      <c r="G256" s="26">
        <f t="shared" si="1"/>
        <v>7</v>
      </c>
      <c r="H256" s="26" t="s">
        <v>3172</v>
      </c>
      <c r="I256" s="26"/>
      <c r="J256" s="26"/>
      <c r="K256" s="26"/>
      <c r="L256" s="26" t="str">
        <f t="shared" si="2"/>
        <v>L</v>
      </c>
      <c r="M256" s="26" t="str">
        <f>IFERROR(__xludf.DUMMYFUNCTION("GOOGLETRANSLATE(C256,""EN"",""KN"")"),"ಲಯನೈಸ್ ಮಾಡಿ")</f>
        <v>ಲಯನೈಸ್ ಮಾಡಿ</v>
      </c>
      <c r="N256" s="26">
        <f t="array" ref="N256">_xlfn.XLOOKUP(B256,'Sets Progress'!I:I,'Sets Progress'!I:I,"NOT YET")</f>
        <v>16</v>
      </c>
      <c r="O256" s="26" t="str">
        <f t="array" ref="O256">_xlfn.XLOOKUP(L:L,'Overall Progress'!L:L,'Overall Progress'!L:L,"NOT YET")</f>
        <v>NOT YET</v>
      </c>
      <c r="P256" s="26"/>
      <c r="Q256" s="26"/>
      <c r="R256" s="26"/>
      <c r="S256" s="26"/>
      <c r="T256" s="26"/>
      <c r="U256" s="26"/>
      <c r="V256" s="26"/>
      <c r="W256" s="26"/>
      <c r="X256" s="26"/>
      <c r="Y256" s="26"/>
      <c r="Z256" s="26"/>
    </row>
    <row r="257" hidden="1" customHeight="1" spans="1:26">
      <c r="A257" s="27">
        <v>1058</v>
      </c>
      <c r="B257" s="27">
        <v>16</v>
      </c>
      <c r="C257" s="27" t="s">
        <v>1393</v>
      </c>
      <c r="D257" s="27" t="s">
        <v>1721</v>
      </c>
      <c r="E257" s="27" t="s">
        <v>2889</v>
      </c>
      <c r="F257" s="27" t="str">
        <f t="shared" si="0"/>
        <v>Temporal Latin Origin</v>
      </c>
      <c r="G257" s="27">
        <f t="shared" si="1"/>
        <v>9</v>
      </c>
      <c r="H257" s="27" t="s">
        <v>3173</v>
      </c>
      <c r="I257" s="27"/>
      <c r="J257" s="27"/>
      <c r="K257" s="27"/>
      <c r="L257" s="27" t="str">
        <f t="shared" si="2"/>
        <v>P</v>
      </c>
      <c r="M257" s="27" t="str">
        <f>IFERROR(__xludf.DUMMYFUNCTION("GOOGLETRANSLATE(C257,""EN"",""KN"")"),"ವ್ಯಾಪಿಸಿರುವ")</f>
        <v>ವ್ಯಾಪಿಸಿರುವ</v>
      </c>
      <c r="N257" s="27">
        <f t="array" ref="N257">_xlfn.XLOOKUP(B257,'Sets Progress'!I:I,'Sets Progress'!I:I,"NOT YET")</f>
        <v>16</v>
      </c>
      <c r="O257" s="27" t="str">
        <f t="array" ref="O257">_xlfn.XLOOKUP(L:L,'Overall Progress'!L:L,'Overall Progress'!L:L,"NOT YET")</f>
        <v>NOT YET</v>
      </c>
      <c r="P257" s="27"/>
      <c r="Q257" s="27"/>
      <c r="R257" s="27"/>
      <c r="S257" s="27"/>
      <c r="T257" s="27"/>
      <c r="U257" s="27"/>
      <c r="V257" s="27"/>
      <c r="W257" s="27"/>
      <c r="X257" s="27"/>
      <c r="Y257" s="27"/>
      <c r="Z257" s="27"/>
    </row>
    <row r="258" hidden="1" customHeight="1" spans="1:26">
      <c r="A258" s="26">
        <v>1192</v>
      </c>
      <c r="B258" s="26">
        <v>16</v>
      </c>
      <c r="C258" s="26" t="s">
        <v>1523</v>
      </c>
      <c r="D258" s="26" t="s">
        <v>1721</v>
      </c>
      <c r="E258" s="26" t="s">
        <v>2889</v>
      </c>
      <c r="F258" s="26" t="str">
        <f t="shared" si="0"/>
        <v>Temporal Latin Origin</v>
      </c>
      <c r="G258" s="26">
        <f t="shared" si="1"/>
        <v>11</v>
      </c>
      <c r="H258" s="26" t="s">
        <v>3174</v>
      </c>
      <c r="I258" s="26"/>
      <c r="J258" s="26"/>
      <c r="K258" s="26"/>
      <c r="L258" s="26" t="str">
        <f t="shared" si="2"/>
        <v>R</v>
      </c>
      <c r="M258" s="26" t="str">
        <f>IFERROR(__xludf.DUMMYFUNCTION("GOOGLETRANSLATE(C258,""EN"",""KN"")"),"ಮರುವ್ಯಾಖ್ಯಾನಿಸಿ")</f>
        <v>ಮರುವ್ಯಾಖ್ಯಾನಿಸಿ</v>
      </c>
      <c r="N258" s="26">
        <f t="array" ref="N258">_xlfn.XLOOKUP(B258,'Sets Progress'!I:I,'Sets Progress'!I:I,"NOT YET")</f>
        <v>16</v>
      </c>
      <c r="O258" s="26" t="str">
        <f t="array" ref="O258">_xlfn.XLOOKUP(L:L,'Overall Progress'!L:L,'Overall Progress'!L:L,"NOT YET")</f>
        <v>NOT YET</v>
      </c>
      <c r="P258" s="26"/>
      <c r="Q258" s="26"/>
      <c r="R258" s="26"/>
      <c r="S258" s="26"/>
      <c r="T258" s="26"/>
      <c r="U258" s="26"/>
      <c r="V258" s="26"/>
      <c r="W258" s="26"/>
      <c r="X258" s="26"/>
      <c r="Y258" s="26"/>
      <c r="Z258" s="26"/>
    </row>
    <row r="259" hidden="1" customHeight="1" spans="1:26">
      <c r="A259" s="27">
        <v>1326</v>
      </c>
      <c r="B259" s="27">
        <v>16</v>
      </c>
      <c r="C259" s="27" t="s">
        <v>1657</v>
      </c>
      <c r="D259" s="27" t="s">
        <v>2716</v>
      </c>
      <c r="E259" s="27" t="s">
        <v>2908</v>
      </c>
      <c r="F259" s="27" t="str">
        <f t="shared" si="0"/>
        <v>Negative Traits Old English Origin</v>
      </c>
      <c r="G259" s="27">
        <f t="shared" si="1"/>
        <v>5</v>
      </c>
      <c r="H259" s="27" t="s">
        <v>3175</v>
      </c>
      <c r="I259" s="27"/>
      <c r="J259" s="27"/>
      <c r="K259" s="27"/>
      <c r="L259" s="27" t="str">
        <f t="shared" si="2"/>
        <v>S</v>
      </c>
      <c r="M259" s="27" t="str">
        <f>IFERROR(__xludf.DUMMYFUNCTION("GOOGLETRANSLATE(C259,""EN"",""KN"")"),"ಸ್ಟರ್ನ್")</f>
        <v>ಸ್ಟರ್ನ್</v>
      </c>
      <c r="N259" s="27">
        <f t="array" ref="N259">_xlfn.XLOOKUP(B259,'Sets Progress'!I:I,'Sets Progress'!I:I,"NOT YET")</f>
        <v>16</v>
      </c>
      <c r="O259" s="27" t="str">
        <f t="array" ref="O259">_xlfn.XLOOKUP(L:L,'Overall Progress'!L:L,'Overall Progress'!L:L,"NOT YET")</f>
        <v>NOT YET</v>
      </c>
      <c r="P259" s="27"/>
      <c r="Q259" s="27"/>
      <c r="R259" s="27"/>
      <c r="S259" s="27"/>
      <c r="T259" s="27"/>
      <c r="U259" s="27"/>
      <c r="V259" s="27"/>
      <c r="W259" s="27"/>
      <c r="X259" s="27"/>
      <c r="Y259" s="27"/>
      <c r="Z259" s="27"/>
    </row>
    <row r="260" hidden="1" customHeight="1" spans="1:26">
      <c r="A260" s="26">
        <v>1500</v>
      </c>
      <c r="B260" s="26">
        <v>16</v>
      </c>
      <c r="C260" s="26" t="s">
        <v>1828</v>
      </c>
      <c r="D260" s="26" t="s">
        <v>1721</v>
      </c>
      <c r="E260" s="26" t="s">
        <v>2889</v>
      </c>
      <c r="F260" s="26" t="str">
        <f t="shared" si="0"/>
        <v>Temporal Latin Origin</v>
      </c>
      <c r="G260" s="26">
        <f t="shared" si="1"/>
        <v>14</v>
      </c>
      <c r="H260" s="26" t="s">
        <v>3176</v>
      </c>
      <c r="I260" s="26"/>
      <c r="J260" s="26"/>
      <c r="K260" s="26"/>
      <c r="L260" s="26" t="str">
        <f t="shared" si="2"/>
        <v>V</v>
      </c>
      <c r="M260" s="26" t="str">
        <f>IFERROR(__xludf.DUMMYFUNCTION("GOOGLETRANSLATE(C260,""EN"",""KN"")"),"ವಾಸ್ತವಿಕತೆ")</f>
        <v>ವಾಸ್ತವಿಕತೆ</v>
      </c>
      <c r="N260" s="26">
        <f t="array" ref="N260">_xlfn.XLOOKUP(B260,'Sets Progress'!I:I,'Sets Progress'!I:I,"NOT YET")</f>
        <v>16</v>
      </c>
      <c r="O260" s="26" t="str">
        <f t="array" ref="O260">_xlfn.XLOOKUP(L:L,'Overall Progress'!L:L,'Overall Progress'!L:L,"NOT YET")</f>
        <v>NOT YET</v>
      </c>
      <c r="P260" s="26"/>
      <c r="Q260" s="26"/>
      <c r="R260" s="26"/>
      <c r="S260" s="26"/>
      <c r="T260" s="26"/>
      <c r="U260" s="26"/>
      <c r="V260" s="26"/>
      <c r="W260" s="26"/>
      <c r="X260" s="26"/>
      <c r="Y260" s="26"/>
      <c r="Z260" s="26"/>
    </row>
    <row r="261" hidden="1" customHeight="1" spans="1:26">
      <c r="A261" s="27">
        <v>1523</v>
      </c>
      <c r="B261" s="27">
        <v>16</v>
      </c>
      <c r="C261" s="27" t="s">
        <v>1851</v>
      </c>
      <c r="D261" s="27" t="s">
        <v>1721</v>
      </c>
      <c r="E261" s="27" t="s">
        <v>2908</v>
      </c>
      <c r="F261" s="27" t="str">
        <f t="shared" si="0"/>
        <v>Temporal Old English Origin</v>
      </c>
      <c r="G261" s="27">
        <f t="shared" si="1"/>
        <v>4</v>
      </c>
      <c r="H261" s="27" t="s">
        <v>3177</v>
      </c>
      <c r="I261" s="27"/>
      <c r="J261" s="27"/>
      <c r="K261" s="27"/>
      <c r="L261" s="27" t="str">
        <f t="shared" si="2"/>
        <v>W</v>
      </c>
      <c r="M261" s="27" t="str">
        <f>IFERROR(__xludf.DUMMYFUNCTION("GOOGLETRANSLATE(C261,""EN"",""KN"")"),"ವೇನ್")</f>
        <v>ವೇನ್</v>
      </c>
      <c r="N261" s="27">
        <f t="array" ref="N261">_xlfn.XLOOKUP(B261,'Sets Progress'!I:I,'Sets Progress'!I:I,"NOT YET")</f>
        <v>16</v>
      </c>
      <c r="O261" s="27" t="str">
        <f t="array" ref="O261">_xlfn.XLOOKUP(L:L,'Overall Progress'!L:L,'Overall Progress'!L:L,"NOT YET")</f>
        <v>NOT YET</v>
      </c>
      <c r="P261" s="27"/>
      <c r="Q261" s="27"/>
      <c r="R261" s="27"/>
      <c r="S261" s="27"/>
      <c r="T261" s="27"/>
      <c r="U261" s="27"/>
      <c r="V261" s="27"/>
      <c r="W261" s="27"/>
      <c r="X261" s="27"/>
      <c r="Y261" s="27"/>
      <c r="Z261" s="27"/>
    </row>
    <row r="262" hidden="1" customHeight="1" spans="1:26">
      <c r="A262" s="26">
        <v>1532</v>
      </c>
      <c r="B262" s="26">
        <v>16</v>
      </c>
      <c r="C262" s="26" t="s">
        <v>1860</v>
      </c>
      <c r="D262" s="26" t="s">
        <v>2716</v>
      </c>
      <c r="E262" s="26" t="s">
        <v>2921</v>
      </c>
      <c r="F262" s="26" t="str">
        <f t="shared" si="0"/>
        <v>Negative Traits Unknown Origin</v>
      </c>
      <c r="G262" s="26">
        <f t="shared" si="1"/>
        <v>9</v>
      </c>
      <c r="H262" s="26" t="s">
        <v>3178</v>
      </c>
      <c r="I262" s="26"/>
      <c r="J262" s="26"/>
      <c r="K262" s="26"/>
      <c r="L262" s="26" t="str">
        <f t="shared" si="2"/>
        <v>W</v>
      </c>
      <c r="M262" s="26" t="str">
        <f>IFERROR(__xludf.DUMMYFUNCTION("GOOGLETRANSLATE(C262,""EN"",""KN"")"),"ವಿಚಿತ್ರವಾದ")</f>
        <v>ವಿಚಿತ್ರವಾದ</v>
      </c>
      <c r="N262" s="26">
        <f t="array" ref="N262">_xlfn.XLOOKUP(B262,'Sets Progress'!I:I,'Sets Progress'!I:I,"NOT YET")</f>
        <v>16</v>
      </c>
      <c r="O262" s="26" t="str">
        <f t="array" ref="O262">_xlfn.XLOOKUP(L:L,'Overall Progress'!L:L,'Overall Progress'!L:L,"NOT YET")</f>
        <v>NOT YET</v>
      </c>
      <c r="P262" s="26"/>
      <c r="Q262" s="26"/>
      <c r="R262" s="26"/>
      <c r="S262" s="26"/>
      <c r="T262" s="26"/>
      <c r="U262" s="26"/>
      <c r="V262" s="26"/>
      <c r="W262" s="26"/>
      <c r="X262" s="26"/>
      <c r="Y262" s="26"/>
      <c r="Z262" s="26"/>
    </row>
    <row r="263" hidden="1" customHeight="1" spans="1:26">
      <c r="A263" s="27">
        <v>23</v>
      </c>
      <c r="B263" s="27">
        <v>17</v>
      </c>
      <c r="C263" s="27" t="s">
        <v>387</v>
      </c>
      <c r="D263" s="27" t="s">
        <v>2717</v>
      </c>
      <c r="E263" s="27" t="s">
        <v>2889</v>
      </c>
      <c r="F263" s="27" t="str">
        <f t="shared" si="0"/>
        <v>Positive Traits Latin Origin</v>
      </c>
      <c r="G263" s="27">
        <f t="shared" si="1"/>
        <v>8</v>
      </c>
      <c r="H263" s="27" t="s">
        <v>3179</v>
      </c>
      <c r="I263" s="27"/>
      <c r="J263" s="27"/>
      <c r="K263" s="27"/>
      <c r="L263" s="27" t="str">
        <f t="shared" si="2"/>
        <v>A</v>
      </c>
      <c r="M263" s="27" t="str">
        <f>IFERROR(__xludf.DUMMYFUNCTION("GOOGLETRANSLATE(C263,""EN"",""KN"")"),"ಪುರಸ್ಕಾರ")</f>
        <v>ಪುರಸ್ಕಾರ</v>
      </c>
      <c r="N263" s="27">
        <f t="array" ref="N263">_xlfn.XLOOKUP(B263,'Sets Progress'!I:I,'Sets Progress'!I:I,"NOT YET")</f>
        <v>17</v>
      </c>
      <c r="O263" s="27" t="str">
        <f t="array" ref="O263">_xlfn.XLOOKUP(L:L,'Overall Progress'!L:L,'Overall Progress'!L:L,"NOT YET")</f>
        <v>NOT YET</v>
      </c>
      <c r="P263" s="27"/>
      <c r="Q263" s="27"/>
      <c r="R263" s="27"/>
      <c r="S263" s="27"/>
      <c r="T263" s="27"/>
      <c r="U263" s="27"/>
      <c r="V263" s="27"/>
      <c r="W263" s="27"/>
      <c r="X263" s="27"/>
      <c r="Y263" s="27"/>
      <c r="Z263" s="27"/>
    </row>
    <row r="264" hidden="1" customHeight="1" spans="1:26">
      <c r="A264" s="26">
        <v>35</v>
      </c>
      <c r="B264" s="26">
        <v>17</v>
      </c>
      <c r="C264" s="26" t="s">
        <v>2089</v>
      </c>
      <c r="D264" s="26" t="s">
        <v>1721</v>
      </c>
      <c r="E264" s="26" t="s">
        <v>2889</v>
      </c>
      <c r="F264" s="26" t="str">
        <f t="shared" si="0"/>
        <v>Temporal Latin Origin</v>
      </c>
      <c r="G264" s="26">
        <f t="shared" si="1"/>
        <v>6</v>
      </c>
      <c r="H264" s="26" t="s">
        <v>3180</v>
      </c>
      <c r="I264" s="26"/>
      <c r="J264" s="26"/>
      <c r="K264" s="26"/>
      <c r="L264" s="26" t="str">
        <f t="shared" si="2"/>
        <v>A</v>
      </c>
      <c r="M264" s="26" t="str">
        <f>IFERROR(__xludf.DUMMYFUNCTION("GOOGLETRANSLATE(C264,""EN"",""KN"")"),"ತಾತ್ಕಾಲಿಕ")</f>
        <v>ತಾತ್ಕಾಲಿಕ</v>
      </c>
      <c r="N264" s="26">
        <f t="array" ref="N264">_xlfn.XLOOKUP(B264,'Sets Progress'!I:I,'Sets Progress'!I:I,"NOT YET")</f>
        <v>17</v>
      </c>
      <c r="O264" s="26" t="str">
        <f t="array" ref="O264">_xlfn.XLOOKUP(L:L,'Overall Progress'!L:L,'Overall Progress'!L:L,"NOT YET")</f>
        <v>NOT YET</v>
      </c>
      <c r="P264" s="26"/>
      <c r="Q264" s="26"/>
      <c r="R264" s="26"/>
      <c r="S264" s="26"/>
      <c r="T264" s="26"/>
      <c r="U264" s="26"/>
      <c r="V264" s="26"/>
      <c r="W264" s="26"/>
      <c r="X264" s="26"/>
      <c r="Y264" s="26"/>
      <c r="Z264" s="26"/>
    </row>
    <row r="265" hidden="1" customHeight="1" spans="1:26">
      <c r="A265" s="27">
        <v>138</v>
      </c>
      <c r="B265" s="27">
        <v>17</v>
      </c>
      <c r="C265" s="27" t="s">
        <v>487</v>
      </c>
      <c r="D265" s="27" t="s">
        <v>2946</v>
      </c>
      <c r="E265" s="27" t="s">
        <v>2889</v>
      </c>
      <c r="F265" s="27" t="str">
        <f t="shared" si="0"/>
        <v>Emotional Latin Origin</v>
      </c>
      <c r="G265" s="27">
        <f t="shared" si="1"/>
        <v>8</v>
      </c>
      <c r="H265" s="27" t="s">
        <v>3181</v>
      </c>
      <c r="I265" s="27"/>
      <c r="J265" s="27"/>
      <c r="K265" s="27"/>
      <c r="L265" s="27" t="str">
        <f t="shared" si="2"/>
        <v>A</v>
      </c>
      <c r="M265" s="27" t="str">
        <f>IFERROR(__xludf.DUMMYFUNCTION("GOOGLETRANSLATE(C265,""EN"",""KN"")"),"ನಿವಾರಣೆ")</f>
        <v>ನಿವಾರಣೆ</v>
      </c>
      <c r="N265" s="27">
        <f t="array" ref="N265">_xlfn.XLOOKUP(B265,'Sets Progress'!I:I,'Sets Progress'!I:I,"NOT YET")</f>
        <v>17</v>
      </c>
      <c r="O265" s="27" t="str">
        <f t="array" ref="O265">_xlfn.XLOOKUP(L:L,'Overall Progress'!L:L,'Overall Progress'!L:L,"NOT YET")</f>
        <v>NOT YET</v>
      </c>
      <c r="P265" s="27"/>
      <c r="Q265" s="27"/>
      <c r="R265" s="27"/>
      <c r="S265" s="27"/>
      <c r="T265" s="27"/>
      <c r="U265" s="27"/>
      <c r="V265" s="27"/>
      <c r="W265" s="27"/>
      <c r="X265" s="27"/>
      <c r="Y265" s="27"/>
      <c r="Z265" s="27"/>
    </row>
    <row r="266" hidden="1" customHeight="1" spans="1:26">
      <c r="A266" s="26">
        <v>147</v>
      </c>
      <c r="B266" s="26">
        <v>17</v>
      </c>
      <c r="C266" s="26" t="s">
        <v>496</v>
      </c>
      <c r="D266" s="26" t="s">
        <v>2892</v>
      </c>
      <c r="E266" s="26" t="s">
        <v>3182</v>
      </c>
      <c r="F266" s="26" t="str">
        <f t="shared" si="0"/>
        <v>Spatial Portuguese Origin</v>
      </c>
      <c r="G266" s="26">
        <f t="shared" si="1"/>
        <v>7</v>
      </c>
      <c r="H266" s="26" t="s">
        <v>3183</v>
      </c>
      <c r="I266" s="26"/>
      <c r="J266" s="26"/>
      <c r="K266" s="26"/>
      <c r="L266" s="26" t="str">
        <f t="shared" si="2"/>
        <v>B</v>
      </c>
      <c r="M266" s="26" t="str">
        <f>IFERROR(__xludf.DUMMYFUNCTION("GOOGLETRANSLATE(C266,""EN"",""KN"")"),"ಬರೋಕ್")</f>
        <v>ಬರೋಕ್</v>
      </c>
      <c r="N266" s="26">
        <f t="array" ref="N266">_xlfn.XLOOKUP(B266,'Sets Progress'!I:I,'Sets Progress'!I:I,"NOT YET")</f>
        <v>17</v>
      </c>
      <c r="O266" s="26" t="str">
        <f t="array" ref="O266">_xlfn.XLOOKUP(L:L,'Overall Progress'!L:L,'Overall Progress'!L:L,"NOT YET")</f>
        <v>NOT YET</v>
      </c>
      <c r="P266" s="26"/>
      <c r="Q266" s="26"/>
      <c r="R266" s="26"/>
      <c r="S266" s="26"/>
      <c r="T266" s="26"/>
      <c r="U266" s="26"/>
      <c r="V266" s="26"/>
      <c r="W266" s="26"/>
      <c r="X266" s="26"/>
      <c r="Y266" s="26"/>
      <c r="Z266" s="26"/>
    </row>
    <row r="267" hidden="1" customHeight="1" spans="1:26">
      <c r="A267" s="27">
        <v>210</v>
      </c>
      <c r="B267" s="27">
        <v>17</v>
      </c>
      <c r="C267" s="27" t="s">
        <v>559</v>
      </c>
      <c r="D267" s="27" t="s">
        <v>3184</v>
      </c>
      <c r="E267" s="27" t="s">
        <v>3019</v>
      </c>
      <c r="F267" s="27" t="str">
        <f t="shared" si="0"/>
        <v>Visual Italian Origin</v>
      </c>
      <c r="G267" s="27">
        <f t="shared" si="1"/>
        <v>10</v>
      </c>
      <c r="H267" s="27" t="s">
        <v>3185</v>
      </c>
      <c r="I267" s="27"/>
      <c r="J267" s="27"/>
      <c r="K267" s="27"/>
      <c r="L267" s="27" t="str">
        <f t="shared" si="2"/>
        <v>C</v>
      </c>
      <c r="M267" s="27" t="str">
        <f>IFERROR(__xludf.DUMMYFUNCTION("GOOGLETRANSLATE(C267,""EN"",""KN"")"),"ವ್ಯಂಗ್ಯಚಿತ್ರ")</f>
        <v>ವ್ಯಂಗ್ಯಚಿತ್ರ</v>
      </c>
      <c r="N267" s="27">
        <f t="array" ref="N267">_xlfn.XLOOKUP(B267,'Sets Progress'!I:I,'Sets Progress'!I:I,"NOT YET")</f>
        <v>17</v>
      </c>
      <c r="O267" s="27" t="str">
        <f t="array" ref="O267">_xlfn.XLOOKUP(L:L,'Overall Progress'!L:L,'Overall Progress'!L:L,"NOT YET")</f>
        <v>NOT YET</v>
      </c>
      <c r="P267" s="27"/>
      <c r="Q267" s="27"/>
      <c r="R267" s="27"/>
      <c r="S267" s="27"/>
      <c r="T267" s="27"/>
      <c r="U267" s="27"/>
      <c r="V267" s="27"/>
      <c r="W267" s="27"/>
      <c r="X267" s="27"/>
      <c r="Y267" s="27"/>
      <c r="Z267" s="27"/>
    </row>
    <row r="268" hidden="1" customHeight="1" spans="1:26">
      <c r="A268" s="26">
        <v>223</v>
      </c>
      <c r="B268" s="26">
        <v>17</v>
      </c>
      <c r="C268" s="26" t="s">
        <v>572</v>
      </c>
      <c r="D268" s="26" t="s">
        <v>2946</v>
      </c>
      <c r="E268" s="26" t="s">
        <v>2911</v>
      </c>
      <c r="F268" s="26" t="str">
        <f t="shared" si="0"/>
        <v>Emotional French Origin</v>
      </c>
      <c r="G268" s="26">
        <f t="shared" si="1"/>
        <v>7</v>
      </c>
      <c r="H268" s="26" t="s">
        <v>3186</v>
      </c>
      <c r="I268" s="26"/>
      <c r="J268" s="26"/>
      <c r="K268" s="26"/>
      <c r="L268" s="26" t="str">
        <f t="shared" si="2"/>
        <v>C</v>
      </c>
      <c r="M268" s="26" t="str">
        <f>IFERROR(__xludf.DUMMYFUNCTION("GOOGLETRANSLATE(C268,""EN"",""KN"")"),"ಚಗ್ರಿನ್")</f>
        <v>ಚಗ್ರಿನ್</v>
      </c>
      <c r="N268" s="26">
        <f t="array" ref="N268">_xlfn.XLOOKUP(B268,'Sets Progress'!I:I,'Sets Progress'!I:I,"NOT YET")</f>
        <v>17</v>
      </c>
      <c r="O268" s="26" t="str">
        <f t="array" ref="O268">_xlfn.XLOOKUP(L:L,'Overall Progress'!L:L,'Overall Progress'!L:L,"NOT YET")</f>
        <v>NOT YET</v>
      </c>
      <c r="P268" s="26"/>
      <c r="Q268" s="26"/>
      <c r="R268" s="26"/>
      <c r="S268" s="26"/>
      <c r="T268" s="26"/>
      <c r="U268" s="26"/>
      <c r="V268" s="26"/>
      <c r="W268" s="26"/>
      <c r="X268" s="26"/>
      <c r="Y268" s="26"/>
      <c r="Z268" s="26"/>
    </row>
    <row r="269" hidden="1" customHeight="1" spans="1:26">
      <c r="A269" s="27">
        <v>657</v>
      </c>
      <c r="B269" s="27">
        <v>17</v>
      </c>
      <c r="C269" s="27" t="s">
        <v>1000</v>
      </c>
      <c r="D269" s="27" t="s">
        <v>2946</v>
      </c>
      <c r="E269" s="27" t="s">
        <v>2899</v>
      </c>
      <c r="F269" s="27" t="str">
        <f t="shared" si="0"/>
        <v>Emotional Middle English Origin</v>
      </c>
      <c r="G269" s="27">
        <f t="shared" si="1"/>
        <v>5</v>
      </c>
      <c r="H269" s="27" t="s">
        <v>3187</v>
      </c>
      <c r="I269" s="27"/>
      <c r="J269" s="27"/>
      <c r="K269" s="27"/>
      <c r="L269" s="27" t="str">
        <f t="shared" si="2"/>
        <v>G</v>
      </c>
      <c r="M269" s="27" t="str">
        <f>IFERROR(__xludf.DUMMYFUNCTION("GOOGLETRANSLATE(C269,""EN"",""KN"")"),"ಕತ್ತಲೆ")</f>
        <v>ಕತ್ತಲೆ</v>
      </c>
      <c r="N269" s="27">
        <f t="array" ref="N269">_xlfn.XLOOKUP(B269,'Sets Progress'!I:I,'Sets Progress'!I:I,"NOT YET")</f>
        <v>17</v>
      </c>
      <c r="O269" s="27" t="str">
        <f t="array" ref="O269">_xlfn.XLOOKUP(L:L,'Overall Progress'!L:L,'Overall Progress'!L:L,"NOT YET")</f>
        <v>NOT YET</v>
      </c>
      <c r="P269" s="27"/>
      <c r="Q269" s="27"/>
      <c r="R269" s="27"/>
      <c r="S269" s="27"/>
      <c r="T269" s="27"/>
      <c r="U269" s="27"/>
      <c r="V269" s="27"/>
      <c r="W269" s="27"/>
      <c r="X269" s="27"/>
      <c r="Y269" s="27"/>
      <c r="Z269" s="27"/>
    </row>
    <row r="270" hidden="1" customHeight="1" spans="1:26">
      <c r="A270" s="26">
        <v>694</v>
      </c>
      <c r="B270" s="26">
        <v>17</v>
      </c>
      <c r="C270" s="26" t="s">
        <v>1036</v>
      </c>
      <c r="D270" s="26" t="s">
        <v>1638</v>
      </c>
      <c r="E270" s="26" t="s">
        <v>2921</v>
      </c>
      <c r="F270" s="26" t="str">
        <f t="shared" si="0"/>
        <v>Sound Unknown Origin</v>
      </c>
      <c r="G270" s="26">
        <f t="shared" si="1"/>
        <v>7</v>
      </c>
      <c r="H270" s="26" t="s">
        <v>3188</v>
      </c>
      <c r="I270" s="26"/>
      <c r="J270" s="26"/>
      <c r="K270" s="26"/>
      <c r="L270" s="26" t="str">
        <f t="shared" si="2"/>
        <v>H</v>
      </c>
      <c r="M270" s="26" t="str">
        <f>IFERROR(__xludf.DUMMYFUNCTION("GOOGLETRANSLATE(C270,""EN"",""KN"")"),"ಹಮ್ಡ್ರಮ್")</f>
        <v>ಹಮ್ಡ್ರಮ್</v>
      </c>
      <c r="N270" s="26">
        <f t="array" ref="N270">_xlfn.XLOOKUP(B270,'Sets Progress'!I:I,'Sets Progress'!I:I,"NOT YET")</f>
        <v>17</v>
      </c>
      <c r="O270" s="26" t="str">
        <f t="array" ref="O270">_xlfn.XLOOKUP(L:L,'Overall Progress'!L:L,'Overall Progress'!L:L,"NOT YET")</f>
        <v>NOT YET</v>
      </c>
      <c r="P270" s="26"/>
      <c r="Q270" s="26"/>
      <c r="R270" s="26"/>
      <c r="S270" s="26"/>
      <c r="T270" s="26"/>
      <c r="U270" s="26"/>
      <c r="V270" s="26"/>
      <c r="W270" s="26"/>
      <c r="X270" s="26"/>
      <c r="Y270" s="26"/>
      <c r="Z270" s="26"/>
    </row>
    <row r="271" hidden="1" customHeight="1" spans="1:26">
      <c r="A271" s="27">
        <v>911</v>
      </c>
      <c r="B271" s="27">
        <v>17</v>
      </c>
      <c r="C271" s="27" t="s">
        <v>215</v>
      </c>
      <c r="D271" s="27" t="s">
        <v>2717</v>
      </c>
      <c r="E271" s="27" t="s">
        <v>2889</v>
      </c>
      <c r="F271" s="27" t="str">
        <f t="shared" si="0"/>
        <v>Positive Traits Latin Origin</v>
      </c>
      <c r="G271" s="27">
        <f t="shared" si="1"/>
        <v>10</v>
      </c>
      <c r="H271" s="27" t="s">
        <v>3189</v>
      </c>
      <c r="I271" s="27"/>
      <c r="J271" s="27"/>
      <c r="K271" s="27"/>
      <c r="L271" s="27" t="str">
        <f t="shared" si="2"/>
        <v>M</v>
      </c>
      <c r="M271" s="27" t="str">
        <f>IFERROR(__xludf.DUMMYFUNCTION("GOOGLETRANSLATE(C271,""EN"",""KN"")"),"ಸೂಕ್ಷ್ಮವಾದ")</f>
        <v>ಸೂಕ್ಷ್ಮವಾದ</v>
      </c>
      <c r="N271" s="27">
        <f t="array" ref="N271">_xlfn.XLOOKUP(B271,'Sets Progress'!I:I,'Sets Progress'!I:I,"NOT YET")</f>
        <v>17</v>
      </c>
      <c r="O271" s="27" t="str">
        <f t="array" ref="O271">_xlfn.XLOOKUP(L:L,'Overall Progress'!L:L,'Overall Progress'!L:L,"NOT YET")</f>
        <v>NOT YET</v>
      </c>
      <c r="P271" s="27"/>
      <c r="Q271" s="27"/>
      <c r="R271" s="27"/>
      <c r="S271" s="27"/>
      <c r="T271" s="27"/>
      <c r="U271" s="27"/>
      <c r="V271" s="27"/>
      <c r="W271" s="27"/>
      <c r="X271" s="27"/>
      <c r="Y271" s="27"/>
      <c r="Z271" s="27"/>
    </row>
    <row r="272" hidden="1" customHeight="1" spans="1:26">
      <c r="A272" s="26">
        <v>1105</v>
      </c>
      <c r="B272" s="26">
        <v>17</v>
      </c>
      <c r="C272" s="26" t="s">
        <v>1439</v>
      </c>
      <c r="D272" s="26" t="s">
        <v>1721</v>
      </c>
      <c r="E272" s="26" t="s">
        <v>2889</v>
      </c>
      <c r="F272" s="26" t="str">
        <f t="shared" si="0"/>
        <v>Temporal Latin Origin</v>
      </c>
      <c r="G272" s="26">
        <f t="shared" si="1"/>
        <v>11</v>
      </c>
      <c r="H272" s="26" t="s">
        <v>3190</v>
      </c>
      <c r="I272" s="26"/>
      <c r="J272" s="26"/>
      <c r="K272" s="26"/>
      <c r="L272" s="26" t="str">
        <f t="shared" si="2"/>
        <v>P</v>
      </c>
      <c r="M272" s="26" t="str">
        <f>IFERROR(__xludf.DUMMYFUNCTION("GOOGLETRANSLATE(C272,""EN"",""KN"")"),"ಮುನ್ಸೂಚನೆ")</f>
        <v>ಮುನ್ಸೂಚನೆ</v>
      </c>
      <c r="N272" s="26">
        <f t="array" ref="N272">_xlfn.XLOOKUP(B272,'Sets Progress'!I:I,'Sets Progress'!I:I,"NOT YET")</f>
        <v>17</v>
      </c>
      <c r="O272" s="26" t="str">
        <f t="array" ref="O272">_xlfn.XLOOKUP(L:L,'Overall Progress'!L:L,'Overall Progress'!L:L,"NOT YET")</f>
        <v>NOT YET</v>
      </c>
      <c r="P272" s="26"/>
      <c r="Q272" s="26"/>
      <c r="R272" s="26"/>
      <c r="S272" s="26"/>
      <c r="T272" s="26"/>
      <c r="U272" s="26"/>
      <c r="V272" s="26"/>
      <c r="W272" s="26"/>
      <c r="X272" s="26"/>
      <c r="Y272" s="26"/>
      <c r="Z272" s="26"/>
    </row>
    <row r="273" hidden="1" customHeight="1" spans="1:26">
      <c r="A273" s="27">
        <v>1367</v>
      </c>
      <c r="B273" s="27">
        <v>17</v>
      </c>
      <c r="C273" s="27" t="s">
        <v>1698</v>
      </c>
      <c r="D273" s="27" t="s">
        <v>1721</v>
      </c>
      <c r="E273" s="27" t="s">
        <v>2969</v>
      </c>
      <c r="F273" s="27" t="str">
        <f t="shared" si="0"/>
        <v>Temporal Old Norse Origin</v>
      </c>
      <c r="G273" s="27">
        <f t="shared" si="1"/>
        <v>4</v>
      </c>
      <c r="H273" s="27" t="s">
        <v>3191</v>
      </c>
      <c r="I273" s="27"/>
      <c r="J273" s="27"/>
      <c r="K273" s="27"/>
      <c r="L273" s="27" t="str">
        <f t="shared" si="2"/>
        <v>S</v>
      </c>
      <c r="M273" s="27" t="str">
        <f>IFERROR(__xludf.DUMMYFUNCTION("GOOGLETRANSLATE(C273,""EN"",""KN"")"),"ಸ್ವೇ")</f>
        <v>ಸ್ವೇ</v>
      </c>
      <c r="N273" s="27">
        <f t="array" ref="N273">_xlfn.XLOOKUP(B273,'Sets Progress'!I:I,'Sets Progress'!I:I,"NOT YET")</f>
        <v>17</v>
      </c>
      <c r="O273" s="27" t="str">
        <f t="array" ref="O273">_xlfn.XLOOKUP(L:L,'Overall Progress'!L:L,'Overall Progress'!L:L,"NOT YET")</f>
        <v>NOT YET</v>
      </c>
      <c r="P273" s="27"/>
      <c r="Q273" s="27"/>
      <c r="R273" s="27"/>
      <c r="S273" s="27"/>
      <c r="T273" s="27"/>
      <c r="U273" s="27"/>
      <c r="V273" s="27"/>
      <c r="W273" s="27"/>
      <c r="X273" s="27"/>
      <c r="Y273" s="27"/>
      <c r="Z273" s="27"/>
    </row>
    <row r="274" hidden="1" customHeight="1" spans="1:26">
      <c r="A274" s="26">
        <v>1496</v>
      </c>
      <c r="B274" s="26">
        <v>17</v>
      </c>
      <c r="C274" s="26" t="s">
        <v>1824</v>
      </c>
      <c r="D274" s="26" t="s">
        <v>2716</v>
      </c>
      <c r="E274" s="26" t="s">
        <v>2889</v>
      </c>
      <c r="F274" s="26" t="str">
        <f t="shared" si="0"/>
        <v>Negative Traits Latin Origin</v>
      </c>
      <c r="G274" s="26">
        <f t="shared" si="1"/>
        <v>5</v>
      </c>
      <c r="H274" s="26" t="s">
        <v>3192</v>
      </c>
      <c r="I274" s="26"/>
      <c r="J274" s="26"/>
      <c r="K274" s="26"/>
      <c r="L274" s="26" t="str">
        <f t="shared" si="2"/>
        <v>V</v>
      </c>
      <c r="M274" s="26" t="str">
        <f>IFERROR(__xludf.DUMMYFUNCTION("GOOGLETRANSLATE(C274,""EN"",""KN"")"),"ವೆನಲ್")</f>
        <v>ವೆನಲ್</v>
      </c>
      <c r="N274" s="26">
        <f t="array" ref="N274">_xlfn.XLOOKUP(B274,'Sets Progress'!I:I,'Sets Progress'!I:I,"NOT YET")</f>
        <v>17</v>
      </c>
      <c r="O274" s="26" t="str">
        <f t="array" ref="O274">_xlfn.XLOOKUP(L:L,'Overall Progress'!L:L,'Overall Progress'!L:L,"NOT YET")</f>
        <v>NOT YET</v>
      </c>
      <c r="P274" s="26"/>
      <c r="Q274" s="26"/>
      <c r="R274" s="26"/>
      <c r="S274" s="26"/>
      <c r="T274" s="26"/>
      <c r="U274" s="26"/>
      <c r="V274" s="26"/>
      <c r="W274" s="26"/>
      <c r="X274" s="26"/>
      <c r="Y274" s="26"/>
      <c r="Z274" s="26"/>
    </row>
    <row r="275" hidden="1" customHeight="1" spans="1:26">
      <c r="A275" s="27">
        <v>285</v>
      </c>
      <c r="B275" s="27">
        <v>18</v>
      </c>
      <c r="C275" s="27" t="s">
        <v>638</v>
      </c>
      <c r="D275" s="27" t="s">
        <v>2928</v>
      </c>
      <c r="E275" s="27" t="s">
        <v>2889</v>
      </c>
      <c r="F275" s="27" t="str">
        <f t="shared" si="0"/>
        <v>Philosophical Latin Origin</v>
      </c>
      <c r="G275" s="27">
        <f t="shared" si="1"/>
        <v>10</v>
      </c>
      <c r="H275" s="27" t="s">
        <v>3193</v>
      </c>
      <c r="I275" s="27"/>
      <c r="J275" s="27"/>
      <c r="K275" s="27"/>
      <c r="L275" s="27" t="str">
        <f t="shared" si="2"/>
        <v>C</v>
      </c>
      <c r="M275" s="27" t="str">
        <f>IFERROR(__xludf.DUMMYFUNCTION("GOOGLETRANSLATE(C275,""EN"",""KN"")"),"ಊಹೆ")</f>
        <v>ಊಹೆ</v>
      </c>
      <c r="N275" s="27">
        <f t="array" ref="N275">_xlfn.XLOOKUP(B275,'Sets Progress'!I:I,'Sets Progress'!I:I,"NOT YET")</f>
        <v>18</v>
      </c>
      <c r="O275" s="27" t="str">
        <f t="array" ref="O275">_xlfn.XLOOKUP(L:L,'Overall Progress'!L:L,'Overall Progress'!L:L,"NOT YET")</f>
        <v>NOT YET</v>
      </c>
      <c r="P275" s="27"/>
      <c r="Q275" s="27"/>
      <c r="R275" s="27"/>
      <c r="S275" s="27"/>
      <c r="T275" s="27"/>
      <c r="U275" s="27"/>
      <c r="V275" s="27"/>
      <c r="W275" s="27"/>
      <c r="X275" s="27"/>
      <c r="Y275" s="27"/>
      <c r="Z275" s="27"/>
    </row>
    <row r="276" hidden="1" customHeight="1" spans="1:26">
      <c r="A276" s="26">
        <v>383</v>
      </c>
      <c r="B276" s="26">
        <v>18</v>
      </c>
      <c r="C276" s="26" t="s">
        <v>733</v>
      </c>
      <c r="D276" s="26" t="s">
        <v>2946</v>
      </c>
      <c r="E276" s="26" t="s">
        <v>2896</v>
      </c>
      <c r="F276" s="26" t="str">
        <f t="shared" si="0"/>
        <v>Emotional Old French Origin</v>
      </c>
      <c r="G276" s="26">
        <f t="shared" si="1"/>
        <v>8</v>
      </c>
      <c r="H276" s="26" t="s">
        <v>3194</v>
      </c>
      <c r="I276" s="26"/>
      <c r="J276" s="26"/>
      <c r="K276" s="26"/>
      <c r="L276" s="26" t="str">
        <f t="shared" si="2"/>
        <v>D</v>
      </c>
      <c r="M276" s="26" t="str">
        <f>IFERROR(__xludf.DUMMYFUNCTION("GOOGLETRANSLATE(C276,""EN"",""KN"")"),"ಬೇರ್ಪಟ್ಟ")</f>
        <v>ಬೇರ್ಪಟ್ಟ</v>
      </c>
      <c r="N276" s="26">
        <f t="array" ref="N276">_xlfn.XLOOKUP(B276,'Sets Progress'!I:I,'Sets Progress'!I:I,"NOT YET")</f>
        <v>18</v>
      </c>
      <c r="O276" s="26" t="str">
        <f t="array" ref="O276">_xlfn.XLOOKUP(L:L,'Overall Progress'!L:L,'Overall Progress'!L:L,"NOT YET")</f>
        <v>NOT YET</v>
      </c>
      <c r="P276" s="26"/>
      <c r="Q276" s="26"/>
      <c r="R276" s="26"/>
      <c r="S276" s="26"/>
      <c r="T276" s="26"/>
      <c r="U276" s="26"/>
      <c r="V276" s="26"/>
      <c r="W276" s="26"/>
      <c r="X276" s="26"/>
      <c r="Y276" s="26"/>
      <c r="Z276" s="26"/>
    </row>
    <row r="277" hidden="1" customHeight="1" spans="1:26">
      <c r="A277" s="27">
        <v>438</v>
      </c>
      <c r="B277" s="27">
        <v>18</v>
      </c>
      <c r="C277" s="27" t="s">
        <v>787</v>
      </c>
      <c r="D277" s="27" t="s">
        <v>2716</v>
      </c>
      <c r="E277" s="27" t="s">
        <v>2889</v>
      </c>
      <c r="F277" s="27" t="str">
        <f t="shared" si="0"/>
        <v>Negative Traits Latin Origin</v>
      </c>
      <c r="G277" s="27">
        <f t="shared" si="1"/>
        <v>9</v>
      </c>
      <c r="H277" s="27" t="s">
        <v>3195</v>
      </c>
      <c r="I277" s="27"/>
      <c r="J277" s="27"/>
      <c r="K277" s="27"/>
      <c r="L277" s="27" t="str">
        <f t="shared" si="2"/>
        <v>D</v>
      </c>
      <c r="M277" s="27" t="str">
        <f>IFERROR(__xludf.DUMMYFUNCTION("GOOGLETRANSLATE(C277,""EN"",""KN"")"),"ಭಿನ್ನಮತೀಯ")</f>
        <v>ಭಿನ್ನಮತೀಯ</v>
      </c>
      <c r="N277" s="27">
        <f t="array" ref="N277">_xlfn.XLOOKUP(B277,'Sets Progress'!I:I,'Sets Progress'!I:I,"NOT YET")</f>
        <v>18</v>
      </c>
      <c r="O277" s="27" t="str">
        <f t="array" ref="O277">_xlfn.XLOOKUP(L:L,'Overall Progress'!L:L,'Overall Progress'!L:L,"NOT YET")</f>
        <v>NOT YET</v>
      </c>
      <c r="P277" s="27"/>
      <c r="Q277" s="27"/>
      <c r="R277" s="27"/>
      <c r="S277" s="27"/>
      <c r="T277" s="27"/>
      <c r="U277" s="27"/>
      <c r="V277" s="27"/>
      <c r="W277" s="27"/>
      <c r="X277" s="27"/>
      <c r="Y277" s="27"/>
      <c r="Z277" s="27"/>
    </row>
    <row r="278" hidden="1" customHeight="1" spans="1:26">
      <c r="A278" s="26">
        <v>615</v>
      </c>
      <c r="B278" s="26">
        <v>18</v>
      </c>
      <c r="C278" s="26" t="s">
        <v>959</v>
      </c>
      <c r="D278" s="26" t="s">
        <v>1721</v>
      </c>
      <c r="E278" s="26" t="s">
        <v>2896</v>
      </c>
      <c r="F278" s="26" t="str">
        <f t="shared" si="0"/>
        <v>Temporal Old French Origin</v>
      </c>
      <c r="G278" s="26">
        <f t="shared" si="1"/>
        <v>4</v>
      </c>
      <c r="H278" s="26" t="s">
        <v>3196</v>
      </c>
      <c r="I278" s="26"/>
      <c r="J278" s="26"/>
      <c r="K278" s="26"/>
      <c r="L278" s="26" t="str">
        <f t="shared" si="2"/>
        <v>F</v>
      </c>
      <c r="M278" s="26" t="str">
        <f>IFERROR(__xludf.DUMMYFUNCTION("GOOGLETRANSLATE(C278,""EN"",""KN"")"),"ಫಾಯಿಲ್")</f>
        <v>ಫಾಯಿಲ್</v>
      </c>
      <c r="N278" s="26">
        <f t="array" ref="N278">_xlfn.XLOOKUP(B278,'Sets Progress'!I:I,'Sets Progress'!I:I,"NOT YET")</f>
        <v>18</v>
      </c>
      <c r="O278" s="26" t="str">
        <f t="array" ref="O278">_xlfn.XLOOKUP(L:L,'Overall Progress'!L:L,'Overall Progress'!L:L,"NOT YET")</f>
        <v>NOT YET</v>
      </c>
      <c r="P278" s="26"/>
      <c r="Q278" s="26"/>
      <c r="R278" s="26"/>
      <c r="S278" s="26"/>
      <c r="T278" s="26"/>
      <c r="U278" s="26"/>
      <c r="V278" s="26"/>
      <c r="W278" s="26"/>
      <c r="X278" s="26"/>
      <c r="Y278" s="26"/>
      <c r="Z278" s="26"/>
    </row>
    <row r="279" hidden="1" customHeight="1" spans="1:26">
      <c r="A279" s="27">
        <v>982</v>
      </c>
      <c r="B279" s="27">
        <v>18</v>
      </c>
      <c r="C279" s="27" t="s">
        <v>1318</v>
      </c>
      <c r="D279" s="27" t="s">
        <v>1721</v>
      </c>
      <c r="E279" s="27" t="s">
        <v>2889</v>
      </c>
      <c r="F279" s="27" t="str">
        <f t="shared" si="0"/>
        <v>Temporal Latin Origin</v>
      </c>
      <c r="G279" s="27">
        <f t="shared" si="1"/>
        <v>11</v>
      </c>
      <c r="H279" s="27" t="s">
        <v>3197</v>
      </c>
      <c r="I279" s="27"/>
      <c r="J279" s="27"/>
      <c r="K279" s="27"/>
      <c r="L279" s="27" t="str">
        <f t="shared" si="2"/>
        <v>O</v>
      </c>
      <c r="M279" s="27" t="str">
        <f>IFERROR(__xludf.DUMMYFUNCTION("GOOGLETRANSLATE(C279,""EN"",""KN"")"),"ಸರ್ವವ್ಯಾಪಿ")</f>
        <v>ಸರ್ವವ್ಯಾಪಿ</v>
      </c>
      <c r="N279" s="27">
        <f t="array" ref="N279">_xlfn.XLOOKUP(B279,'Sets Progress'!I:I,'Sets Progress'!I:I,"NOT YET")</f>
        <v>18</v>
      </c>
      <c r="O279" s="27" t="str">
        <f t="array" ref="O279">_xlfn.XLOOKUP(L:L,'Overall Progress'!L:L,'Overall Progress'!L:L,"NOT YET")</f>
        <v>NOT YET</v>
      </c>
      <c r="P279" s="27"/>
      <c r="Q279" s="27"/>
      <c r="R279" s="27"/>
      <c r="S279" s="27"/>
      <c r="T279" s="27"/>
      <c r="U279" s="27"/>
      <c r="V279" s="27"/>
      <c r="W279" s="27"/>
      <c r="X279" s="27"/>
      <c r="Y279" s="27"/>
      <c r="Z279" s="27"/>
    </row>
    <row r="280" hidden="1" customHeight="1" spans="1:26">
      <c r="A280" s="26">
        <v>985</v>
      </c>
      <c r="B280" s="26">
        <v>18</v>
      </c>
      <c r="C280" s="26" t="s">
        <v>222</v>
      </c>
      <c r="D280" s="26" t="s">
        <v>2716</v>
      </c>
      <c r="E280" s="26" t="s">
        <v>2889</v>
      </c>
      <c r="F280" s="26" t="str">
        <f t="shared" si="0"/>
        <v>Negative Traits Latin Origin</v>
      </c>
      <c r="G280" s="26">
        <f t="shared" si="1"/>
        <v>6</v>
      </c>
      <c r="H280" s="26" t="s">
        <v>3198</v>
      </c>
      <c r="I280" s="26"/>
      <c r="J280" s="26"/>
      <c r="K280" s="26"/>
      <c r="L280" s="26" t="str">
        <f t="shared" si="2"/>
        <v>O</v>
      </c>
      <c r="M280" s="26" t="str">
        <f>IFERROR(__xludf.DUMMYFUNCTION("GOOGLETRANSLATE(C280,""EN"",""KN"")"),"ಅಪಾರದರ್ಶಕ")</f>
        <v>ಅಪಾರದರ್ಶಕ</v>
      </c>
      <c r="N280" s="26">
        <f t="array" ref="N280">_xlfn.XLOOKUP(B280,'Sets Progress'!I:I,'Sets Progress'!I:I,"NOT YET")</f>
        <v>18</v>
      </c>
      <c r="O280" s="26" t="str">
        <f t="array" ref="O280">_xlfn.XLOOKUP(L:L,'Overall Progress'!L:L,'Overall Progress'!L:L,"NOT YET")</f>
        <v>NOT YET</v>
      </c>
      <c r="P280" s="26"/>
      <c r="Q280" s="26"/>
      <c r="R280" s="26"/>
      <c r="S280" s="26"/>
      <c r="T280" s="26"/>
      <c r="U280" s="26"/>
      <c r="V280" s="26"/>
      <c r="W280" s="26"/>
      <c r="X280" s="26"/>
      <c r="Y280" s="26"/>
      <c r="Z280" s="26"/>
    </row>
    <row r="281" hidden="1" customHeight="1" spans="1:26">
      <c r="A281" s="27">
        <v>1002</v>
      </c>
      <c r="B281" s="27">
        <v>18</v>
      </c>
      <c r="C281" s="27" t="s">
        <v>1337</v>
      </c>
      <c r="D281" s="27" t="s">
        <v>1721</v>
      </c>
      <c r="E281" s="27" t="s">
        <v>2908</v>
      </c>
      <c r="F281" s="27" t="str">
        <f t="shared" si="0"/>
        <v>Temporal Old English Origin</v>
      </c>
      <c r="G281" s="27">
        <f t="shared" si="1"/>
        <v>10</v>
      </c>
      <c r="H281" s="27" t="s">
        <v>3199</v>
      </c>
      <c r="I281" s="27"/>
      <c r="J281" s="27"/>
      <c r="K281" s="27"/>
      <c r="L281" s="27" t="str">
        <f t="shared" si="2"/>
        <v>O</v>
      </c>
      <c r="M281" s="27" t="str">
        <f>IFERROR(__xludf.DUMMYFUNCTION("GOOGLETRANSLATE(C281,""EN"",""KN"")"),"ನೆರಳು")</f>
        <v>ನೆರಳು</v>
      </c>
      <c r="N281" s="27">
        <f t="array" ref="N281">_xlfn.XLOOKUP(B281,'Sets Progress'!I:I,'Sets Progress'!I:I,"NOT YET")</f>
        <v>18</v>
      </c>
      <c r="O281" s="27" t="str">
        <f t="array" ref="O281">_xlfn.XLOOKUP(L:L,'Overall Progress'!L:L,'Overall Progress'!L:L,"NOT YET")</f>
        <v>NOT YET</v>
      </c>
      <c r="P281" s="27"/>
      <c r="Q281" s="27"/>
      <c r="R281" s="27"/>
      <c r="S281" s="27"/>
      <c r="T281" s="27"/>
      <c r="U281" s="27"/>
      <c r="V281" s="27"/>
      <c r="W281" s="27"/>
      <c r="X281" s="27"/>
      <c r="Y281" s="27"/>
      <c r="Z281" s="27"/>
    </row>
    <row r="282" hidden="1" customHeight="1" spans="1:26">
      <c r="A282" s="26">
        <v>1085</v>
      </c>
      <c r="B282" s="26">
        <v>18</v>
      </c>
      <c r="C282" s="26" t="s">
        <v>1420</v>
      </c>
      <c r="D282" s="26" t="s">
        <v>2716</v>
      </c>
      <c r="E282" s="26" t="s">
        <v>2889</v>
      </c>
      <c r="F282" s="26" t="str">
        <f t="shared" si="0"/>
        <v>Negative Traits Latin Origin</v>
      </c>
      <c r="G282" s="26">
        <f t="shared" si="1"/>
        <v>9</v>
      </c>
      <c r="H282" s="26" t="s">
        <v>3200</v>
      </c>
      <c r="I282" s="26"/>
      <c r="J282" s="26"/>
      <c r="K282" s="26"/>
      <c r="L282" s="26" t="str">
        <f t="shared" si="2"/>
        <v>P</v>
      </c>
      <c r="M282" s="26" t="str">
        <f>IFERROR(__xludf.DUMMYFUNCTION("GOOGLETRANSLATE(C282,""EN"",""KN"")"),"ವಿಚಾರಮಯ")</f>
        <v>ವಿಚಾರಮಯ</v>
      </c>
      <c r="N282" s="26">
        <f t="array" ref="N282">_xlfn.XLOOKUP(B282,'Sets Progress'!I:I,'Sets Progress'!I:I,"NOT YET")</f>
        <v>18</v>
      </c>
      <c r="O282" s="26" t="str">
        <f t="array" ref="O282">_xlfn.XLOOKUP(L:L,'Overall Progress'!L:L,'Overall Progress'!L:L,"NOT YET")</f>
        <v>NOT YET</v>
      </c>
      <c r="P282" s="26"/>
      <c r="Q282" s="26"/>
      <c r="R282" s="26"/>
      <c r="S282" s="26"/>
      <c r="T282" s="26"/>
      <c r="U282" s="26"/>
      <c r="V282" s="26"/>
      <c r="W282" s="26"/>
      <c r="X282" s="26"/>
      <c r="Y282" s="26"/>
      <c r="Z282" s="26"/>
    </row>
    <row r="283" hidden="1" customHeight="1" spans="1:26">
      <c r="A283" s="27">
        <v>1197</v>
      </c>
      <c r="B283" s="27">
        <v>18</v>
      </c>
      <c r="C283" s="27" t="s">
        <v>1528</v>
      </c>
      <c r="D283" s="27" t="s">
        <v>1721</v>
      </c>
      <c r="E283" s="27" t="s">
        <v>2889</v>
      </c>
      <c r="F283" s="27" t="str">
        <f t="shared" si="0"/>
        <v>Temporal Latin Origin</v>
      </c>
      <c r="G283" s="27">
        <f t="shared" si="1"/>
        <v>6</v>
      </c>
      <c r="H283" s="27" t="s">
        <v>3201</v>
      </c>
      <c r="I283" s="27"/>
      <c r="J283" s="27"/>
      <c r="K283" s="27"/>
      <c r="L283" s="27" t="str">
        <f t="shared" si="2"/>
        <v>R</v>
      </c>
      <c r="M283" s="27" t="str">
        <f>IFERROR(__xludf.DUMMYFUNCTION("GOOGLETRANSLATE(C283,""EN"",""KN"")"),"ಪಶ್ಚಾತ್ತಾಪ")</f>
        <v>ಪಶ್ಚಾತ್ತಾಪ</v>
      </c>
      <c r="N283" s="27">
        <f t="array" ref="N283">_xlfn.XLOOKUP(B283,'Sets Progress'!I:I,'Sets Progress'!I:I,"NOT YET")</f>
        <v>18</v>
      </c>
      <c r="O283" s="27" t="str">
        <f t="array" ref="O283">_xlfn.XLOOKUP(L:L,'Overall Progress'!L:L,'Overall Progress'!L:L,"NOT YET")</f>
        <v>NOT YET</v>
      </c>
      <c r="P283" s="27"/>
      <c r="Q283" s="27"/>
      <c r="R283" s="27"/>
      <c r="S283" s="27"/>
      <c r="T283" s="27"/>
      <c r="U283" s="27"/>
      <c r="V283" s="27"/>
      <c r="W283" s="27"/>
      <c r="X283" s="27"/>
      <c r="Y283" s="27"/>
      <c r="Z283" s="27"/>
    </row>
    <row r="284" hidden="1" customHeight="1" spans="1:26">
      <c r="A284" s="26">
        <v>1220</v>
      </c>
      <c r="B284" s="26">
        <v>18</v>
      </c>
      <c r="C284" s="26" t="s">
        <v>1551</v>
      </c>
      <c r="D284" s="26" t="s">
        <v>2717</v>
      </c>
      <c r="E284" s="26" t="s">
        <v>2889</v>
      </c>
      <c r="F284" s="26" t="str">
        <f t="shared" si="0"/>
        <v>Positive Traits Latin Origin</v>
      </c>
      <c r="G284" s="26">
        <f t="shared" si="1"/>
        <v>7</v>
      </c>
      <c r="H284" s="26" t="s">
        <v>3202</v>
      </c>
      <c r="I284" s="26"/>
      <c r="J284" s="26"/>
      <c r="K284" s="26"/>
      <c r="L284" s="26" t="str">
        <f t="shared" si="2"/>
        <v>R</v>
      </c>
      <c r="M284" s="26" t="str">
        <f>IFERROR(__xludf.DUMMYFUNCTION("GOOGLETRANSLATE(C284,""EN"",""KN"")"),"ಪರಿಹರಿಸು")</f>
        <v>ಪರಿಹರಿಸು</v>
      </c>
      <c r="N284" s="26">
        <f t="array" ref="N284">_xlfn.XLOOKUP(B284,'Sets Progress'!I:I,'Sets Progress'!I:I,"NOT YET")</f>
        <v>18</v>
      </c>
      <c r="O284" s="26" t="str">
        <f t="array" ref="O284">_xlfn.XLOOKUP(L:L,'Overall Progress'!L:L,'Overall Progress'!L:L,"NOT YET")</f>
        <v>NOT YET</v>
      </c>
      <c r="P284" s="26"/>
      <c r="Q284" s="26"/>
      <c r="R284" s="26"/>
      <c r="S284" s="26"/>
      <c r="T284" s="26"/>
      <c r="U284" s="26"/>
      <c r="V284" s="26"/>
      <c r="W284" s="26"/>
      <c r="X284" s="26"/>
      <c r="Y284" s="26"/>
      <c r="Z284" s="26"/>
    </row>
    <row r="285" hidden="1" customHeight="1" spans="1:26">
      <c r="A285" s="27">
        <v>1293</v>
      </c>
      <c r="B285" s="27">
        <v>18</v>
      </c>
      <c r="C285" s="27" t="s">
        <v>1624</v>
      </c>
      <c r="D285" s="27" t="s">
        <v>2716</v>
      </c>
      <c r="E285" s="27" t="s">
        <v>2921</v>
      </c>
      <c r="F285" s="27" t="str">
        <f t="shared" si="0"/>
        <v>Negative Traits Unknown Origin</v>
      </c>
      <c r="G285" s="27">
        <f t="shared" si="1"/>
        <v>9</v>
      </c>
      <c r="H285" s="27" t="s">
        <v>3203</v>
      </c>
      <c r="I285" s="27"/>
      <c r="J285" s="27"/>
      <c r="K285" s="27"/>
      <c r="L285" s="27" t="str">
        <f t="shared" si="2"/>
        <v>S</v>
      </c>
      <c r="M285" s="27" t="str">
        <f>IFERROR(__xludf.DUMMYFUNCTION("GOOGLETRANSLATE(C285,""EN"",""KN"")"),"ಗುಲಾಮಗಿರಿಯಿಂದ")</f>
        <v>ಗುಲಾಮಗಿರಿಯಿಂದ</v>
      </c>
      <c r="N285" s="27">
        <f t="array" ref="N285">_xlfn.XLOOKUP(B285,'Sets Progress'!I:I,'Sets Progress'!I:I,"NOT YET")</f>
        <v>18</v>
      </c>
      <c r="O285" s="27" t="str">
        <f t="array" ref="O285">_xlfn.XLOOKUP(L:L,'Overall Progress'!L:L,'Overall Progress'!L:L,"NOT YET")</f>
        <v>NOT YET</v>
      </c>
      <c r="P285" s="27"/>
      <c r="Q285" s="27"/>
      <c r="R285" s="27"/>
      <c r="S285" s="27"/>
      <c r="T285" s="27"/>
      <c r="U285" s="27"/>
      <c r="V285" s="27"/>
      <c r="W285" s="27"/>
      <c r="X285" s="27"/>
      <c r="Y285" s="27"/>
      <c r="Z285" s="27"/>
    </row>
    <row r="286" hidden="1" customHeight="1" spans="1:26">
      <c r="A286" s="26">
        <v>1305</v>
      </c>
      <c r="B286" s="26">
        <v>18</v>
      </c>
      <c r="C286" s="26" t="s">
        <v>1636</v>
      </c>
      <c r="D286" s="26" t="s">
        <v>2716</v>
      </c>
      <c r="E286" s="26" t="s">
        <v>2889</v>
      </c>
      <c r="F286" s="26" t="str">
        <f t="shared" si="0"/>
        <v>Negative Traits Latin Origin</v>
      </c>
      <c r="G286" s="26">
        <f t="shared" si="1"/>
        <v>9</v>
      </c>
      <c r="H286" s="26" t="s">
        <v>3204</v>
      </c>
      <c r="I286" s="26"/>
      <c r="J286" s="26"/>
      <c r="K286" s="26"/>
      <c r="L286" s="26" t="str">
        <f t="shared" si="2"/>
        <v>S</v>
      </c>
      <c r="M286" s="26" t="str">
        <f>IFERROR(__xludf.DUMMYFUNCTION("GOOGLETRANSLATE(C286,""EN"",""KN"")"),"ಸೊಪೊರಿಫಿಕ್")</f>
        <v>ಸೊಪೊರಿಫಿಕ್</v>
      </c>
      <c r="N286" s="26">
        <f t="array" ref="N286">_xlfn.XLOOKUP(B286,'Sets Progress'!I:I,'Sets Progress'!I:I,"NOT YET")</f>
        <v>18</v>
      </c>
      <c r="O286" s="26" t="str">
        <f t="array" ref="O286">_xlfn.XLOOKUP(L:L,'Overall Progress'!L:L,'Overall Progress'!L:L,"NOT YET")</f>
        <v>NOT YET</v>
      </c>
      <c r="P286" s="26"/>
      <c r="Q286" s="26"/>
      <c r="R286" s="26"/>
      <c r="S286" s="26"/>
      <c r="T286" s="26"/>
      <c r="U286" s="26"/>
      <c r="V286" s="26"/>
      <c r="W286" s="26"/>
      <c r="X286" s="26"/>
      <c r="Y286" s="26"/>
      <c r="Z286" s="26"/>
    </row>
    <row r="287" hidden="1" customHeight="1" spans="1:26">
      <c r="A287" s="27">
        <v>1399</v>
      </c>
      <c r="B287" s="27">
        <v>18</v>
      </c>
      <c r="C287" s="27" t="s">
        <v>1730</v>
      </c>
      <c r="D287" s="27" t="s">
        <v>2716</v>
      </c>
      <c r="E287" s="27" t="s">
        <v>2889</v>
      </c>
      <c r="F287" s="27" t="str">
        <f t="shared" si="0"/>
        <v>Negative Traits Latin Origin</v>
      </c>
      <c r="G287" s="27">
        <f t="shared" si="1"/>
        <v>5</v>
      </c>
      <c r="H287" s="27" t="s">
        <v>3205</v>
      </c>
      <c r="I287" s="27"/>
      <c r="J287" s="27"/>
      <c r="K287" s="27"/>
      <c r="L287" s="27" t="str">
        <f t="shared" si="2"/>
        <v>T</v>
      </c>
      <c r="M287" s="27" t="str">
        <f>IFERROR(__xludf.DUMMYFUNCTION("GOOGLETRANSLATE(C287,""EN"",""KN"")"),"ಟರ್ಸೆ")</f>
        <v>ಟರ್ಸೆ</v>
      </c>
      <c r="N287" s="27">
        <f t="array" ref="N287">_xlfn.XLOOKUP(B287,'Sets Progress'!I:I,'Sets Progress'!I:I,"NOT YET")</f>
        <v>18</v>
      </c>
      <c r="O287" s="27" t="str">
        <f t="array" ref="O287">_xlfn.XLOOKUP(L:L,'Overall Progress'!L:L,'Overall Progress'!L:L,"NOT YET")</f>
        <v>NOT YET</v>
      </c>
      <c r="P287" s="27"/>
      <c r="Q287" s="27"/>
      <c r="R287" s="27"/>
      <c r="S287" s="27"/>
      <c r="T287" s="27"/>
      <c r="U287" s="27"/>
      <c r="V287" s="27"/>
      <c r="W287" s="27"/>
      <c r="X287" s="27"/>
      <c r="Y287" s="27"/>
      <c r="Z287" s="27"/>
    </row>
    <row r="288" hidden="1" customHeight="1" spans="1:26">
      <c r="A288" s="26">
        <v>1499</v>
      </c>
      <c r="B288" s="26">
        <v>18</v>
      </c>
      <c r="C288" s="26" t="s">
        <v>1827</v>
      </c>
      <c r="D288" s="26" t="s">
        <v>2716</v>
      </c>
      <c r="E288" s="26" t="s">
        <v>2889</v>
      </c>
      <c r="F288" s="26" t="str">
        <f t="shared" si="0"/>
        <v>Negative Traits Latin Origin</v>
      </c>
      <c r="G288" s="26">
        <f t="shared" si="1"/>
        <v>7</v>
      </c>
      <c r="H288" s="26" t="s">
        <v>3206</v>
      </c>
      <c r="I288" s="26"/>
      <c r="J288" s="26"/>
      <c r="K288" s="26"/>
      <c r="L288" s="26" t="str">
        <f t="shared" si="2"/>
        <v>V</v>
      </c>
      <c r="M288" s="26" t="str">
        <f>IFERROR(__xludf.DUMMYFUNCTION("GOOGLETRANSLATE(C288,""EN"",""KN"")"),"ಮೌಖಿಕ")</f>
        <v>ಮೌಖಿಕ</v>
      </c>
      <c r="N288" s="26">
        <f t="array" ref="N288">_xlfn.XLOOKUP(B288,'Sets Progress'!I:I,'Sets Progress'!I:I,"NOT YET")</f>
        <v>18</v>
      </c>
      <c r="O288" s="26" t="str">
        <f t="array" ref="O288">_xlfn.XLOOKUP(L:L,'Overall Progress'!L:L,'Overall Progress'!L:L,"NOT YET")</f>
        <v>NOT YET</v>
      </c>
      <c r="P288" s="26"/>
      <c r="Q288" s="26"/>
      <c r="R288" s="26"/>
      <c r="S288" s="26"/>
      <c r="T288" s="26"/>
      <c r="U288" s="26"/>
      <c r="V288" s="26"/>
      <c r="W288" s="26"/>
      <c r="X288" s="26"/>
      <c r="Y288" s="26"/>
      <c r="Z288" s="26"/>
    </row>
    <row r="289" hidden="1" customHeight="1" spans="1:26">
      <c r="A289" s="27">
        <v>193</v>
      </c>
      <c r="B289" s="27">
        <v>19</v>
      </c>
      <c r="C289" s="27" t="s">
        <v>543</v>
      </c>
      <c r="D289" s="27" t="s">
        <v>2892</v>
      </c>
      <c r="E289" s="27" t="s">
        <v>2889</v>
      </c>
      <c r="F289" s="27" t="str">
        <f t="shared" si="0"/>
        <v>Spatial Latin Origin</v>
      </c>
      <c r="G289" s="27">
        <f t="shared" si="1"/>
        <v>9</v>
      </c>
      <c r="H289" s="27" t="s">
        <v>3207</v>
      </c>
      <c r="I289" s="27"/>
      <c r="J289" s="27"/>
      <c r="K289" s="27"/>
      <c r="L289" s="27" t="str">
        <f t="shared" si="2"/>
        <v>B</v>
      </c>
      <c r="M289" s="27" t="str">
        <f>IFERROR(__xludf.DUMMYFUNCTION("GOOGLETRANSLATE(C289,""EN"",""KN"")"),"ಬೈಜಾಂಟೈನ್")</f>
        <v>ಬೈಜಾಂಟೈನ್</v>
      </c>
      <c r="N289" s="27">
        <f t="array" ref="N289">_xlfn.XLOOKUP(B289,'Sets Progress'!I:I,'Sets Progress'!I:I,"NOT YET")</f>
        <v>19</v>
      </c>
      <c r="O289" s="27" t="str">
        <f t="array" ref="O289">_xlfn.XLOOKUP(L:L,'Overall Progress'!L:L,'Overall Progress'!L:L,"NOT YET")</f>
        <v>NOT YET</v>
      </c>
      <c r="P289" s="27"/>
      <c r="Q289" s="27"/>
      <c r="R289" s="27"/>
      <c r="S289" s="27"/>
      <c r="T289" s="27"/>
      <c r="U289" s="27"/>
      <c r="V289" s="27"/>
      <c r="W289" s="27"/>
      <c r="X289" s="27"/>
      <c r="Y289" s="27"/>
      <c r="Z289" s="27"/>
    </row>
    <row r="290" hidden="1" customHeight="1" spans="1:26">
      <c r="A290" s="26">
        <v>400</v>
      </c>
      <c r="B290" s="26">
        <v>19</v>
      </c>
      <c r="C290" s="26" t="s">
        <v>749</v>
      </c>
      <c r="D290" s="26" t="s">
        <v>1721</v>
      </c>
      <c r="E290" s="26" t="s">
        <v>2889</v>
      </c>
      <c r="F290" s="26" t="str">
        <f t="shared" si="0"/>
        <v>Temporal Latin Origin</v>
      </c>
      <c r="G290" s="26">
        <f t="shared" si="1"/>
        <v>6</v>
      </c>
      <c r="H290" s="26" t="s">
        <v>3208</v>
      </c>
      <c r="I290" s="26"/>
      <c r="J290" s="26"/>
      <c r="K290" s="26"/>
      <c r="L290" s="26" t="str">
        <f t="shared" si="2"/>
        <v>D</v>
      </c>
      <c r="M290" s="26" t="str">
        <f>IFERROR(__xludf.DUMMYFUNCTION("GOOGLETRANSLATE(C290,""EN"",""KN"")"),"ಹಿಗ್ಗಿಸಿ")</f>
        <v>ಹಿಗ್ಗಿಸಿ</v>
      </c>
      <c r="N290" s="26">
        <f t="array" ref="N290">_xlfn.XLOOKUP(B290,'Sets Progress'!I:I,'Sets Progress'!I:I,"NOT YET")</f>
        <v>19</v>
      </c>
      <c r="O290" s="26" t="str">
        <f t="array" ref="O290">_xlfn.XLOOKUP(L:L,'Overall Progress'!L:L,'Overall Progress'!L:L,"NOT YET")</f>
        <v>NOT YET</v>
      </c>
      <c r="P290" s="26"/>
      <c r="Q290" s="26"/>
      <c r="R290" s="26"/>
      <c r="S290" s="26"/>
      <c r="T290" s="26"/>
      <c r="U290" s="26"/>
      <c r="V290" s="26"/>
      <c r="W290" s="26"/>
      <c r="X290" s="26"/>
      <c r="Y290" s="26"/>
      <c r="Z290" s="26"/>
    </row>
    <row r="291" hidden="1" customHeight="1" spans="1:26">
      <c r="A291" s="27">
        <v>447</v>
      </c>
      <c r="B291" s="27">
        <v>19</v>
      </c>
      <c r="C291" s="27" t="s">
        <v>796</v>
      </c>
      <c r="D291" s="27" t="s">
        <v>1721</v>
      </c>
      <c r="E291" s="27" t="s">
        <v>2889</v>
      </c>
      <c r="F291" s="27" t="str">
        <f t="shared" si="0"/>
        <v>Temporal Latin Origin</v>
      </c>
      <c r="G291" s="27">
        <f t="shared" si="1"/>
        <v>8</v>
      </c>
      <c r="H291" s="27" t="s">
        <v>3209</v>
      </c>
      <c r="I291" s="27"/>
      <c r="J291" s="27"/>
      <c r="K291" s="27"/>
      <c r="L291" s="27" t="str">
        <f t="shared" si="2"/>
        <v>D</v>
      </c>
      <c r="M291" s="27" t="str">
        <f>IFERROR(__xludf.DUMMYFUNCTION("GOOGLETRANSLATE(C291,""EN"",""KN"")"),"ವಿಚ್ಛೇದನ ಪಡೆದಿದ್ದಾರೆ")</f>
        <v>ವಿಚ್ಛೇದನ ಪಡೆದಿದ್ದಾರೆ</v>
      </c>
      <c r="N291" s="27">
        <f t="array" ref="N291">_xlfn.XLOOKUP(B291,'Sets Progress'!I:I,'Sets Progress'!I:I,"NOT YET")</f>
        <v>19</v>
      </c>
      <c r="O291" s="27" t="str">
        <f t="array" ref="O291">_xlfn.XLOOKUP(L:L,'Overall Progress'!L:L,'Overall Progress'!L:L,"NOT YET")</f>
        <v>NOT YET</v>
      </c>
      <c r="P291" s="27"/>
      <c r="Q291" s="27"/>
      <c r="R291" s="27"/>
      <c r="S291" s="27"/>
      <c r="T291" s="27"/>
      <c r="U291" s="27"/>
      <c r="V291" s="27"/>
      <c r="W291" s="27"/>
      <c r="X291" s="27"/>
      <c r="Y291" s="27"/>
      <c r="Z291" s="27"/>
    </row>
    <row r="292" hidden="1" customHeight="1" spans="1:26">
      <c r="A292" s="26">
        <v>545</v>
      </c>
      <c r="B292" s="26">
        <v>19</v>
      </c>
      <c r="C292" s="26" t="s">
        <v>891</v>
      </c>
      <c r="D292" s="26" t="s">
        <v>2716</v>
      </c>
      <c r="E292" s="26" t="s">
        <v>2889</v>
      </c>
      <c r="F292" s="26" t="str">
        <f t="shared" si="0"/>
        <v>Negative Traits Latin Origin</v>
      </c>
      <c r="G292" s="26">
        <f t="shared" si="1"/>
        <v>10</v>
      </c>
      <c r="H292" s="26" t="s">
        <v>3210</v>
      </c>
      <c r="I292" s="26"/>
      <c r="J292" s="26"/>
      <c r="K292" s="26"/>
      <c r="L292" s="26" t="str">
        <f t="shared" si="2"/>
        <v>E</v>
      </c>
      <c r="M292" s="26" t="str">
        <f>IFERROR(__xludf.DUMMYFUNCTION("GOOGLETRANSLATE(C292,""EN"",""KN"")"),"ಉಲ್ಬಣಗೊಳಿಸು")</f>
        <v>ಉಲ್ಬಣಗೊಳಿಸು</v>
      </c>
      <c r="N292" s="26">
        <f t="array" ref="N292">_xlfn.XLOOKUP(B292,'Sets Progress'!I:I,'Sets Progress'!I:I,"NOT YET")</f>
        <v>19</v>
      </c>
      <c r="O292" s="26" t="str">
        <f t="array" ref="O292">_xlfn.XLOOKUP(L:L,'Overall Progress'!L:L,'Overall Progress'!L:L,"NOT YET")</f>
        <v>NOT YET</v>
      </c>
      <c r="P292" s="26"/>
      <c r="Q292" s="26"/>
      <c r="R292" s="26"/>
      <c r="S292" s="26"/>
      <c r="T292" s="26"/>
      <c r="U292" s="26"/>
      <c r="V292" s="26"/>
      <c r="W292" s="26"/>
      <c r="X292" s="26"/>
      <c r="Y292" s="26"/>
      <c r="Z292" s="26"/>
    </row>
    <row r="293" hidden="1" customHeight="1" spans="1:26">
      <c r="A293" s="27">
        <v>550</v>
      </c>
      <c r="B293" s="27">
        <v>19</v>
      </c>
      <c r="C293" s="27" t="s">
        <v>896</v>
      </c>
      <c r="D293" s="27" t="s">
        <v>2716</v>
      </c>
      <c r="E293" s="27" t="s">
        <v>2889</v>
      </c>
      <c r="F293" s="27" t="str">
        <f t="shared" si="0"/>
        <v>Negative Traits Latin Origin</v>
      </c>
      <c r="G293" s="27">
        <f t="shared" si="1"/>
        <v>9</v>
      </c>
      <c r="H293" s="27" t="s">
        <v>3211</v>
      </c>
      <c r="I293" s="27"/>
      <c r="J293" s="27"/>
      <c r="K293" s="27"/>
      <c r="L293" s="27" t="str">
        <f t="shared" si="2"/>
        <v>E</v>
      </c>
      <c r="M293" s="27" t="str">
        <f>IFERROR(__xludf.DUMMYFUNCTION("GOOGLETRANSLATE(C293,""EN"",""KN"")"),"ಎಕ್ಕೊರಿಯೇಟ್")</f>
        <v>ಎಕ್ಕೊರಿಯೇಟ್</v>
      </c>
      <c r="N293" s="27">
        <f t="array" ref="N293">_xlfn.XLOOKUP(B293,'Sets Progress'!I:I,'Sets Progress'!I:I,"NOT YET")</f>
        <v>19</v>
      </c>
      <c r="O293" s="27" t="str">
        <f t="array" ref="O293">_xlfn.XLOOKUP(L:L,'Overall Progress'!L:L,'Overall Progress'!L:L,"NOT YET")</f>
        <v>NOT YET</v>
      </c>
      <c r="P293" s="27"/>
      <c r="Q293" s="27"/>
      <c r="R293" s="27"/>
      <c r="S293" s="27"/>
      <c r="T293" s="27"/>
      <c r="U293" s="27"/>
      <c r="V293" s="27"/>
      <c r="W293" s="27"/>
      <c r="X293" s="27"/>
      <c r="Y293" s="27"/>
      <c r="Z293" s="27"/>
    </row>
    <row r="294" hidden="1" customHeight="1" spans="1:26">
      <c r="A294" s="26">
        <v>570</v>
      </c>
      <c r="B294" s="26">
        <v>19</v>
      </c>
      <c r="C294" s="26" t="s">
        <v>915</v>
      </c>
      <c r="D294" s="26" t="s">
        <v>1721</v>
      </c>
      <c r="E294" s="26" t="s">
        <v>2889</v>
      </c>
      <c r="F294" s="26" t="str">
        <f t="shared" si="0"/>
        <v>Temporal Latin Origin</v>
      </c>
      <c r="G294" s="26">
        <f t="shared" si="1"/>
        <v>11</v>
      </c>
      <c r="H294" s="26" t="s">
        <v>3212</v>
      </c>
      <c r="I294" s="26"/>
      <c r="J294" s="26"/>
      <c r="K294" s="26"/>
      <c r="L294" s="26" t="str">
        <f t="shared" si="2"/>
        <v>E</v>
      </c>
      <c r="M294" s="26" t="str">
        <f>IFERROR(__xludf.DUMMYFUNCTION("GOOGLETRANSLATE(C294,""EN"",""KN"")"),"ಹೊರಹಾಕುವಿಕೆ")</f>
        <v>ಹೊರಹಾಕುವಿಕೆ</v>
      </c>
      <c r="N294" s="26">
        <f t="array" ref="N294">_xlfn.XLOOKUP(B294,'Sets Progress'!I:I,'Sets Progress'!I:I,"NOT YET")</f>
        <v>19</v>
      </c>
      <c r="O294" s="26" t="str">
        <f t="array" ref="O294">_xlfn.XLOOKUP(L:L,'Overall Progress'!L:L,'Overall Progress'!L:L,"NOT YET")</f>
        <v>NOT YET</v>
      </c>
      <c r="P294" s="26"/>
      <c r="Q294" s="26"/>
      <c r="R294" s="26"/>
      <c r="S294" s="26"/>
      <c r="T294" s="26"/>
      <c r="U294" s="26"/>
      <c r="V294" s="26"/>
      <c r="W294" s="26"/>
      <c r="X294" s="26"/>
      <c r="Y294" s="26"/>
      <c r="Z294" s="26"/>
    </row>
    <row r="295" hidden="1" customHeight="1" spans="1:26">
      <c r="A295" s="27">
        <v>597</v>
      </c>
      <c r="B295" s="27">
        <v>19</v>
      </c>
      <c r="C295" s="27" t="s">
        <v>941</v>
      </c>
      <c r="D295" s="27" t="s">
        <v>2946</v>
      </c>
      <c r="E295" s="27" t="s">
        <v>2889</v>
      </c>
      <c r="F295" s="27" t="str">
        <f t="shared" si="0"/>
        <v>Emotional Latin Origin</v>
      </c>
      <c r="G295" s="27">
        <f t="shared" si="1"/>
        <v>6</v>
      </c>
      <c r="H295" s="27" t="s">
        <v>3213</v>
      </c>
      <c r="I295" s="27"/>
      <c r="J295" s="27"/>
      <c r="K295" s="27"/>
      <c r="L295" s="27" t="str">
        <f t="shared" si="2"/>
        <v>F</v>
      </c>
      <c r="M295" s="27" t="str">
        <f>IFERROR(__xludf.DUMMYFUNCTION("GOOGLETRANSLATE(C295,""EN"",""KN"")"),"ಉತ್ಸಾಹ")</f>
        <v>ಉತ್ಸಾಹ</v>
      </c>
      <c r="N295" s="27">
        <f t="array" ref="N295">_xlfn.XLOOKUP(B295,'Sets Progress'!I:I,'Sets Progress'!I:I,"NOT YET")</f>
        <v>19</v>
      </c>
      <c r="O295" s="27" t="str">
        <f t="array" ref="O295">_xlfn.XLOOKUP(L:L,'Overall Progress'!L:L,'Overall Progress'!L:L,"NOT YET")</f>
        <v>NOT YET</v>
      </c>
      <c r="P295" s="27"/>
      <c r="Q295" s="27"/>
      <c r="R295" s="27"/>
      <c r="S295" s="27"/>
      <c r="T295" s="27"/>
      <c r="U295" s="27"/>
      <c r="V295" s="27"/>
      <c r="W295" s="27"/>
      <c r="X295" s="27"/>
      <c r="Y295" s="27"/>
      <c r="Z295" s="27"/>
    </row>
    <row r="296" hidden="1" customHeight="1" spans="1:26">
      <c r="A296" s="26">
        <v>654</v>
      </c>
      <c r="B296" s="26">
        <v>19</v>
      </c>
      <c r="C296" s="26" t="s">
        <v>997</v>
      </c>
      <c r="D296" s="26" t="s">
        <v>3003</v>
      </c>
      <c r="E296" s="26" t="s">
        <v>2969</v>
      </c>
      <c r="F296" s="26" t="str">
        <f t="shared" si="0"/>
        <v>Linguistic Old Norse Origin</v>
      </c>
      <c r="G296" s="26">
        <f t="shared" si="1"/>
        <v>4</v>
      </c>
      <c r="H296" s="26" t="s">
        <v>3214</v>
      </c>
      <c r="I296" s="26"/>
      <c r="J296" s="26"/>
      <c r="K296" s="26"/>
      <c r="L296" s="26" t="str">
        <f t="shared" si="2"/>
        <v>G</v>
      </c>
      <c r="M296" s="26" t="str">
        <f>IFERROR(__xludf.DUMMYFUNCTION("GOOGLETRANSLATE(C296,""EN"",""KN"")"),"ಗ್ಲಿಬ್")</f>
        <v>ಗ್ಲಿಬ್</v>
      </c>
      <c r="N296" s="26">
        <f t="array" ref="N296">_xlfn.XLOOKUP(B296,'Sets Progress'!I:I,'Sets Progress'!I:I,"NOT YET")</f>
        <v>19</v>
      </c>
      <c r="O296" s="26" t="str">
        <f t="array" ref="O296">_xlfn.XLOOKUP(L:L,'Overall Progress'!L:L,'Overall Progress'!L:L,"NOT YET")</f>
        <v>NOT YET</v>
      </c>
      <c r="P296" s="26"/>
      <c r="Q296" s="26"/>
      <c r="R296" s="26"/>
      <c r="S296" s="26"/>
      <c r="T296" s="26"/>
      <c r="U296" s="26"/>
      <c r="V296" s="26"/>
      <c r="W296" s="26"/>
      <c r="X296" s="26"/>
      <c r="Y296" s="26"/>
      <c r="Z296" s="26"/>
    </row>
    <row r="297" hidden="1" customHeight="1" spans="1:26">
      <c r="A297" s="27">
        <v>689</v>
      </c>
      <c r="B297" s="27">
        <v>19</v>
      </c>
      <c r="C297" s="27" t="s">
        <v>1031</v>
      </c>
      <c r="D297" s="27" t="s">
        <v>2946</v>
      </c>
      <c r="E297" s="27" t="s">
        <v>2889</v>
      </c>
      <c r="F297" s="27" t="str">
        <f t="shared" si="0"/>
        <v>Emotional Latin Origin</v>
      </c>
      <c r="G297" s="27">
        <f t="shared" si="1"/>
        <v>10</v>
      </c>
      <c r="H297" s="27" t="s">
        <v>3215</v>
      </c>
      <c r="I297" s="27"/>
      <c r="J297" s="27"/>
      <c r="K297" s="27"/>
      <c r="L297" s="27" t="str">
        <f t="shared" si="2"/>
        <v>H</v>
      </c>
      <c r="M297" s="27" t="str">
        <f>IFERROR(__xludf.DUMMYFUNCTION("GOOGLETRANSLATE(C297,""EN"",""KN"")"),"ಐತಿಹಾಸಿಕ")</f>
        <v>ಐತಿಹಾಸಿಕ</v>
      </c>
      <c r="N297" s="27">
        <f t="array" ref="N297">_xlfn.XLOOKUP(B297,'Sets Progress'!I:I,'Sets Progress'!I:I,"NOT YET")</f>
        <v>19</v>
      </c>
      <c r="O297" s="27" t="str">
        <f t="array" ref="O297">_xlfn.XLOOKUP(L:L,'Overall Progress'!L:L,'Overall Progress'!L:L,"NOT YET")</f>
        <v>NOT YET</v>
      </c>
      <c r="P297" s="27"/>
      <c r="Q297" s="27"/>
      <c r="R297" s="27"/>
      <c r="S297" s="27"/>
      <c r="T297" s="27"/>
      <c r="U297" s="27"/>
      <c r="V297" s="27"/>
      <c r="W297" s="27"/>
      <c r="X297" s="27"/>
      <c r="Y297" s="27"/>
      <c r="Z297" s="27"/>
    </row>
    <row r="298" hidden="1" customHeight="1" spans="1:26">
      <c r="A298" s="26">
        <v>718</v>
      </c>
      <c r="B298" s="26">
        <v>19</v>
      </c>
      <c r="C298" s="26" t="s">
        <v>1060</v>
      </c>
      <c r="D298" s="26" t="s">
        <v>1721</v>
      </c>
      <c r="E298" s="26" t="s">
        <v>2889</v>
      </c>
      <c r="F298" s="26" t="str">
        <f t="shared" si="0"/>
        <v>Temporal Latin Origin</v>
      </c>
      <c r="G298" s="26">
        <f t="shared" si="1"/>
        <v>9</v>
      </c>
      <c r="H298" s="26" t="s">
        <v>3216</v>
      </c>
      <c r="I298" s="26"/>
      <c r="J298" s="26"/>
      <c r="K298" s="26"/>
      <c r="L298" s="26" t="str">
        <f t="shared" si="2"/>
        <v>I</v>
      </c>
      <c r="M298" s="26" t="str">
        <f>IFERROR(__xludf.DUMMYFUNCTION("GOOGLETRANSLATE(C298,""EN"",""KN"")"),"ನಿಷ್ಪಕ್ಷಪಾತ")</f>
        <v>ನಿಷ್ಪಕ್ಷಪಾತ</v>
      </c>
      <c r="N298" s="26">
        <f t="array" ref="N298">_xlfn.XLOOKUP(B298,'Sets Progress'!I:I,'Sets Progress'!I:I,"NOT YET")</f>
        <v>19</v>
      </c>
      <c r="O298" s="26" t="str">
        <f t="array" ref="O298">_xlfn.XLOOKUP(L:L,'Overall Progress'!L:L,'Overall Progress'!L:L,"NOT YET")</f>
        <v>NOT YET</v>
      </c>
      <c r="P298" s="26"/>
      <c r="Q298" s="26"/>
      <c r="R298" s="26"/>
      <c r="S298" s="26"/>
      <c r="T298" s="26"/>
      <c r="U298" s="26"/>
      <c r="V298" s="26"/>
      <c r="W298" s="26"/>
      <c r="X298" s="26"/>
      <c r="Y298" s="26"/>
      <c r="Z298" s="26"/>
    </row>
    <row r="299" hidden="1" customHeight="1" spans="1:26">
      <c r="A299" s="27">
        <v>801</v>
      </c>
      <c r="B299" s="27">
        <v>19</v>
      </c>
      <c r="C299" s="27" t="s">
        <v>1141</v>
      </c>
      <c r="D299" s="27" t="s">
        <v>1721</v>
      </c>
      <c r="E299" s="27" t="s">
        <v>2889</v>
      </c>
      <c r="F299" s="27" t="str">
        <f t="shared" si="0"/>
        <v>Temporal Latin Origin</v>
      </c>
      <c r="G299" s="27">
        <f t="shared" si="1"/>
        <v>9</v>
      </c>
      <c r="H299" s="27" t="s">
        <v>3217</v>
      </c>
      <c r="I299" s="27"/>
      <c r="J299" s="27"/>
      <c r="K299" s="27"/>
      <c r="L299" s="27" t="str">
        <f t="shared" si="2"/>
        <v>I</v>
      </c>
      <c r="M299" s="27" t="str">
        <f>IFERROR(__xludf.DUMMYFUNCTION("GOOGLETRANSLATE(C299,""EN"",""KN"")"),"ತಡೆಹಿಡಿಯಿರಿ")</f>
        <v>ತಡೆಹಿಡಿಯಿರಿ</v>
      </c>
      <c r="N299" s="27">
        <f t="array" ref="N299">_xlfn.XLOOKUP(B299,'Sets Progress'!I:I,'Sets Progress'!I:I,"NOT YET")</f>
        <v>19</v>
      </c>
      <c r="O299" s="27" t="str">
        <f t="array" ref="O299">_xlfn.XLOOKUP(L:L,'Overall Progress'!L:L,'Overall Progress'!L:L,"NOT YET")</f>
        <v>NOT YET</v>
      </c>
      <c r="P299" s="27"/>
      <c r="Q299" s="27"/>
      <c r="R299" s="27"/>
      <c r="S299" s="27"/>
      <c r="T299" s="27"/>
      <c r="U299" s="27"/>
      <c r="V299" s="27"/>
      <c r="W299" s="27"/>
      <c r="X299" s="27"/>
      <c r="Y299" s="27"/>
      <c r="Z299" s="27"/>
    </row>
    <row r="300" hidden="1" customHeight="1" spans="1:26">
      <c r="A300" s="26">
        <v>816</v>
      </c>
      <c r="B300" s="26">
        <v>19</v>
      </c>
      <c r="C300" s="26" t="s">
        <v>1156</v>
      </c>
      <c r="D300" s="26" t="s">
        <v>1721</v>
      </c>
      <c r="E300" s="26" t="s">
        <v>2889</v>
      </c>
      <c r="F300" s="26" t="str">
        <f t="shared" si="0"/>
        <v>Temporal Latin Origin</v>
      </c>
      <c r="G300" s="26">
        <f t="shared" si="1"/>
        <v>8</v>
      </c>
      <c r="H300" s="26" t="s">
        <v>3218</v>
      </c>
      <c r="I300" s="26"/>
      <c r="J300" s="26"/>
      <c r="K300" s="26"/>
      <c r="L300" s="26" t="str">
        <f t="shared" si="2"/>
        <v>I</v>
      </c>
      <c r="M300" s="26" t="str">
        <f>IFERROR(__xludf.DUMMYFUNCTION("GOOGLETRANSLATE(C300,""EN"",""KN"")"),"ಮುಳುಗಿಸು")</f>
        <v>ಮುಳುಗಿಸು</v>
      </c>
      <c r="N300" s="26">
        <f t="array" ref="N300">_xlfn.XLOOKUP(B300,'Sets Progress'!I:I,'Sets Progress'!I:I,"NOT YET")</f>
        <v>19</v>
      </c>
      <c r="O300" s="26" t="str">
        <f t="array" ref="O300">_xlfn.XLOOKUP(L:L,'Overall Progress'!L:L,'Overall Progress'!L:L,"NOT YET")</f>
        <v>NOT YET</v>
      </c>
      <c r="P300" s="26"/>
      <c r="Q300" s="26"/>
      <c r="R300" s="26"/>
      <c r="S300" s="26"/>
      <c r="T300" s="26"/>
      <c r="U300" s="26"/>
      <c r="V300" s="26"/>
      <c r="W300" s="26"/>
      <c r="X300" s="26"/>
      <c r="Y300" s="26"/>
      <c r="Z300" s="26"/>
    </row>
    <row r="301" hidden="1" customHeight="1" spans="1:26">
      <c r="A301" s="27">
        <v>894</v>
      </c>
      <c r="B301" s="27">
        <v>19</v>
      </c>
      <c r="C301" s="27" t="s">
        <v>1231</v>
      </c>
      <c r="D301" s="27" t="s">
        <v>1721</v>
      </c>
      <c r="E301" s="27" t="s">
        <v>2911</v>
      </c>
      <c r="F301" s="27" t="str">
        <f t="shared" si="0"/>
        <v>Temporal French Origin</v>
      </c>
      <c r="G301" s="27">
        <f t="shared" si="1"/>
        <v>8</v>
      </c>
      <c r="H301" s="27" t="s">
        <v>3219</v>
      </c>
      <c r="I301" s="27"/>
      <c r="J301" s="27"/>
      <c r="K301" s="27"/>
      <c r="L301" s="27" t="str">
        <f t="shared" si="2"/>
        <v>M</v>
      </c>
      <c r="M301" s="27" t="str">
        <f>IFERROR(__xludf.DUMMYFUNCTION("GOOGLETRANSLATE(C301,""EN"",""KN"")"),"ಮಾರ್ಟಿನೆಟ್")</f>
        <v>ಮಾರ್ಟಿನೆಟ್</v>
      </c>
      <c r="N301" s="27">
        <f t="array" ref="N301">_xlfn.XLOOKUP(B301,'Sets Progress'!I:I,'Sets Progress'!I:I,"NOT YET")</f>
        <v>19</v>
      </c>
      <c r="O301" s="27" t="str">
        <f t="array" ref="O301">_xlfn.XLOOKUP(L:L,'Overall Progress'!L:L,'Overall Progress'!L:L,"NOT YET")</f>
        <v>NOT YET</v>
      </c>
      <c r="P301" s="27"/>
      <c r="Q301" s="27"/>
      <c r="R301" s="27"/>
      <c r="S301" s="27"/>
      <c r="T301" s="27"/>
      <c r="U301" s="27"/>
      <c r="V301" s="27"/>
      <c r="W301" s="27"/>
      <c r="X301" s="27"/>
      <c r="Y301" s="27"/>
      <c r="Z301" s="27"/>
    </row>
    <row r="302" hidden="1" customHeight="1" spans="1:26">
      <c r="A302" s="26">
        <v>971</v>
      </c>
      <c r="B302" s="26">
        <v>19</v>
      </c>
      <c r="C302" s="26" t="s">
        <v>1307</v>
      </c>
      <c r="D302" s="26" t="s">
        <v>2716</v>
      </c>
      <c r="E302" s="26" t="s">
        <v>2889</v>
      </c>
      <c r="F302" s="26" t="str">
        <f t="shared" si="0"/>
        <v>Negative Traits Latin Origin</v>
      </c>
      <c r="G302" s="26">
        <f t="shared" si="1"/>
        <v>9</v>
      </c>
      <c r="H302" s="26" t="s">
        <v>3220</v>
      </c>
      <c r="I302" s="26"/>
      <c r="J302" s="26"/>
      <c r="K302" s="26"/>
      <c r="L302" s="26" t="str">
        <f t="shared" si="2"/>
        <v>O</v>
      </c>
      <c r="M302" s="26" t="str">
        <f>IFERROR(__xludf.DUMMYFUNCTION("GOOGLETRANSLATE(C302,""EN"",""KN"")"),"ಮರೆವಿನ")</f>
        <v>ಮರೆವಿನ</v>
      </c>
      <c r="N302" s="26">
        <f t="array" ref="N302">_xlfn.XLOOKUP(B302,'Sets Progress'!I:I,'Sets Progress'!I:I,"NOT YET")</f>
        <v>19</v>
      </c>
      <c r="O302" s="26" t="str">
        <f t="array" ref="O302">_xlfn.XLOOKUP(L:L,'Overall Progress'!L:L,'Overall Progress'!L:L,"NOT YET")</f>
        <v>NOT YET</v>
      </c>
      <c r="P302" s="26"/>
      <c r="Q302" s="26"/>
      <c r="R302" s="26"/>
      <c r="S302" s="26"/>
      <c r="T302" s="26"/>
      <c r="U302" s="26"/>
      <c r="V302" s="26"/>
      <c r="W302" s="26"/>
      <c r="X302" s="26"/>
      <c r="Y302" s="26"/>
      <c r="Z302" s="26"/>
    </row>
    <row r="303" hidden="1" customHeight="1" spans="1:26">
      <c r="A303" s="27">
        <v>1139</v>
      </c>
      <c r="B303" s="27">
        <v>19</v>
      </c>
      <c r="C303" s="27" t="s">
        <v>1471</v>
      </c>
      <c r="D303" s="27" t="s">
        <v>2716</v>
      </c>
      <c r="E303" s="27" t="s">
        <v>2889</v>
      </c>
      <c r="F303" s="27" t="str">
        <f t="shared" si="0"/>
        <v>Negative Traits Latin Origin</v>
      </c>
      <c r="G303" s="27">
        <f t="shared" si="1"/>
        <v>7</v>
      </c>
      <c r="H303" s="27" t="s">
        <v>3221</v>
      </c>
      <c r="I303" s="27"/>
      <c r="J303" s="27"/>
      <c r="K303" s="27"/>
      <c r="L303" s="27" t="str">
        <f t="shared" si="2"/>
        <v>P</v>
      </c>
      <c r="M303" s="27" t="str">
        <f>IFERROR(__xludf.DUMMYFUNCTION("GOOGLETRANSLATE(C303,""EN"",""KN"")"),"ಪ್ರಾಸಾಯಿಕ್")</f>
        <v>ಪ್ರಾಸಾಯಿಕ್</v>
      </c>
      <c r="N303" s="27">
        <f t="array" ref="N303">_xlfn.XLOOKUP(B303,'Sets Progress'!I:I,'Sets Progress'!I:I,"NOT YET")</f>
        <v>19</v>
      </c>
      <c r="O303" s="27" t="str">
        <f t="array" ref="O303">_xlfn.XLOOKUP(L:L,'Overall Progress'!L:L,'Overall Progress'!L:L,"NOT YET")</f>
        <v>NOT YET</v>
      </c>
      <c r="P303" s="27"/>
      <c r="Q303" s="27"/>
      <c r="R303" s="27"/>
      <c r="S303" s="27"/>
      <c r="T303" s="27"/>
      <c r="U303" s="27"/>
      <c r="V303" s="27"/>
      <c r="W303" s="27"/>
      <c r="X303" s="27"/>
      <c r="Y303" s="27"/>
      <c r="Z303" s="27"/>
    </row>
    <row r="304" hidden="1" customHeight="1" spans="1:26">
      <c r="A304" s="26">
        <v>1254</v>
      </c>
      <c r="B304" s="26">
        <v>19</v>
      </c>
      <c r="C304" s="26" t="s">
        <v>1585</v>
      </c>
      <c r="D304" s="26" t="s">
        <v>2716</v>
      </c>
      <c r="E304" s="26" t="s">
        <v>2893</v>
      </c>
      <c r="F304" s="26" t="str">
        <f t="shared" si="0"/>
        <v>Negative Traits Greek Origin</v>
      </c>
      <c r="G304" s="26">
        <f t="shared" si="1"/>
        <v>6</v>
      </c>
      <c r="H304" s="26" t="s">
        <v>3222</v>
      </c>
      <c r="I304" s="26"/>
      <c r="J304" s="26"/>
      <c r="K304" s="26"/>
      <c r="L304" s="26" t="str">
        <f t="shared" si="2"/>
        <v>S</v>
      </c>
      <c r="M304" s="26" t="str">
        <f>IFERROR(__xludf.DUMMYFUNCTION("GOOGLETRANSLATE(C304,""EN"",""KN"")"),"ಸ್ಕಿಸಮ್")</f>
        <v>ಸ್ಕಿಸಮ್</v>
      </c>
      <c r="N304" s="26">
        <f t="array" ref="N304">_xlfn.XLOOKUP(B304,'Sets Progress'!I:I,'Sets Progress'!I:I,"NOT YET")</f>
        <v>19</v>
      </c>
      <c r="O304" s="26" t="str">
        <f t="array" ref="O304">_xlfn.XLOOKUP(L:L,'Overall Progress'!L:L,'Overall Progress'!L:L,"NOT YET")</f>
        <v>NOT YET</v>
      </c>
      <c r="P304" s="26"/>
      <c r="Q304" s="26"/>
      <c r="R304" s="26"/>
      <c r="S304" s="26"/>
      <c r="T304" s="26"/>
      <c r="U304" s="26"/>
      <c r="V304" s="26"/>
      <c r="W304" s="26"/>
      <c r="X304" s="26"/>
      <c r="Y304" s="26"/>
      <c r="Z304" s="26"/>
    </row>
    <row r="305" hidden="1" customHeight="1" spans="1:26">
      <c r="A305" s="27">
        <v>1279</v>
      </c>
      <c r="B305" s="27">
        <v>19</v>
      </c>
      <c r="C305" s="27" t="s">
        <v>1610</v>
      </c>
      <c r="D305" s="27" t="s">
        <v>2717</v>
      </c>
      <c r="E305" s="27" t="s">
        <v>2908</v>
      </c>
      <c r="F305" s="27" t="str">
        <f t="shared" si="0"/>
        <v>Positive Traits Old English Origin</v>
      </c>
      <c r="G305" s="27">
        <f t="shared" si="1"/>
        <v>6</v>
      </c>
      <c r="H305" s="27" t="s">
        <v>3223</v>
      </c>
      <c r="I305" s="27"/>
      <c r="J305" s="27"/>
      <c r="K305" s="27"/>
      <c r="L305" s="27" t="str">
        <f t="shared" si="2"/>
        <v>S</v>
      </c>
      <c r="M305" s="27" t="str">
        <f>IFERROR(__xludf.DUMMYFUNCTION("GOOGLETRANSLATE(C305,""EN"",""KN"")"),"ಚಾಣಾಕ್ಷ")</f>
        <v>ಚಾಣಾಕ್ಷ</v>
      </c>
      <c r="N305" s="27">
        <f t="array" ref="N305">_xlfn.XLOOKUP(B305,'Sets Progress'!I:I,'Sets Progress'!I:I,"NOT YET")</f>
        <v>19</v>
      </c>
      <c r="O305" s="27" t="str">
        <f t="array" ref="O305">_xlfn.XLOOKUP(L:L,'Overall Progress'!L:L,'Overall Progress'!L:L,"NOT YET")</f>
        <v>NOT YET</v>
      </c>
      <c r="P305" s="27"/>
      <c r="Q305" s="27"/>
      <c r="R305" s="27"/>
      <c r="S305" s="27"/>
      <c r="T305" s="27"/>
      <c r="U305" s="27"/>
      <c r="V305" s="27"/>
      <c r="W305" s="27"/>
      <c r="X305" s="27"/>
      <c r="Y305" s="27"/>
      <c r="Z305" s="27"/>
    </row>
    <row r="306" hidden="1" customHeight="1" spans="1:26">
      <c r="A306" s="26">
        <v>1308</v>
      </c>
      <c r="B306" s="26">
        <v>19</v>
      </c>
      <c r="C306" s="26" t="s">
        <v>1639</v>
      </c>
      <c r="D306" s="26" t="s">
        <v>2717</v>
      </c>
      <c r="E306" s="26" t="s">
        <v>2889</v>
      </c>
      <c r="F306" s="26" t="str">
        <f t="shared" si="0"/>
        <v>Positive Traits Latin Origin</v>
      </c>
      <c r="G306" s="26">
        <f t="shared" si="1"/>
        <v>11</v>
      </c>
      <c r="H306" s="26" t="s">
        <v>3224</v>
      </c>
      <c r="I306" s="26"/>
      <c r="J306" s="26"/>
      <c r="K306" s="26"/>
      <c r="L306" s="26" t="str">
        <f t="shared" si="2"/>
        <v>S</v>
      </c>
      <c r="M306" s="26" t="str">
        <f>IFERROR(__xludf.DUMMYFUNCTION("GOOGLETRANSLATE(C306,""EN"",""KN"")"),"ಸಾರ್ವಭೌಮತ್ವ")</f>
        <v>ಸಾರ್ವಭೌಮತ್ವ</v>
      </c>
      <c r="N306" s="26">
        <f t="array" ref="N306">_xlfn.XLOOKUP(B306,'Sets Progress'!I:I,'Sets Progress'!I:I,"NOT YET")</f>
        <v>19</v>
      </c>
      <c r="O306" s="26" t="str">
        <f t="array" ref="O306">_xlfn.XLOOKUP(L:L,'Overall Progress'!L:L,'Overall Progress'!L:L,"NOT YET")</f>
        <v>NOT YET</v>
      </c>
      <c r="P306" s="26"/>
      <c r="Q306" s="26"/>
      <c r="R306" s="26"/>
      <c r="S306" s="26"/>
      <c r="T306" s="26"/>
      <c r="U306" s="26"/>
      <c r="V306" s="26"/>
      <c r="W306" s="26"/>
      <c r="X306" s="26"/>
      <c r="Y306" s="26"/>
      <c r="Z306" s="26"/>
    </row>
    <row r="307" hidden="1" customHeight="1" spans="1:26">
      <c r="A307" s="27">
        <v>1410</v>
      </c>
      <c r="B307" s="27">
        <v>19</v>
      </c>
      <c r="C307" s="27" t="s">
        <v>1741</v>
      </c>
      <c r="D307" s="27" t="s">
        <v>1721</v>
      </c>
      <c r="E307" s="27" t="s">
        <v>2908</v>
      </c>
      <c r="F307" s="27" t="str">
        <f t="shared" si="0"/>
        <v>Temporal Old English Origin</v>
      </c>
      <c r="G307" s="27">
        <f t="shared" si="1"/>
        <v>4</v>
      </c>
      <c r="H307" s="27" t="s">
        <v>3225</v>
      </c>
      <c r="I307" s="27"/>
      <c r="J307" s="27"/>
      <c r="K307" s="27"/>
      <c r="L307" s="27" t="str">
        <f t="shared" si="2"/>
        <v>T</v>
      </c>
      <c r="M307" s="27" t="str">
        <f>IFERROR(__xludf.DUMMYFUNCTION("GOOGLETRANSLATE(C307,""EN"",""KN"")"),"ಟೋಲ್")</f>
        <v>ಟೋಲ್</v>
      </c>
      <c r="N307" s="27">
        <f t="array" ref="N307">_xlfn.XLOOKUP(B307,'Sets Progress'!I:I,'Sets Progress'!I:I,"NOT YET")</f>
        <v>19</v>
      </c>
      <c r="O307" s="27" t="str">
        <f t="array" ref="O307">_xlfn.XLOOKUP(L:L,'Overall Progress'!L:L,'Overall Progress'!L:L,"NOT YET")</f>
        <v>NOT YET</v>
      </c>
      <c r="P307" s="27"/>
      <c r="Q307" s="27"/>
      <c r="R307" s="27"/>
      <c r="S307" s="27"/>
      <c r="T307" s="27"/>
      <c r="U307" s="27"/>
      <c r="V307" s="27"/>
      <c r="W307" s="27"/>
      <c r="X307" s="27"/>
      <c r="Y307" s="27"/>
      <c r="Z307" s="27"/>
    </row>
    <row r="308" hidden="1" customHeight="1" spans="1:26">
      <c r="A308" s="26">
        <v>238</v>
      </c>
      <c r="B308" s="26">
        <v>20</v>
      </c>
      <c r="C308" s="26" t="s">
        <v>589</v>
      </c>
      <c r="D308" s="26" t="s">
        <v>2892</v>
      </c>
      <c r="E308" s="26" t="s">
        <v>2889</v>
      </c>
      <c r="F308" s="26" t="str">
        <f t="shared" si="0"/>
        <v>Spatial Latin Origin</v>
      </c>
      <c r="G308" s="26">
        <f t="shared" si="1"/>
        <v>11</v>
      </c>
      <c r="H308" s="26" t="s">
        <v>3226</v>
      </c>
      <c r="I308" s="26"/>
      <c r="J308" s="26"/>
      <c r="K308" s="26"/>
      <c r="L308" s="26" t="str">
        <f t="shared" si="2"/>
        <v>C</v>
      </c>
      <c r="M308" s="26" t="str">
        <f>IFERROR(__xludf.DUMMYFUNCTION("GOOGLETRANSLATE(C308,""EN"",""KN"")"),"ಕುಟಿಲ")</f>
        <v>ಕುಟಿಲ</v>
      </c>
      <c r="N308" s="26">
        <f t="array" ref="N308">_xlfn.XLOOKUP(B308,'Sets Progress'!I:I,'Sets Progress'!I:I,"NOT YET")</f>
        <v>20</v>
      </c>
      <c r="O308" s="26" t="str">
        <f t="array" ref="O308">_xlfn.XLOOKUP(L:L,'Overall Progress'!L:L,'Overall Progress'!L:L,"NOT YET")</f>
        <v>NOT YET</v>
      </c>
      <c r="P308" s="26"/>
      <c r="Q308" s="26"/>
      <c r="R308" s="26"/>
      <c r="S308" s="26"/>
      <c r="T308" s="26"/>
      <c r="U308" s="26"/>
      <c r="V308" s="26"/>
      <c r="W308" s="26"/>
      <c r="X308" s="26"/>
      <c r="Y308" s="26"/>
      <c r="Z308" s="26"/>
    </row>
    <row r="309" hidden="1" customHeight="1" spans="1:26">
      <c r="A309" s="27">
        <v>261</v>
      </c>
      <c r="B309" s="27">
        <v>20</v>
      </c>
      <c r="C309" s="27" t="s">
        <v>614</v>
      </c>
      <c r="D309" s="27" t="s">
        <v>1721</v>
      </c>
      <c r="E309" s="27" t="s">
        <v>2889</v>
      </c>
      <c r="F309" s="27" t="str">
        <f t="shared" si="0"/>
        <v>Temporal Latin Origin</v>
      </c>
      <c r="G309" s="27">
        <f t="shared" si="1"/>
        <v>6</v>
      </c>
      <c r="H309" s="27" t="s">
        <v>3227</v>
      </c>
      <c r="I309" s="27"/>
      <c r="J309" s="27"/>
      <c r="K309" s="27"/>
      <c r="L309" s="27" t="str">
        <f t="shared" si="2"/>
        <v>C</v>
      </c>
      <c r="M309" s="27" t="str">
        <f>IFERROR(__xludf.DUMMYFUNCTION("GOOGLETRANSLATE(C309,""EN"",""KN"")"),"ಒತ್ತಾಯ")</f>
        <v>ಒತ್ತಾಯ</v>
      </c>
      <c r="N309" s="27">
        <f t="array" ref="N309">_xlfn.XLOOKUP(B309,'Sets Progress'!I:I,'Sets Progress'!I:I,"NOT YET")</f>
        <v>20</v>
      </c>
      <c r="O309" s="27" t="str">
        <f t="array" ref="O309">_xlfn.XLOOKUP(L:L,'Overall Progress'!L:L,'Overall Progress'!L:L,"NOT YET")</f>
        <v>NOT YET</v>
      </c>
      <c r="P309" s="27"/>
      <c r="Q309" s="27"/>
      <c r="R309" s="27"/>
      <c r="S309" s="27"/>
      <c r="T309" s="27"/>
      <c r="U309" s="27"/>
      <c r="V309" s="27"/>
      <c r="W309" s="27"/>
      <c r="X309" s="27"/>
      <c r="Y309" s="27"/>
      <c r="Z309" s="27"/>
    </row>
    <row r="310" hidden="1" customHeight="1" spans="1:26">
      <c r="A310" s="26">
        <v>284</v>
      </c>
      <c r="B310" s="26">
        <v>20</v>
      </c>
      <c r="C310" s="26" t="s">
        <v>637</v>
      </c>
      <c r="D310" s="26" t="s">
        <v>2928</v>
      </c>
      <c r="E310" s="26" t="s">
        <v>2889</v>
      </c>
      <c r="F310" s="26" t="str">
        <f t="shared" si="0"/>
        <v>Philosophical Latin Origin</v>
      </c>
      <c r="G310" s="26">
        <f t="shared" si="1"/>
        <v>11</v>
      </c>
      <c r="H310" s="26" t="s">
        <v>3228</v>
      </c>
      <c r="I310" s="26"/>
      <c r="J310" s="26"/>
      <c r="K310" s="26"/>
      <c r="L310" s="26" t="str">
        <f t="shared" si="2"/>
        <v>C</v>
      </c>
      <c r="M310" s="26" t="str">
        <f>IFERROR(__xludf.DUMMYFUNCTION("GOOGLETRANSLATE(C310,""EN"",""KN"")"),"ಊಹೆಯ")</f>
        <v>ಊಹೆಯ</v>
      </c>
      <c r="N310" s="26">
        <f t="array" ref="N310">_xlfn.XLOOKUP(B310,'Sets Progress'!I:I,'Sets Progress'!I:I,"NOT YET")</f>
        <v>20</v>
      </c>
      <c r="O310" s="26" t="str">
        <f t="array" ref="O310">_xlfn.XLOOKUP(L:L,'Overall Progress'!L:L,'Overall Progress'!L:L,"NOT YET")</f>
        <v>NOT YET</v>
      </c>
      <c r="P310" s="26"/>
      <c r="Q310" s="26"/>
      <c r="R310" s="26"/>
      <c r="S310" s="26"/>
      <c r="T310" s="26"/>
      <c r="U310" s="26"/>
      <c r="V310" s="26"/>
      <c r="W310" s="26"/>
      <c r="X310" s="26"/>
      <c r="Y310" s="26"/>
      <c r="Z310" s="26"/>
    </row>
    <row r="311" hidden="1" customHeight="1" spans="1:26">
      <c r="A311" s="27">
        <v>342</v>
      </c>
      <c r="B311" s="27">
        <v>20</v>
      </c>
      <c r="C311" s="27" t="s">
        <v>692</v>
      </c>
      <c r="D311" s="27" t="s">
        <v>2946</v>
      </c>
      <c r="E311" s="27" t="s">
        <v>2896</v>
      </c>
      <c r="F311" s="27" t="str">
        <f t="shared" si="0"/>
        <v>Emotional Old French Origin</v>
      </c>
      <c r="G311" s="27">
        <f t="shared" si="1"/>
        <v>5</v>
      </c>
      <c r="H311" s="27" t="s">
        <v>3229</v>
      </c>
      <c r="I311" s="27"/>
      <c r="J311" s="27"/>
      <c r="K311" s="27"/>
      <c r="L311" s="27" t="str">
        <f t="shared" si="2"/>
        <v>D</v>
      </c>
      <c r="M311" s="27" t="str">
        <f>IFERROR(__xludf.DUMMYFUNCTION("GOOGLETRANSLATE(C311,""EN"",""KN"")"),"ಧೈರ್ಯ")</f>
        <v>ಧೈರ್ಯ</v>
      </c>
      <c r="N311" s="27">
        <f t="array" ref="N311">_xlfn.XLOOKUP(B311,'Sets Progress'!I:I,'Sets Progress'!I:I,"NOT YET")</f>
        <v>20</v>
      </c>
      <c r="O311" s="27" t="str">
        <f t="array" ref="O311">_xlfn.XLOOKUP(L:L,'Overall Progress'!L:L,'Overall Progress'!L:L,"NOT YET")</f>
        <v>NOT YET</v>
      </c>
      <c r="P311" s="27"/>
      <c r="Q311" s="27"/>
      <c r="R311" s="27"/>
      <c r="S311" s="27"/>
      <c r="T311" s="27"/>
      <c r="U311" s="27"/>
      <c r="V311" s="27"/>
      <c r="W311" s="27"/>
      <c r="X311" s="27"/>
      <c r="Y311" s="27"/>
      <c r="Z311" s="27"/>
    </row>
    <row r="312" hidden="1" customHeight="1" spans="1:26">
      <c r="A312" s="26">
        <v>352</v>
      </c>
      <c r="B312" s="26">
        <v>20</v>
      </c>
      <c r="C312" s="26" t="s">
        <v>702</v>
      </c>
      <c r="D312" s="26" t="s">
        <v>2716</v>
      </c>
      <c r="E312" s="26" t="s">
        <v>2889</v>
      </c>
      <c r="F312" s="26" t="str">
        <f t="shared" si="0"/>
        <v>Negative Traits Latin Origin</v>
      </c>
      <c r="G312" s="26">
        <f t="shared" si="1"/>
        <v>9</v>
      </c>
      <c r="H312" s="26" t="s">
        <v>3230</v>
      </c>
      <c r="I312" s="26"/>
      <c r="J312" s="26"/>
      <c r="K312" s="26"/>
      <c r="L312" s="26" t="str">
        <f t="shared" si="2"/>
        <v>D</v>
      </c>
      <c r="M312" s="26" t="str">
        <f>IFERROR(__xludf.DUMMYFUNCTION("GOOGLETRANSLATE(C312,""EN"",""KN"")"),"ಮೋಸಗೊಳಿಸುವ")</f>
        <v>ಮೋಸಗೊಳಿಸುವ</v>
      </c>
      <c r="N312" s="26">
        <f t="array" ref="N312">_xlfn.XLOOKUP(B312,'Sets Progress'!I:I,'Sets Progress'!I:I,"NOT YET")</f>
        <v>20</v>
      </c>
      <c r="O312" s="26" t="str">
        <f t="array" ref="O312">_xlfn.XLOOKUP(L:L,'Overall Progress'!L:L,'Overall Progress'!L:L,"NOT YET")</f>
        <v>NOT YET</v>
      </c>
      <c r="P312" s="26"/>
      <c r="Q312" s="26"/>
      <c r="R312" s="26"/>
      <c r="S312" s="26"/>
      <c r="T312" s="26"/>
      <c r="U312" s="26"/>
      <c r="V312" s="26"/>
      <c r="W312" s="26"/>
      <c r="X312" s="26"/>
      <c r="Y312" s="26"/>
      <c r="Z312" s="26"/>
    </row>
    <row r="313" hidden="1" customHeight="1" spans="1:26">
      <c r="A313" s="27">
        <v>361</v>
      </c>
      <c r="B313" s="27">
        <v>20</v>
      </c>
      <c r="C313" s="27" t="s">
        <v>711</v>
      </c>
      <c r="D313" s="27" t="s">
        <v>2716</v>
      </c>
      <c r="E313" s="27" t="s">
        <v>2896</v>
      </c>
      <c r="F313" s="27" t="str">
        <f t="shared" si="0"/>
        <v>Negative Traits Old French Origin</v>
      </c>
      <c r="G313" s="27">
        <f t="shared" si="1"/>
        <v>4</v>
      </c>
      <c r="H313" s="27" t="s">
        <v>3231</v>
      </c>
      <c r="I313" s="27"/>
      <c r="J313" s="27"/>
      <c r="K313" s="27"/>
      <c r="L313" s="27" t="str">
        <f t="shared" si="2"/>
        <v>D</v>
      </c>
      <c r="M313" s="27" t="str">
        <f>IFERROR(__xludf.DUMMYFUNCTION("GOOGLETRANSLATE(C313,""EN"",""KN"")"),"ವಿರೋಧಿಸು")</f>
        <v>ವಿರೋಧಿಸು</v>
      </c>
      <c r="N313" s="27">
        <f t="array" ref="N313">_xlfn.XLOOKUP(B313,'Sets Progress'!I:I,'Sets Progress'!I:I,"NOT YET")</f>
        <v>20</v>
      </c>
      <c r="O313" s="27" t="str">
        <f t="array" ref="O313">_xlfn.XLOOKUP(L:L,'Overall Progress'!L:L,'Overall Progress'!L:L,"NOT YET")</f>
        <v>NOT YET</v>
      </c>
      <c r="P313" s="27"/>
      <c r="Q313" s="27"/>
      <c r="R313" s="27"/>
      <c r="S313" s="27"/>
      <c r="T313" s="27"/>
      <c r="U313" s="27"/>
      <c r="V313" s="27"/>
      <c r="W313" s="27"/>
      <c r="X313" s="27"/>
      <c r="Y313" s="27"/>
      <c r="Z313" s="27"/>
    </row>
    <row r="314" hidden="1" customHeight="1" spans="1:26">
      <c r="A314" s="26">
        <v>369</v>
      </c>
      <c r="B314" s="26">
        <v>20</v>
      </c>
      <c r="C314" s="26" t="s">
        <v>719</v>
      </c>
      <c r="D314" s="26" t="s">
        <v>1721</v>
      </c>
      <c r="E314" s="26" t="s">
        <v>2889</v>
      </c>
      <c r="F314" s="26" t="str">
        <f t="shared" si="0"/>
        <v>Temporal Latin Origin</v>
      </c>
      <c r="G314" s="26">
        <f t="shared" si="1"/>
        <v>5</v>
      </c>
      <c r="H314" s="26" t="s">
        <v>3232</v>
      </c>
      <c r="I314" s="26"/>
      <c r="J314" s="26"/>
      <c r="K314" s="26"/>
      <c r="L314" s="26" t="str">
        <f t="shared" si="2"/>
        <v>D</v>
      </c>
      <c r="M314" s="26" t="str">
        <f>IFERROR(__xludf.DUMMYFUNCTION("GOOGLETRANSLATE(C314,""EN"",""KN"")"),"ಡೆಮುರ್")</f>
        <v>ಡೆಮುರ್</v>
      </c>
      <c r="N314" s="26">
        <f t="array" ref="N314">_xlfn.XLOOKUP(B314,'Sets Progress'!I:I,'Sets Progress'!I:I,"NOT YET")</f>
        <v>20</v>
      </c>
      <c r="O314" s="26" t="str">
        <f t="array" ref="O314">_xlfn.XLOOKUP(L:L,'Overall Progress'!L:L,'Overall Progress'!L:L,"NOT YET")</f>
        <v>NOT YET</v>
      </c>
      <c r="P314" s="26"/>
      <c r="Q314" s="26"/>
      <c r="R314" s="26"/>
      <c r="S314" s="26"/>
      <c r="T314" s="26"/>
      <c r="U314" s="26"/>
      <c r="V314" s="26"/>
      <c r="W314" s="26"/>
      <c r="X314" s="26"/>
      <c r="Y314" s="26"/>
      <c r="Z314" s="26"/>
    </row>
    <row r="315" hidden="1" customHeight="1" spans="1:26">
      <c r="A315" s="27">
        <v>396</v>
      </c>
      <c r="B315" s="27">
        <v>20</v>
      </c>
      <c r="C315" s="27" t="s">
        <v>117</v>
      </c>
      <c r="D315" s="27" t="s">
        <v>2928</v>
      </c>
      <c r="E315" s="27" t="s">
        <v>2893</v>
      </c>
      <c r="F315" s="27" t="str">
        <f t="shared" si="0"/>
        <v>Philosophical Greek Origin</v>
      </c>
      <c r="G315" s="27">
        <f t="shared" si="1"/>
        <v>8</v>
      </c>
      <c r="H315" s="27" t="s">
        <v>3233</v>
      </c>
      <c r="I315" s="27"/>
      <c r="J315" s="27"/>
      <c r="K315" s="27"/>
      <c r="L315" s="27" t="str">
        <f t="shared" si="2"/>
        <v>D</v>
      </c>
      <c r="M315" s="27" t="str">
        <f>IFERROR(__xludf.DUMMYFUNCTION("GOOGLETRANSLATE(C315,""EN"",""KN"")"),"ನೀತಿಬೋಧಕ")</f>
        <v>ನೀತಿಬೋಧಕ</v>
      </c>
      <c r="N315" s="27">
        <f t="array" ref="N315">_xlfn.XLOOKUP(B315,'Sets Progress'!I:I,'Sets Progress'!I:I,"NOT YET")</f>
        <v>20</v>
      </c>
      <c r="O315" s="27" t="str">
        <f t="array" ref="O315">_xlfn.XLOOKUP(L:L,'Overall Progress'!L:L,'Overall Progress'!L:L,"NOT YET")</f>
        <v>NOT YET</v>
      </c>
      <c r="P315" s="27"/>
      <c r="Q315" s="27"/>
      <c r="R315" s="27"/>
      <c r="S315" s="27"/>
      <c r="T315" s="27"/>
      <c r="U315" s="27"/>
      <c r="V315" s="27"/>
      <c r="W315" s="27"/>
      <c r="X315" s="27"/>
      <c r="Y315" s="27"/>
      <c r="Z315" s="27"/>
    </row>
    <row r="316" hidden="1" customHeight="1" spans="1:26">
      <c r="A316" s="26">
        <v>410</v>
      </c>
      <c r="B316" s="26">
        <v>20</v>
      </c>
      <c r="C316" s="26" t="s">
        <v>759</v>
      </c>
      <c r="D316" s="26" t="s">
        <v>3234</v>
      </c>
      <c r="E316" s="26" t="s">
        <v>2889</v>
      </c>
      <c r="F316" s="26" t="str">
        <f t="shared" si="0"/>
        <v>Religious Latin Origin</v>
      </c>
      <c r="G316" s="26">
        <f t="shared" si="1"/>
        <v>8</v>
      </c>
      <c r="H316" s="26" t="s">
        <v>3235</v>
      </c>
      <c r="I316" s="26"/>
      <c r="J316" s="26"/>
      <c r="K316" s="26"/>
      <c r="L316" s="26" t="str">
        <f t="shared" si="2"/>
        <v>D</v>
      </c>
      <c r="M316" s="26" t="str">
        <f>IFERROR(__xludf.DUMMYFUNCTION("GOOGLETRANSLATE(C316,""EN"",""KN"")"),"ಶಿಷ್ಯ")</f>
        <v>ಶಿಷ್ಯ</v>
      </c>
      <c r="N316" s="26">
        <f t="array" ref="N316">_xlfn.XLOOKUP(B316,'Sets Progress'!I:I,'Sets Progress'!I:I,"NOT YET")</f>
        <v>20</v>
      </c>
      <c r="O316" s="26" t="str">
        <f t="array" ref="O316">_xlfn.XLOOKUP(L:L,'Overall Progress'!L:L,'Overall Progress'!L:L,"NOT YET")</f>
        <v>NOT YET</v>
      </c>
      <c r="P316" s="26"/>
      <c r="Q316" s="26"/>
      <c r="R316" s="26"/>
      <c r="S316" s="26"/>
      <c r="T316" s="26"/>
      <c r="U316" s="26"/>
      <c r="V316" s="26"/>
      <c r="W316" s="26"/>
      <c r="X316" s="26"/>
      <c r="Y316" s="26"/>
      <c r="Z316" s="26"/>
    </row>
    <row r="317" hidden="1" customHeight="1" spans="1:26">
      <c r="A317" s="27">
        <v>463</v>
      </c>
      <c r="B317" s="27">
        <v>20</v>
      </c>
      <c r="C317" s="27" t="s">
        <v>812</v>
      </c>
      <c r="D317" s="27" t="s">
        <v>1721</v>
      </c>
      <c r="E317" s="27" t="s">
        <v>2899</v>
      </c>
      <c r="F317" s="27" t="str">
        <f t="shared" si="0"/>
        <v>Temporal Middle English Origin</v>
      </c>
      <c r="G317" s="27">
        <f t="shared" si="1"/>
        <v>9</v>
      </c>
      <c r="H317" s="27" t="s">
        <v>3236</v>
      </c>
      <c r="I317" s="27"/>
      <c r="J317" s="27"/>
      <c r="K317" s="27"/>
      <c r="L317" s="27" t="str">
        <f t="shared" si="2"/>
        <v>D</v>
      </c>
      <c r="M317" s="27" t="str">
        <f>IFERROR(__xludf.DUMMYFUNCTION("GOOGLETRANSLATE(C317,""EN"",""KN"")"),"ಕ್ಷೀಣಿಸುತ್ತಿದೆ")</f>
        <v>ಕ್ಷೀಣಿಸುತ್ತಿದೆ</v>
      </c>
      <c r="N317" s="27">
        <f t="array" ref="N317">_xlfn.XLOOKUP(B317,'Sets Progress'!I:I,'Sets Progress'!I:I,"NOT YET")</f>
        <v>20</v>
      </c>
      <c r="O317" s="27" t="str">
        <f t="array" ref="O317">_xlfn.XLOOKUP(L:L,'Overall Progress'!L:L,'Overall Progress'!L:L,"NOT YET")</f>
        <v>NOT YET</v>
      </c>
      <c r="P317" s="27"/>
      <c r="Q317" s="27"/>
      <c r="R317" s="27"/>
      <c r="S317" s="27"/>
      <c r="T317" s="27"/>
      <c r="U317" s="27"/>
      <c r="V317" s="27"/>
      <c r="W317" s="27"/>
      <c r="X317" s="27"/>
      <c r="Y317" s="27"/>
      <c r="Z317" s="27"/>
    </row>
    <row r="318" hidden="1" customHeight="1" spans="1:26">
      <c r="A318" s="26">
        <v>465</v>
      </c>
      <c r="B318" s="26">
        <v>20</v>
      </c>
      <c r="C318" s="26" t="s">
        <v>814</v>
      </c>
      <c r="D318" s="26" t="s">
        <v>2717</v>
      </c>
      <c r="E318" s="26" t="s">
        <v>2889</v>
      </c>
      <c r="F318" s="26" t="str">
        <f t="shared" si="0"/>
        <v>Positive Traits Latin Origin</v>
      </c>
      <c r="G318" s="26">
        <f t="shared" si="1"/>
        <v>9</v>
      </c>
      <c r="H318" s="26" t="s">
        <v>3237</v>
      </c>
      <c r="I318" s="26"/>
      <c r="J318" s="26"/>
      <c r="K318" s="26"/>
      <c r="L318" s="26" t="str">
        <f t="shared" si="2"/>
        <v>E</v>
      </c>
      <c r="M318" s="26" t="str">
        <f>IFERROR(__xludf.DUMMYFUNCTION("GOOGLETRANSLATE(C318,""EN"",""KN"")"),"ಎಬುಲಿಯಂಟ್")</f>
        <v>ಎಬುಲಿಯಂಟ್</v>
      </c>
      <c r="N318" s="26">
        <f t="array" ref="N318">_xlfn.XLOOKUP(B318,'Sets Progress'!I:I,'Sets Progress'!I:I,"NOT YET")</f>
        <v>20</v>
      </c>
      <c r="O318" s="26" t="str">
        <f t="array" ref="O318">_xlfn.XLOOKUP(L:L,'Overall Progress'!L:L,'Overall Progress'!L:L,"NOT YET")</f>
        <v>NOT YET</v>
      </c>
      <c r="P318" s="26"/>
      <c r="Q318" s="26"/>
      <c r="R318" s="26"/>
      <c r="S318" s="26"/>
      <c r="T318" s="26"/>
      <c r="U318" s="26"/>
      <c r="V318" s="26"/>
      <c r="W318" s="26"/>
      <c r="X318" s="26"/>
      <c r="Y318" s="26"/>
      <c r="Z318" s="26"/>
    </row>
    <row r="319" hidden="1" customHeight="1" spans="1:26">
      <c r="A319" s="27">
        <v>779</v>
      </c>
      <c r="B319" s="27">
        <v>20</v>
      </c>
      <c r="C319" s="27" t="s">
        <v>1120</v>
      </c>
      <c r="D319" s="27" t="s">
        <v>2716</v>
      </c>
      <c r="E319" s="27" t="s">
        <v>2889</v>
      </c>
      <c r="F319" s="27" t="str">
        <f t="shared" si="0"/>
        <v>Negative Traits Latin Origin</v>
      </c>
      <c r="G319" s="27">
        <f t="shared" si="1"/>
        <v>10</v>
      </c>
      <c r="H319" s="27" t="s">
        <v>3238</v>
      </c>
      <c r="I319" s="27"/>
      <c r="J319" s="27"/>
      <c r="K319" s="27"/>
      <c r="L319" s="27" t="str">
        <f t="shared" si="2"/>
        <v>I</v>
      </c>
      <c r="M319" s="27" t="str">
        <f>IFERROR(__xludf.DUMMYFUNCTION("GOOGLETRANSLATE(C319,""EN"",""KN"")"),"ಇನ್ಫೆಲಿಸಿಟಿ")</f>
        <v>ಇನ್ಫೆಲಿಸಿಟಿ</v>
      </c>
      <c r="N319" s="27">
        <f t="array" ref="N319">_xlfn.XLOOKUP(B319,'Sets Progress'!I:I,'Sets Progress'!I:I,"NOT YET")</f>
        <v>20</v>
      </c>
      <c r="O319" s="27" t="str">
        <f t="array" ref="O319">_xlfn.XLOOKUP(L:L,'Overall Progress'!L:L,'Overall Progress'!L:L,"NOT YET")</f>
        <v>NOT YET</v>
      </c>
      <c r="P319" s="27"/>
      <c r="Q319" s="27"/>
      <c r="R319" s="27"/>
      <c r="S319" s="27"/>
      <c r="T319" s="27"/>
      <c r="U319" s="27"/>
      <c r="V319" s="27"/>
      <c r="W319" s="27"/>
      <c r="X319" s="27"/>
      <c r="Y319" s="27"/>
      <c r="Z319" s="27"/>
    </row>
    <row r="320" hidden="1" customHeight="1" spans="1:26">
      <c r="A320" s="26">
        <v>850</v>
      </c>
      <c r="B320" s="26">
        <v>20</v>
      </c>
      <c r="C320" s="26" t="s">
        <v>1190</v>
      </c>
      <c r="D320" s="26" t="s">
        <v>1721</v>
      </c>
      <c r="E320" s="26" t="s">
        <v>2889</v>
      </c>
      <c r="F320" s="26" t="str">
        <f t="shared" si="0"/>
        <v>Temporal Latin Origin</v>
      </c>
      <c r="G320" s="26">
        <f t="shared" si="1"/>
        <v>8</v>
      </c>
      <c r="H320" s="26" t="s">
        <v>3239</v>
      </c>
      <c r="I320" s="26"/>
      <c r="J320" s="26"/>
      <c r="K320" s="26"/>
      <c r="L320" s="26" t="str">
        <f t="shared" si="2"/>
        <v>L</v>
      </c>
      <c r="M320" s="26" t="str">
        <f>IFERROR(__xludf.DUMMYFUNCTION("GOOGLETRANSLATE(C320,""EN"",""KN"")"),"ಕ್ಷೀಣಿಸು")</f>
        <v>ಕ್ಷೀಣಿಸು</v>
      </c>
      <c r="N320" s="26">
        <f t="array" ref="N320">_xlfn.XLOOKUP(B320,'Sets Progress'!I:I,'Sets Progress'!I:I,"NOT YET")</f>
        <v>20</v>
      </c>
      <c r="O320" s="26" t="str">
        <f t="array" ref="O320">_xlfn.XLOOKUP(L:L,'Overall Progress'!L:L,'Overall Progress'!L:L,"NOT YET")</f>
        <v>NOT YET</v>
      </c>
      <c r="P320" s="26"/>
      <c r="Q320" s="26"/>
      <c r="R320" s="26"/>
      <c r="S320" s="26"/>
      <c r="T320" s="26"/>
      <c r="U320" s="26"/>
      <c r="V320" s="26"/>
      <c r="W320" s="26"/>
      <c r="X320" s="26"/>
      <c r="Y320" s="26"/>
      <c r="Z320" s="26"/>
    </row>
    <row r="321" hidden="1" customHeight="1" spans="1:26">
      <c r="A321" s="27">
        <v>933</v>
      </c>
      <c r="B321" s="27">
        <v>20</v>
      </c>
      <c r="C321" s="27" t="s">
        <v>1269</v>
      </c>
      <c r="D321" s="27" t="s">
        <v>1721</v>
      </c>
      <c r="E321" s="27" t="s">
        <v>2889</v>
      </c>
      <c r="F321" s="27" t="str">
        <f t="shared" si="0"/>
        <v>Temporal Latin Origin</v>
      </c>
      <c r="G321" s="27">
        <f t="shared" si="1"/>
        <v>13</v>
      </c>
      <c r="H321" s="27" t="s">
        <v>3240</v>
      </c>
      <c r="I321" s="27"/>
      <c r="J321" s="27"/>
      <c r="K321" s="27"/>
      <c r="L321" s="27" t="str">
        <f t="shared" si="2"/>
        <v>M</v>
      </c>
      <c r="M321" s="27" t="str">
        <f>IFERROR(__xludf.DUMMYFUNCTION("GOOGLETRANSLATE(C321,""EN"",""KN"")"),"ಬಹುಸಂಖ್ಯೆಯ")</f>
        <v>ಬಹುಸಂಖ್ಯೆಯ</v>
      </c>
      <c r="N321" s="27">
        <f t="array" ref="N321">_xlfn.XLOOKUP(B321,'Sets Progress'!I:I,'Sets Progress'!I:I,"NOT YET")</f>
        <v>20</v>
      </c>
      <c r="O321" s="27" t="str">
        <f t="array" ref="O321">_xlfn.XLOOKUP(L:L,'Overall Progress'!L:L,'Overall Progress'!L:L,"NOT YET")</f>
        <v>NOT YET</v>
      </c>
      <c r="P321" s="27"/>
      <c r="Q321" s="27"/>
      <c r="R321" s="27"/>
      <c r="S321" s="27"/>
      <c r="T321" s="27"/>
      <c r="U321" s="27"/>
      <c r="V321" s="27"/>
      <c r="W321" s="27"/>
      <c r="X321" s="27"/>
      <c r="Y321" s="27"/>
      <c r="Z321" s="27"/>
    </row>
    <row r="322" hidden="1" customHeight="1" spans="1:26">
      <c r="A322" s="26">
        <v>1023</v>
      </c>
      <c r="B322" s="26">
        <v>20</v>
      </c>
      <c r="C322" s="26" t="s">
        <v>1358</v>
      </c>
      <c r="D322" s="26" t="s">
        <v>2716</v>
      </c>
      <c r="E322" s="26" t="s">
        <v>2889</v>
      </c>
      <c r="F322" s="26" t="str">
        <f t="shared" si="0"/>
        <v>Negative Traits Latin Origin</v>
      </c>
      <c r="G322" s="26">
        <f t="shared" si="1"/>
        <v>9</v>
      </c>
      <c r="H322" s="26" t="s">
        <v>3241</v>
      </c>
      <c r="I322" s="26"/>
      <c r="J322" s="26"/>
      <c r="K322" s="26"/>
      <c r="L322" s="26" t="str">
        <f t="shared" si="2"/>
        <v>P</v>
      </c>
      <c r="M322" s="26" t="str">
        <f>IFERROR(__xludf.DUMMYFUNCTION("GOOGLETRANSLATE(C322,""EN"",""KN"")"),"ನಿಷ್ಕ್ರಿಯತೆ")</f>
        <v>ನಿಷ್ಕ್ರಿಯತೆ</v>
      </c>
      <c r="N322" s="26">
        <f t="array" ref="N322">_xlfn.XLOOKUP(B322,'Sets Progress'!I:I,'Sets Progress'!I:I,"NOT YET")</f>
        <v>20</v>
      </c>
      <c r="O322" s="26" t="str">
        <f t="array" ref="O322">_xlfn.XLOOKUP(L:L,'Overall Progress'!L:L,'Overall Progress'!L:L,"NOT YET")</f>
        <v>NOT YET</v>
      </c>
      <c r="P322" s="26"/>
      <c r="Q322" s="26"/>
      <c r="R322" s="26"/>
      <c r="S322" s="26"/>
      <c r="T322" s="26"/>
      <c r="U322" s="26"/>
      <c r="V322" s="26"/>
      <c r="W322" s="26"/>
      <c r="X322" s="26"/>
      <c r="Y322" s="26"/>
      <c r="Z322" s="26"/>
    </row>
    <row r="323" hidden="1" customHeight="1" spans="1:26">
      <c r="A323" s="27">
        <v>1053</v>
      </c>
      <c r="B323" s="27">
        <v>20</v>
      </c>
      <c r="C323" s="27" t="s">
        <v>1388</v>
      </c>
      <c r="D323" s="27" t="s">
        <v>2717</v>
      </c>
      <c r="E323" s="27" t="s">
        <v>2889</v>
      </c>
      <c r="F323" s="27" t="str">
        <f t="shared" si="0"/>
        <v>Positive Traits Latin Origin</v>
      </c>
      <c r="G323" s="27">
        <f t="shared" si="1"/>
        <v>13</v>
      </c>
      <c r="H323" s="27" t="s">
        <v>3242</v>
      </c>
      <c r="I323" s="27"/>
      <c r="J323" s="27"/>
      <c r="K323" s="27"/>
      <c r="L323" s="27" t="str">
        <f t="shared" si="2"/>
        <v>P</v>
      </c>
      <c r="M323" s="27" t="str">
        <f>IFERROR(__xludf.DUMMYFUNCTION("GOOGLETRANSLATE(C323,""EN"",""KN"")"),"ಸೂಕ್ಷ್ಮವಾದ")</f>
        <v>ಸೂಕ್ಷ್ಮವಾದ</v>
      </c>
      <c r="N323" s="27">
        <f t="array" ref="N323">_xlfn.XLOOKUP(B323,'Sets Progress'!I:I,'Sets Progress'!I:I,"NOT YET")</f>
        <v>20</v>
      </c>
      <c r="O323" s="27" t="str">
        <f t="array" ref="O323">_xlfn.XLOOKUP(L:L,'Overall Progress'!L:L,'Overall Progress'!L:L,"NOT YET")</f>
        <v>NOT YET</v>
      </c>
      <c r="P323" s="27"/>
      <c r="Q323" s="27"/>
      <c r="R323" s="27"/>
      <c r="S323" s="27"/>
      <c r="T323" s="27"/>
      <c r="U323" s="27"/>
      <c r="V323" s="27"/>
      <c r="W323" s="27"/>
      <c r="X323" s="27"/>
      <c r="Y323" s="27"/>
      <c r="Z323" s="27"/>
    </row>
    <row r="324" hidden="1" customHeight="1" spans="1:26">
      <c r="A324" s="26">
        <v>1061</v>
      </c>
      <c r="B324" s="26">
        <v>20</v>
      </c>
      <c r="C324" s="26" t="s">
        <v>1396</v>
      </c>
      <c r="D324" s="26" t="s">
        <v>2716</v>
      </c>
      <c r="E324" s="26" t="s">
        <v>2889</v>
      </c>
      <c r="F324" s="26" t="str">
        <f t="shared" si="0"/>
        <v>Negative Traits Latin Origin</v>
      </c>
      <c r="G324" s="26">
        <f t="shared" si="1"/>
        <v>10</v>
      </c>
      <c r="H324" s="26" t="s">
        <v>3243</v>
      </c>
      <c r="I324" s="26"/>
      <c r="J324" s="26"/>
      <c r="K324" s="26"/>
      <c r="L324" s="26" t="str">
        <f t="shared" si="2"/>
        <v>P</v>
      </c>
      <c r="M324" s="26" t="str">
        <f>IFERROR(__xludf.DUMMYFUNCTION("GOOGLETRANSLATE(C324,""EN"",""KN"")"),"ಫಿಲಿಸ್ಟಿನ್")</f>
        <v>ಫಿಲಿಸ್ಟಿನ್</v>
      </c>
      <c r="N324" s="26">
        <f t="array" ref="N324">_xlfn.XLOOKUP(B324,'Sets Progress'!I:I,'Sets Progress'!I:I,"NOT YET")</f>
        <v>20</v>
      </c>
      <c r="O324" s="26" t="str">
        <f t="array" ref="O324">_xlfn.XLOOKUP(L:L,'Overall Progress'!L:L,'Overall Progress'!L:L,"NOT YET")</f>
        <v>NOT YET</v>
      </c>
      <c r="P324" s="26"/>
      <c r="Q324" s="26"/>
      <c r="R324" s="26"/>
      <c r="S324" s="26"/>
      <c r="T324" s="26"/>
      <c r="U324" s="26"/>
      <c r="V324" s="26"/>
      <c r="W324" s="26"/>
      <c r="X324" s="26"/>
      <c r="Y324" s="26"/>
      <c r="Z324" s="26"/>
    </row>
    <row r="325" hidden="1" customHeight="1" spans="1:26">
      <c r="A325" s="27">
        <v>1090</v>
      </c>
      <c r="B325" s="27">
        <v>20</v>
      </c>
      <c r="C325" s="27" t="s">
        <v>1425</v>
      </c>
      <c r="D325" s="27" t="s">
        <v>1721</v>
      </c>
      <c r="E325" s="27" t="s">
        <v>2889</v>
      </c>
      <c r="F325" s="27" t="str">
        <f t="shared" si="0"/>
        <v>Temporal Latin Origin</v>
      </c>
      <c r="G325" s="27">
        <f t="shared" si="1"/>
        <v>9</v>
      </c>
      <c r="H325" s="27" t="s">
        <v>3244</v>
      </c>
      <c r="I325" s="27"/>
      <c r="J325" s="27"/>
      <c r="K325" s="27"/>
      <c r="L325" s="27" t="str">
        <f t="shared" si="2"/>
        <v>P</v>
      </c>
      <c r="M325" s="27" t="str">
        <f>IFERROR(__xludf.DUMMYFUNCTION("GOOGLETRANSLATE(C325,""EN"",""KN"")"),"ಭಂಗಿ ಹಾಕುವುದು")</f>
        <v>ಭಂಗಿ ಹಾಕುವುದು</v>
      </c>
      <c r="N325" s="27">
        <f t="array" ref="N325">_xlfn.XLOOKUP(B325,'Sets Progress'!I:I,'Sets Progress'!I:I,"NOT YET")</f>
        <v>20</v>
      </c>
      <c r="O325" s="27" t="str">
        <f t="array" ref="O325">_xlfn.XLOOKUP(L:L,'Overall Progress'!L:L,'Overall Progress'!L:L,"NOT YET")</f>
        <v>NOT YET</v>
      </c>
      <c r="P325" s="27"/>
      <c r="Q325" s="27"/>
      <c r="R325" s="27"/>
      <c r="S325" s="27"/>
      <c r="T325" s="27"/>
      <c r="U325" s="27"/>
      <c r="V325" s="27"/>
      <c r="W325" s="27"/>
      <c r="X325" s="27"/>
      <c r="Y325" s="27"/>
      <c r="Z325" s="27"/>
    </row>
    <row r="326" hidden="1" customHeight="1" spans="1:26">
      <c r="A326" s="26">
        <v>1110</v>
      </c>
      <c r="B326" s="26">
        <v>20</v>
      </c>
      <c r="C326" s="26" t="s">
        <v>1444</v>
      </c>
      <c r="D326" s="26" t="s">
        <v>2716</v>
      </c>
      <c r="E326" s="26" t="s">
        <v>2889</v>
      </c>
      <c r="F326" s="26" t="str">
        <f t="shared" si="0"/>
        <v>Negative Traits Latin Origin</v>
      </c>
      <c r="G326" s="26">
        <f t="shared" si="1"/>
        <v>12</v>
      </c>
      <c r="H326" s="26" t="s">
        <v>3245</v>
      </c>
      <c r="I326" s="26"/>
      <c r="J326" s="26"/>
      <c r="K326" s="26"/>
      <c r="L326" s="26" t="str">
        <f t="shared" si="2"/>
        <v>P</v>
      </c>
      <c r="M326" s="26" t="str">
        <f>IFERROR(__xludf.DUMMYFUNCTION("GOOGLETRANSLATE(C326,""EN"",""KN"")"),"ಅಹಂಕಾರಿ")</f>
        <v>ಅಹಂಕಾರಿ</v>
      </c>
      <c r="N326" s="26">
        <f t="array" ref="N326">_xlfn.XLOOKUP(B326,'Sets Progress'!I:I,'Sets Progress'!I:I,"NOT YET")</f>
        <v>20</v>
      </c>
      <c r="O326" s="26" t="str">
        <f t="array" ref="O326">_xlfn.XLOOKUP(L:L,'Overall Progress'!L:L,'Overall Progress'!L:L,"NOT YET")</f>
        <v>NOT YET</v>
      </c>
      <c r="P326" s="26"/>
      <c r="Q326" s="26"/>
      <c r="R326" s="26"/>
      <c r="S326" s="26"/>
      <c r="T326" s="26"/>
      <c r="U326" s="26"/>
      <c r="V326" s="26"/>
      <c r="W326" s="26"/>
      <c r="X326" s="26"/>
      <c r="Y326" s="26"/>
      <c r="Z326" s="26"/>
    </row>
    <row r="327" hidden="1" customHeight="1" spans="1:26">
      <c r="A327" s="27">
        <v>1227</v>
      </c>
      <c r="B327" s="27">
        <v>20</v>
      </c>
      <c r="C327" s="27" t="s">
        <v>1558</v>
      </c>
      <c r="D327" s="27" t="s">
        <v>2716</v>
      </c>
      <c r="E327" s="27" t="s">
        <v>2889</v>
      </c>
      <c r="F327" s="27" t="str">
        <f t="shared" si="0"/>
        <v>Negative Traits Latin Origin</v>
      </c>
      <c r="G327" s="27">
        <f t="shared" si="1"/>
        <v>8</v>
      </c>
      <c r="H327" s="27" t="s">
        <v>3246</v>
      </c>
      <c r="I327" s="27"/>
      <c r="J327" s="27"/>
      <c r="K327" s="27"/>
      <c r="L327" s="27" t="str">
        <f t="shared" si="2"/>
        <v>R</v>
      </c>
      <c r="M327" s="27" t="str">
        <f>IFERROR(__xludf.DUMMYFUNCTION("GOOGLETRANSLATE(C327,""EN"",""KN"")"),"ರೆಟಿಸೆಂಟ್")</f>
        <v>ರೆಟಿಸೆಂಟ್</v>
      </c>
      <c r="N327" s="27">
        <f t="array" ref="N327">_xlfn.XLOOKUP(B327,'Sets Progress'!I:I,'Sets Progress'!I:I,"NOT YET")</f>
        <v>20</v>
      </c>
      <c r="O327" s="27" t="str">
        <f t="array" ref="O327">_xlfn.XLOOKUP(L:L,'Overall Progress'!L:L,'Overall Progress'!L:L,"NOT YET")</f>
        <v>NOT YET</v>
      </c>
      <c r="P327" s="27"/>
      <c r="Q327" s="27"/>
      <c r="R327" s="27"/>
      <c r="S327" s="27"/>
      <c r="T327" s="27"/>
      <c r="U327" s="27"/>
      <c r="V327" s="27"/>
      <c r="W327" s="27"/>
      <c r="X327" s="27"/>
      <c r="Y327" s="27"/>
      <c r="Z327" s="27"/>
    </row>
    <row r="328" hidden="1" customHeight="1" spans="1:26">
      <c r="A328" s="26">
        <v>1373</v>
      </c>
      <c r="B328" s="26">
        <v>20</v>
      </c>
      <c r="C328" s="26" t="s">
        <v>1704</v>
      </c>
      <c r="D328" s="26" t="s">
        <v>1721</v>
      </c>
      <c r="E328" s="26" t="s">
        <v>2889</v>
      </c>
      <c r="F328" s="26" t="str">
        <f t="shared" si="0"/>
        <v>Temporal Latin Origin</v>
      </c>
      <c r="G328" s="26">
        <f t="shared" si="1"/>
        <v>5</v>
      </c>
      <c r="H328" s="26" t="s">
        <v>3247</v>
      </c>
      <c r="I328" s="26"/>
      <c r="J328" s="26"/>
      <c r="K328" s="26"/>
      <c r="L328" s="26" t="str">
        <f t="shared" si="2"/>
        <v>T</v>
      </c>
      <c r="M328" s="26" t="str">
        <f>IFERROR(__xludf.DUMMYFUNCTION("GOOGLETRANSLATE(C328,""EN"",""KN"")"),"ಮೌನಿ")</f>
        <v>ಮೌನಿ</v>
      </c>
      <c r="N328" s="26">
        <f t="array" ref="N328">_xlfn.XLOOKUP(B328,'Sets Progress'!I:I,'Sets Progress'!I:I,"NOT YET")</f>
        <v>20</v>
      </c>
      <c r="O328" s="26" t="str">
        <f t="array" ref="O328">_xlfn.XLOOKUP(L:L,'Overall Progress'!L:L,'Overall Progress'!L:L,"NOT YET")</f>
        <v>NOT YET</v>
      </c>
      <c r="P328" s="26"/>
      <c r="Q328" s="26"/>
      <c r="R328" s="26"/>
      <c r="S328" s="26"/>
      <c r="T328" s="26"/>
      <c r="U328" s="26"/>
      <c r="V328" s="26"/>
      <c r="W328" s="26"/>
      <c r="X328" s="26"/>
      <c r="Y328" s="26"/>
      <c r="Z328" s="26"/>
    </row>
    <row r="329" hidden="1" customHeight="1" spans="1:26">
      <c r="A329" s="27">
        <v>1453</v>
      </c>
      <c r="B329" s="27">
        <v>20</v>
      </c>
      <c r="C329" s="27" t="s">
        <v>1781</v>
      </c>
      <c r="D329" s="27" t="s">
        <v>1721</v>
      </c>
      <c r="E329" s="27" t="s">
        <v>2908</v>
      </c>
      <c r="F329" s="27" t="str">
        <f t="shared" si="0"/>
        <v>Temporal Old English Origin</v>
      </c>
      <c r="G329" s="27">
        <f t="shared" si="1"/>
        <v>10</v>
      </c>
      <c r="H329" s="27" t="s">
        <v>3248</v>
      </c>
      <c r="I329" s="27"/>
      <c r="J329" s="27"/>
      <c r="K329" s="27"/>
      <c r="L329" s="27" t="str">
        <f t="shared" si="2"/>
        <v>U</v>
      </c>
      <c r="M329" s="27" t="str">
        <f>IFERROR(__xludf.DUMMYFUNCTION("GOOGLETRANSLATE(C329,""EN"",""KN"")"),"ಕಡಿಮೆ ಮಾಡಿ")</f>
        <v>ಕಡಿಮೆ ಮಾಡಿ</v>
      </c>
      <c r="N329" s="27">
        <f t="array" ref="N329">_xlfn.XLOOKUP(B329,'Sets Progress'!I:I,'Sets Progress'!I:I,"NOT YET")</f>
        <v>20</v>
      </c>
      <c r="O329" s="27" t="str">
        <f t="array" ref="O329">_xlfn.XLOOKUP(L:L,'Overall Progress'!L:L,'Overall Progress'!L:L,"NOT YET")</f>
        <v>NOT YET</v>
      </c>
      <c r="P329" s="27"/>
      <c r="Q329" s="27"/>
      <c r="R329" s="27"/>
      <c r="S329" s="27"/>
      <c r="T329" s="27"/>
      <c r="U329" s="27"/>
      <c r="V329" s="27"/>
      <c r="W329" s="27"/>
      <c r="X329" s="27"/>
      <c r="Y329" s="27"/>
      <c r="Z329" s="27"/>
    </row>
    <row r="330" hidden="1" customHeight="1" spans="1:26">
      <c r="A330" s="26">
        <v>132</v>
      </c>
      <c r="B330" s="26">
        <v>21</v>
      </c>
      <c r="C330" s="26" t="s">
        <v>481</v>
      </c>
      <c r="D330" s="26" t="s">
        <v>2946</v>
      </c>
      <c r="E330" s="26" t="s">
        <v>2889</v>
      </c>
      <c r="F330" s="26" t="str">
        <f t="shared" si="0"/>
        <v>Emotional Latin Origin</v>
      </c>
      <c r="G330" s="26">
        <f t="shared" si="1"/>
        <v>9</v>
      </c>
      <c r="H330" s="26" t="s">
        <v>3249</v>
      </c>
      <c r="I330" s="26"/>
      <c r="J330" s="26"/>
      <c r="K330" s="26"/>
      <c r="L330" s="26" t="str">
        <f t="shared" si="2"/>
        <v>A</v>
      </c>
      <c r="M330" s="26" t="str">
        <f>IFERROR(__xludf.DUMMYFUNCTION("GOOGLETRANSLATE(C330,""EN"",""KN"")"),"ಸಂಯಮ")</f>
        <v>ಸಂಯಮ</v>
      </c>
      <c r="N330" s="26">
        <f t="array" ref="N330">_xlfn.XLOOKUP(B330,'Sets Progress'!I:I,'Sets Progress'!I:I,"NOT YET")</f>
        <v>21</v>
      </c>
      <c r="O330" s="26" t="str">
        <f t="array" ref="O330">_xlfn.XLOOKUP(L:L,'Overall Progress'!L:L,'Overall Progress'!L:L,"NOT YET")</f>
        <v>NOT YET</v>
      </c>
      <c r="P330" s="26"/>
      <c r="Q330" s="26"/>
      <c r="R330" s="26"/>
      <c r="S330" s="26"/>
      <c r="T330" s="26"/>
      <c r="U330" s="26"/>
      <c r="V330" s="26"/>
      <c r="W330" s="26"/>
      <c r="X330" s="26"/>
      <c r="Y330" s="26"/>
      <c r="Z330" s="26"/>
    </row>
    <row r="331" hidden="1" customHeight="1" spans="1:26">
      <c r="A331" s="27">
        <v>139</v>
      </c>
      <c r="B331" s="27">
        <v>21</v>
      </c>
      <c r="C331" s="27" t="s">
        <v>488</v>
      </c>
      <c r="D331" s="27" t="s">
        <v>1721</v>
      </c>
      <c r="E331" s="27" t="s">
        <v>2889</v>
      </c>
      <c r="F331" s="27" t="str">
        <f t="shared" si="0"/>
        <v>Temporal Latin Origin</v>
      </c>
      <c r="G331" s="27">
        <f t="shared" si="1"/>
        <v>5</v>
      </c>
      <c r="H331" s="27" t="s">
        <v>3250</v>
      </c>
      <c r="I331" s="27"/>
      <c r="J331" s="27"/>
      <c r="K331" s="27"/>
      <c r="L331" s="27" t="str">
        <f t="shared" si="2"/>
        <v>A</v>
      </c>
      <c r="M331" s="27" t="str">
        <f>IFERROR(__xludf.DUMMYFUNCTION("GOOGLETRANSLATE(C331,""EN"",""KN"")"),"ತಪ್ಪಿಸು")</f>
        <v>ತಪ್ಪಿಸು</v>
      </c>
      <c r="N331" s="27">
        <f t="array" ref="N331">_xlfn.XLOOKUP(B331,'Sets Progress'!I:I,'Sets Progress'!I:I,"NOT YET")</f>
        <v>21</v>
      </c>
      <c r="O331" s="27" t="str">
        <f t="array" ref="O331">_xlfn.XLOOKUP(L:L,'Overall Progress'!L:L,'Overall Progress'!L:L,"NOT YET")</f>
        <v>NOT YET</v>
      </c>
      <c r="P331" s="27"/>
      <c r="Q331" s="27"/>
      <c r="R331" s="27"/>
      <c r="S331" s="27"/>
      <c r="T331" s="27"/>
      <c r="U331" s="27"/>
      <c r="V331" s="27"/>
      <c r="W331" s="27"/>
      <c r="X331" s="27"/>
      <c r="Y331" s="27"/>
      <c r="Z331" s="27"/>
    </row>
    <row r="332" hidden="1" customHeight="1" spans="1:26">
      <c r="A332" s="26">
        <v>244</v>
      </c>
      <c r="B332" s="26">
        <v>21</v>
      </c>
      <c r="C332" s="26" t="s">
        <v>595</v>
      </c>
      <c r="D332" s="26" t="s">
        <v>2892</v>
      </c>
      <c r="E332" s="26" t="s">
        <v>2889</v>
      </c>
      <c r="F332" s="26" t="str">
        <f t="shared" si="0"/>
        <v>Spatial Latin Origin</v>
      </c>
      <c r="G332" s="26">
        <f t="shared" si="1"/>
        <v>8</v>
      </c>
      <c r="H332" s="26" t="s">
        <v>3251</v>
      </c>
      <c r="I332" s="26"/>
      <c r="J332" s="26"/>
      <c r="K332" s="26"/>
      <c r="L332" s="26" t="str">
        <f t="shared" si="2"/>
        <v>C</v>
      </c>
      <c r="M332" s="26" t="str">
        <f>IFERROR(__xludf.DUMMYFUNCTION("GOOGLETRANSLATE(C332,""EN"",""KN"")"),"ಒಗ್ಗೂಡಿಸು")</f>
        <v>ಒಗ್ಗೂಡಿಸು</v>
      </c>
      <c r="N332" s="26">
        <f t="array" ref="N332">_xlfn.XLOOKUP(B332,'Sets Progress'!I:I,'Sets Progress'!I:I,"NOT YET")</f>
        <v>21</v>
      </c>
      <c r="O332" s="26" t="str">
        <f t="array" ref="O332">_xlfn.XLOOKUP(L:L,'Overall Progress'!L:L,'Overall Progress'!L:L,"NOT YET")</f>
        <v>NOT YET</v>
      </c>
      <c r="P332" s="26"/>
      <c r="Q332" s="26"/>
      <c r="R332" s="26"/>
      <c r="S332" s="26"/>
      <c r="T332" s="26"/>
      <c r="U332" s="26"/>
      <c r="V332" s="26"/>
      <c r="W332" s="26"/>
      <c r="X332" s="26"/>
      <c r="Y332" s="26"/>
      <c r="Z332" s="26"/>
    </row>
    <row r="333" hidden="1" customHeight="1" spans="1:26">
      <c r="A333" s="27">
        <v>509</v>
      </c>
      <c r="B333" s="27">
        <v>21</v>
      </c>
      <c r="C333" s="27" t="s">
        <v>858</v>
      </c>
      <c r="D333" s="27" t="s">
        <v>2892</v>
      </c>
      <c r="E333" s="27" t="s">
        <v>2896</v>
      </c>
      <c r="F333" s="27" t="str">
        <f t="shared" si="0"/>
        <v>Spatial Old French Origin</v>
      </c>
      <c r="G333" s="27">
        <f t="shared" si="1"/>
        <v>7</v>
      </c>
      <c r="H333" s="27" t="s">
        <v>3252</v>
      </c>
      <c r="I333" s="27"/>
      <c r="J333" s="27"/>
      <c r="K333" s="27"/>
      <c r="L333" s="27" t="str">
        <f t="shared" si="2"/>
        <v>E</v>
      </c>
      <c r="M333" s="27" t="str">
        <f>IFERROR(__xludf.DUMMYFUNCTION("GOOGLETRANSLATE(C333,""EN"",""KN"")"),"ಹಿಗ್ಗಿಸಿ")</f>
        <v>ಹಿಗ್ಗಿಸಿ</v>
      </c>
      <c r="N333" s="27">
        <f t="array" ref="N333">_xlfn.XLOOKUP(B333,'Sets Progress'!I:I,'Sets Progress'!I:I,"NOT YET")</f>
        <v>21</v>
      </c>
      <c r="O333" s="27" t="str">
        <f t="array" ref="O333">_xlfn.XLOOKUP(L:L,'Overall Progress'!L:L,'Overall Progress'!L:L,"NOT YET")</f>
        <v>NOT YET</v>
      </c>
      <c r="P333" s="27"/>
      <c r="Q333" s="27"/>
      <c r="R333" s="27"/>
      <c r="S333" s="27"/>
      <c r="T333" s="27"/>
      <c r="U333" s="27"/>
      <c r="V333" s="27"/>
      <c r="W333" s="27"/>
      <c r="X333" s="27"/>
      <c r="Y333" s="27"/>
      <c r="Z333" s="27"/>
    </row>
    <row r="334" hidden="1" customHeight="1" spans="1:26">
      <c r="A334" s="26">
        <v>695</v>
      </c>
      <c r="B334" s="26">
        <v>21</v>
      </c>
      <c r="C334" s="26" t="s">
        <v>1037</v>
      </c>
      <c r="D334" s="26" t="s">
        <v>1721</v>
      </c>
      <c r="E334" s="26" t="s">
        <v>2889</v>
      </c>
      <c r="F334" s="26" t="str">
        <f t="shared" si="0"/>
        <v>Temporal Latin Origin</v>
      </c>
      <c r="G334" s="26">
        <f t="shared" si="1"/>
        <v>6</v>
      </c>
      <c r="H334" s="26" t="s">
        <v>3253</v>
      </c>
      <c r="I334" s="26"/>
      <c r="J334" s="26"/>
      <c r="K334" s="26"/>
      <c r="L334" s="26" t="str">
        <f t="shared" si="2"/>
        <v>H</v>
      </c>
      <c r="M334" s="26" t="str">
        <f>IFERROR(__xludf.DUMMYFUNCTION("GOOGLETRANSLATE(C334,""EN"",""KN"")"),"ಹೈಬ್ರಿಡ್")</f>
        <v>ಹೈಬ್ರಿಡ್</v>
      </c>
      <c r="N334" s="26">
        <f t="array" ref="N334">_xlfn.XLOOKUP(B334,'Sets Progress'!I:I,'Sets Progress'!I:I,"NOT YET")</f>
        <v>21</v>
      </c>
      <c r="O334" s="26" t="str">
        <f t="array" ref="O334">_xlfn.XLOOKUP(L:L,'Overall Progress'!L:L,'Overall Progress'!L:L,"NOT YET")</f>
        <v>NOT YET</v>
      </c>
      <c r="P334" s="26"/>
      <c r="Q334" s="26"/>
      <c r="R334" s="26"/>
      <c r="S334" s="26"/>
      <c r="T334" s="26"/>
      <c r="U334" s="26"/>
      <c r="V334" s="26"/>
      <c r="W334" s="26"/>
      <c r="X334" s="26"/>
      <c r="Y334" s="26"/>
      <c r="Z334" s="26"/>
    </row>
    <row r="335" hidden="1" customHeight="1" spans="1:26">
      <c r="A335" s="27">
        <v>733</v>
      </c>
      <c r="B335" s="27">
        <v>21</v>
      </c>
      <c r="C335" s="27" t="s">
        <v>1074</v>
      </c>
      <c r="D335" s="27" t="s">
        <v>1721</v>
      </c>
      <c r="E335" s="27" t="s">
        <v>2889</v>
      </c>
      <c r="F335" s="27" t="str">
        <f t="shared" si="0"/>
        <v>Temporal Latin Origin</v>
      </c>
      <c r="G335" s="27">
        <f t="shared" si="1"/>
        <v>9</v>
      </c>
      <c r="H335" s="27" t="s">
        <v>3254</v>
      </c>
      <c r="I335" s="27"/>
      <c r="J335" s="27"/>
      <c r="K335" s="27"/>
      <c r="L335" s="27" t="str">
        <f t="shared" si="2"/>
        <v>I</v>
      </c>
      <c r="M335" s="27" t="str">
        <f>IFERROR(__xludf.DUMMYFUNCTION("GOOGLETRANSLATE(C335,""EN"",""KN"")"),"ಅರಾಜಕೀಯ")</f>
        <v>ಅರಾಜಕೀಯ</v>
      </c>
      <c r="N335" s="27">
        <f t="array" ref="N335">_xlfn.XLOOKUP(B335,'Sets Progress'!I:I,'Sets Progress'!I:I,"NOT YET")</f>
        <v>21</v>
      </c>
      <c r="O335" s="27" t="str">
        <f t="array" ref="O335">_xlfn.XLOOKUP(L:L,'Overall Progress'!L:L,'Overall Progress'!L:L,"NOT YET")</f>
        <v>NOT YET</v>
      </c>
      <c r="P335" s="27"/>
      <c r="Q335" s="27"/>
      <c r="R335" s="27"/>
      <c r="S335" s="27"/>
      <c r="T335" s="27"/>
      <c r="U335" s="27"/>
      <c r="V335" s="27"/>
      <c r="W335" s="27"/>
      <c r="X335" s="27"/>
      <c r="Y335" s="27"/>
      <c r="Z335" s="27"/>
    </row>
    <row r="336" hidden="1" customHeight="1" spans="1:26">
      <c r="A336" s="26">
        <v>763</v>
      </c>
      <c r="B336" s="26">
        <v>21</v>
      </c>
      <c r="C336" s="26" t="s">
        <v>1104</v>
      </c>
      <c r="D336" s="26" t="s">
        <v>2946</v>
      </c>
      <c r="E336" s="26" t="s">
        <v>2889</v>
      </c>
      <c r="F336" s="26" t="str">
        <f t="shared" si="0"/>
        <v>Emotional Latin Origin</v>
      </c>
      <c r="G336" s="26">
        <f t="shared" si="1"/>
        <v>9</v>
      </c>
      <c r="H336" s="26" t="s">
        <v>3255</v>
      </c>
      <c r="I336" s="26"/>
      <c r="J336" s="26"/>
      <c r="K336" s="26"/>
      <c r="L336" s="26" t="str">
        <f t="shared" si="2"/>
        <v>I</v>
      </c>
      <c r="M336" s="26" t="str">
        <f>IFERROR(__xludf.DUMMYFUNCTION("GOOGLETRANSLATE(C336,""EN"",""KN"")"),"ಸಿಟ್ಟಿಗೆದ್ದ")</f>
        <v>ಸಿಟ್ಟಿಗೆದ್ದ</v>
      </c>
      <c r="N336" s="26">
        <f t="array" ref="N336">_xlfn.XLOOKUP(B336,'Sets Progress'!I:I,'Sets Progress'!I:I,"NOT YET")</f>
        <v>21</v>
      </c>
      <c r="O336" s="26" t="str">
        <f t="array" ref="O336">_xlfn.XLOOKUP(L:L,'Overall Progress'!L:L,'Overall Progress'!L:L,"NOT YET")</f>
        <v>NOT YET</v>
      </c>
      <c r="P336" s="26"/>
      <c r="Q336" s="26"/>
      <c r="R336" s="26"/>
      <c r="S336" s="26"/>
      <c r="T336" s="26"/>
      <c r="U336" s="26"/>
      <c r="V336" s="26"/>
      <c r="W336" s="26"/>
      <c r="X336" s="26"/>
      <c r="Y336" s="26"/>
      <c r="Z336" s="26"/>
    </row>
    <row r="337" hidden="1" customHeight="1" spans="1:26">
      <c r="A337" s="27">
        <v>774</v>
      </c>
      <c r="B337" s="27">
        <v>21</v>
      </c>
      <c r="C337" s="27" t="s">
        <v>1115</v>
      </c>
      <c r="D337" s="27" t="s">
        <v>1721</v>
      </c>
      <c r="E337" s="27" t="s">
        <v>2889</v>
      </c>
      <c r="F337" s="27" t="str">
        <f t="shared" si="0"/>
        <v>Temporal Latin Origin</v>
      </c>
      <c r="G337" s="27">
        <f t="shared" si="1"/>
        <v>7</v>
      </c>
      <c r="H337" s="27" t="s">
        <v>3256</v>
      </c>
      <c r="I337" s="27"/>
      <c r="J337" s="27"/>
      <c r="K337" s="27"/>
      <c r="L337" s="27" t="str">
        <f t="shared" si="2"/>
        <v>I</v>
      </c>
      <c r="M337" s="27" t="str">
        <f>IFERROR(__xludf.DUMMYFUNCTION("GOOGLETRANSLATE(C337,""EN"",""KN"")"),"ಜಡತ್ವ")</f>
        <v>ಜಡತ್ವ</v>
      </c>
      <c r="N337" s="27">
        <f t="array" ref="N337">_xlfn.XLOOKUP(B337,'Sets Progress'!I:I,'Sets Progress'!I:I,"NOT YET")</f>
        <v>21</v>
      </c>
      <c r="O337" s="27" t="str">
        <f t="array" ref="O337">_xlfn.XLOOKUP(L:L,'Overall Progress'!L:L,'Overall Progress'!L:L,"NOT YET")</f>
        <v>NOT YET</v>
      </c>
      <c r="P337" s="27"/>
      <c r="Q337" s="27"/>
      <c r="R337" s="27"/>
      <c r="S337" s="27"/>
      <c r="T337" s="27"/>
      <c r="U337" s="27"/>
      <c r="V337" s="27"/>
      <c r="W337" s="27"/>
      <c r="X337" s="27"/>
      <c r="Y337" s="27"/>
      <c r="Z337" s="27"/>
    </row>
    <row r="338" hidden="1" customHeight="1" spans="1:26">
      <c r="A338" s="26">
        <v>855</v>
      </c>
      <c r="B338" s="26">
        <v>21</v>
      </c>
      <c r="C338" s="26" t="s">
        <v>1195</v>
      </c>
      <c r="D338" s="26" t="s">
        <v>2717</v>
      </c>
      <c r="E338" s="26" t="s">
        <v>2896</v>
      </c>
      <c r="F338" s="26" t="str">
        <f t="shared" si="0"/>
        <v>Positive Traits Old French Origin</v>
      </c>
      <c r="G338" s="26">
        <f t="shared" si="1"/>
        <v>6</v>
      </c>
      <c r="H338" s="26" t="s">
        <v>3257</v>
      </c>
      <c r="I338" s="26"/>
      <c r="J338" s="26"/>
      <c r="K338" s="26"/>
      <c r="L338" s="26" t="str">
        <f t="shared" si="2"/>
        <v>L</v>
      </c>
      <c r="M338" s="26" t="str">
        <f>IFERROR(__xludf.DUMMYFUNCTION("GOOGLETRANSLATE(C338,""EN"",""KN"")"),"ಅದ್ದೂರಿ")</f>
        <v>ಅದ್ದೂರಿ</v>
      </c>
      <c r="N338" s="26">
        <f t="array" ref="N338">_xlfn.XLOOKUP(B338,'Sets Progress'!I:I,'Sets Progress'!I:I,"NOT YET")</f>
        <v>21</v>
      </c>
      <c r="O338" s="26" t="str">
        <f t="array" ref="O338">_xlfn.XLOOKUP(L:L,'Overall Progress'!L:L,'Overall Progress'!L:L,"NOT YET")</f>
        <v>NOT YET</v>
      </c>
      <c r="P338" s="26"/>
      <c r="Q338" s="26"/>
      <c r="R338" s="26"/>
      <c r="S338" s="26"/>
      <c r="T338" s="26"/>
      <c r="U338" s="26"/>
      <c r="V338" s="26"/>
      <c r="W338" s="26"/>
      <c r="X338" s="26"/>
      <c r="Y338" s="26"/>
      <c r="Z338" s="26"/>
    </row>
    <row r="339" hidden="1" customHeight="1" spans="1:26">
      <c r="A339" s="27">
        <v>897</v>
      </c>
      <c r="B339" s="27">
        <v>21</v>
      </c>
      <c r="C339" s="27" t="s">
        <v>1234</v>
      </c>
      <c r="D339" s="27" t="s">
        <v>1721</v>
      </c>
      <c r="E339" s="27" t="s">
        <v>2921</v>
      </c>
      <c r="F339" s="27" t="str">
        <f t="shared" si="0"/>
        <v>Temporal Unknown Origin</v>
      </c>
      <c r="G339" s="27">
        <f t="shared" si="1"/>
        <v>7</v>
      </c>
      <c r="H339" s="27" t="s">
        <v>3258</v>
      </c>
      <c r="I339" s="27"/>
      <c r="J339" s="27"/>
      <c r="K339" s="27" t="s">
        <v>3259</v>
      </c>
      <c r="L339" s="27" t="str">
        <f t="shared" si="2"/>
        <v>M</v>
      </c>
      <c r="M339" s="27" t="str">
        <f>IFERROR(__xludf.DUMMYFUNCTION("GOOGLETRANSLATE(C339,""EN"",""KN"")"),"ಮೌಂಡರ್")</f>
        <v>ಮೌಂಡರ್</v>
      </c>
      <c r="N339" s="27">
        <f t="array" ref="N339">_xlfn.XLOOKUP(B339,'Sets Progress'!I:I,'Sets Progress'!I:I,"NOT YET")</f>
        <v>21</v>
      </c>
      <c r="O339" s="27" t="str">
        <f t="array" ref="O339">_xlfn.XLOOKUP(L:L,'Overall Progress'!L:L,'Overall Progress'!L:L,"NOT YET")</f>
        <v>NOT YET</v>
      </c>
      <c r="P339" s="27"/>
      <c r="Q339" s="27"/>
      <c r="R339" s="27"/>
      <c r="S339" s="27"/>
      <c r="T339" s="27"/>
      <c r="U339" s="27"/>
      <c r="V339" s="27"/>
      <c r="W339" s="27"/>
      <c r="X339" s="27"/>
      <c r="Y339" s="27"/>
      <c r="Z339" s="27"/>
    </row>
    <row r="340" hidden="1" customHeight="1" spans="1:26">
      <c r="A340" s="26">
        <v>939</v>
      </c>
      <c r="B340" s="26">
        <v>21</v>
      </c>
      <c r="C340" s="26" t="s">
        <v>1275</v>
      </c>
      <c r="D340" s="26" t="s">
        <v>1721</v>
      </c>
      <c r="E340" s="26" t="s">
        <v>2893</v>
      </c>
      <c r="F340" s="26" t="str">
        <f t="shared" si="0"/>
        <v>Temporal Greek Origin</v>
      </c>
      <c r="G340" s="26">
        <f t="shared" si="1"/>
        <v>6</v>
      </c>
      <c r="H340" s="26" t="s">
        <v>3260</v>
      </c>
      <c r="I340" s="26"/>
      <c r="J340" s="26"/>
      <c r="K340" s="26"/>
      <c r="L340" s="26" t="str">
        <f t="shared" si="2"/>
        <v>M</v>
      </c>
      <c r="M340" s="26" t="str">
        <f>IFERROR(__xludf.DUMMYFUNCTION("GOOGLETRANSLATE(C340,""EN"",""KN"")"),"ಅಸಂಖ್ಯಾತ")</f>
        <v>ಅಸಂಖ್ಯಾತ</v>
      </c>
      <c r="N340" s="26">
        <f t="array" ref="N340">_xlfn.XLOOKUP(B340,'Sets Progress'!I:I,'Sets Progress'!I:I,"NOT YET")</f>
        <v>21</v>
      </c>
      <c r="O340" s="26" t="str">
        <f t="array" ref="O340">_xlfn.XLOOKUP(L:L,'Overall Progress'!L:L,'Overall Progress'!L:L,"NOT YET")</f>
        <v>NOT YET</v>
      </c>
      <c r="P340" s="26"/>
      <c r="Q340" s="26"/>
      <c r="R340" s="26"/>
      <c r="S340" s="26"/>
      <c r="T340" s="26"/>
      <c r="U340" s="26"/>
      <c r="V340" s="26"/>
      <c r="W340" s="26"/>
      <c r="X340" s="26"/>
      <c r="Y340" s="26"/>
      <c r="Z340" s="26"/>
    </row>
    <row r="341" hidden="1" customHeight="1" spans="1:26">
      <c r="A341" s="27">
        <v>981</v>
      </c>
      <c r="B341" s="27">
        <v>21</v>
      </c>
      <c r="C341" s="27" t="s">
        <v>1317</v>
      </c>
      <c r="D341" s="27" t="s">
        <v>2716</v>
      </c>
      <c r="E341" s="27" t="s">
        <v>2889</v>
      </c>
      <c r="F341" s="27" t="str">
        <f t="shared" si="0"/>
        <v>Negative Traits Latin Origin</v>
      </c>
      <c r="G341" s="27">
        <f t="shared" si="1"/>
        <v>7</v>
      </c>
      <c r="H341" s="27" t="s">
        <v>3261</v>
      </c>
      <c r="I341" s="27"/>
      <c r="J341" s="27"/>
      <c r="K341" s="27"/>
      <c r="L341" s="27" t="str">
        <f t="shared" si="2"/>
        <v>O</v>
      </c>
      <c r="M341" s="27" t="str">
        <f>IFERROR(__xludf.DUMMYFUNCTION("GOOGLETRANSLATE(C341,""EN"",""KN"")"),"ಅಪಶಕುನ")</f>
        <v>ಅಪಶಕುನ</v>
      </c>
      <c r="N341" s="27">
        <f t="array" ref="N341">_xlfn.XLOOKUP(B341,'Sets Progress'!I:I,'Sets Progress'!I:I,"NOT YET")</f>
        <v>21</v>
      </c>
      <c r="O341" s="27" t="str">
        <f t="array" ref="O341">_xlfn.XLOOKUP(L:L,'Overall Progress'!L:L,'Overall Progress'!L:L,"NOT YET")</f>
        <v>NOT YET</v>
      </c>
      <c r="P341" s="27"/>
      <c r="Q341" s="27"/>
      <c r="R341" s="27"/>
      <c r="S341" s="27"/>
      <c r="T341" s="27"/>
      <c r="U341" s="27"/>
      <c r="V341" s="27"/>
      <c r="W341" s="27"/>
      <c r="X341" s="27"/>
      <c r="Y341" s="27"/>
      <c r="Z341" s="27"/>
    </row>
    <row r="342" hidden="1" customHeight="1" spans="1:26">
      <c r="A342" s="26">
        <v>1076</v>
      </c>
      <c r="B342" s="26">
        <v>21</v>
      </c>
      <c r="C342" s="26" t="s">
        <v>1411</v>
      </c>
      <c r="D342" s="26" t="s">
        <v>2716</v>
      </c>
      <c r="E342" s="26" t="s">
        <v>2921</v>
      </c>
      <c r="F342" s="26" t="str">
        <f t="shared" si="0"/>
        <v>Negative Traits Unknown Origin</v>
      </c>
      <c r="G342" s="26">
        <f t="shared" si="1"/>
        <v>8</v>
      </c>
      <c r="H342" s="26" t="s">
        <v>3262</v>
      </c>
      <c r="I342" s="26"/>
      <c r="J342" s="26"/>
      <c r="K342" s="26"/>
      <c r="L342" s="26" t="str">
        <f t="shared" si="2"/>
        <v>P</v>
      </c>
      <c r="M342" s="26" t="str">
        <f>IFERROR(__xludf.DUMMYFUNCTION("GOOGLETRANSLATE(C342,""EN"",""KN"")"),"ಪ್ಲೋಡಿಂಗ್")</f>
        <v>ಪ್ಲೋಡಿಂಗ್</v>
      </c>
      <c r="N342" s="26">
        <f t="array" ref="N342">_xlfn.XLOOKUP(B342,'Sets Progress'!I:I,'Sets Progress'!I:I,"NOT YET")</f>
        <v>21</v>
      </c>
      <c r="O342" s="26" t="str">
        <f t="array" ref="O342">_xlfn.XLOOKUP(L:L,'Overall Progress'!L:L,'Overall Progress'!L:L,"NOT YET")</f>
        <v>NOT YET</v>
      </c>
      <c r="P342" s="26"/>
      <c r="Q342" s="26"/>
      <c r="R342" s="26"/>
      <c r="S342" s="26"/>
      <c r="T342" s="26"/>
      <c r="U342" s="26"/>
      <c r="V342" s="26"/>
      <c r="W342" s="26"/>
      <c r="X342" s="26"/>
      <c r="Y342" s="26"/>
      <c r="Z342" s="26"/>
    </row>
    <row r="343" hidden="1" customHeight="1" spans="1:26">
      <c r="A343" s="27">
        <v>1127</v>
      </c>
      <c r="B343" s="27">
        <v>21</v>
      </c>
      <c r="C343" s="27" t="s">
        <v>1460</v>
      </c>
      <c r="D343" s="27" t="s">
        <v>1721</v>
      </c>
      <c r="E343" s="27" t="s">
        <v>2893</v>
      </c>
      <c r="F343" s="27" t="str">
        <f t="shared" si="0"/>
        <v>Temporal Greek Origin</v>
      </c>
      <c r="G343" s="27">
        <f t="shared" si="1"/>
        <v>9</v>
      </c>
      <c r="H343" s="27" t="s">
        <v>3263</v>
      </c>
      <c r="I343" s="27"/>
      <c r="J343" s="27"/>
      <c r="K343" s="27"/>
      <c r="L343" s="27" t="str">
        <f t="shared" si="2"/>
        <v>P</v>
      </c>
      <c r="M343" s="27" t="str">
        <f>IFERROR(__xludf.DUMMYFUNCTION("GOOGLETRANSLATE(C343,""EN"",""KN"")"),"ಮುನ್ಸೂಚನೆ")</f>
        <v>ಮುನ್ಸೂಚನೆ</v>
      </c>
      <c r="N343" s="27">
        <f t="array" ref="N343">_xlfn.XLOOKUP(B343,'Sets Progress'!I:I,'Sets Progress'!I:I,"NOT YET")</f>
        <v>21</v>
      </c>
      <c r="O343" s="27" t="str">
        <f t="array" ref="O343">_xlfn.XLOOKUP(L:L,'Overall Progress'!L:L,'Overall Progress'!L:L,"NOT YET")</f>
        <v>NOT YET</v>
      </c>
      <c r="P343" s="27"/>
      <c r="Q343" s="27"/>
      <c r="R343" s="27"/>
      <c r="S343" s="27"/>
      <c r="T343" s="27"/>
      <c r="U343" s="27"/>
      <c r="V343" s="27"/>
      <c r="W343" s="27"/>
      <c r="X343" s="27"/>
      <c r="Y343" s="27"/>
      <c r="Z343" s="27"/>
    </row>
    <row r="344" hidden="1" customHeight="1" spans="1:26">
      <c r="A344" s="26">
        <v>1208</v>
      </c>
      <c r="B344" s="26">
        <v>21</v>
      </c>
      <c r="C344" s="26" t="s">
        <v>1539</v>
      </c>
      <c r="D344" s="26" t="s">
        <v>1721</v>
      </c>
      <c r="E344" s="26" t="s">
        <v>2911</v>
      </c>
      <c r="F344" s="26" t="str">
        <f t="shared" si="0"/>
        <v>Temporal French Origin</v>
      </c>
      <c r="G344" s="26">
        <f t="shared" si="1"/>
        <v>10</v>
      </c>
      <c r="H344" s="26" t="s">
        <v>3264</v>
      </c>
      <c r="I344" s="26"/>
      <c r="J344" s="26"/>
      <c r="K344" s="26"/>
      <c r="L344" s="26" t="str">
        <f t="shared" si="2"/>
        <v>R</v>
      </c>
      <c r="M344" s="26" t="str">
        <f>IFERROR(__xludf.DUMMYFUNCTION("GOOGLETRANSLATE(C344,""EN"",""KN"")"),"ರೆಪರ್ಟರಿ")</f>
        <v>ರೆಪರ್ಟರಿ</v>
      </c>
      <c r="N344" s="26">
        <f t="array" ref="N344">_xlfn.XLOOKUP(B344,'Sets Progress'!I:I,'Sets Progress'!I:I,"NOT YET")</f>
        <v>21</v>
      </c>
      <c r="O344" s="26" t="str">
        <f t="array" ref="O344">_xlfn.XLOOKUP(L:L,'Overall Progress'!L:L,'Overall Progress'!L:L,"NOT YET")</f>
        <v>NOT YET</v>
      </c>
      <c r="P344" s="26"/>
      <c r="Q344" s="26"/>
      <c r="R344" s="26"/>
      <c r="S344" s="26"/>
      <c r="T344" s="26"/>
      <c r="U344" s="26"/>
      <c r="V344" s="26"/>
      <c r="W344" s="26"/>
      <c r="X344" s="26"/>
      <c r="Y344" s="26"/>
      <c r="Z344" s="26"/>
    </row>
    <row r="345" hidden="1" customHeight="1" spans="1:26">
      <c r="A345" s="27">
        <v>1325</v>
      </c>
      <c r="B345" s="27">
        <v>21</v>
      </c>
      <c r="C345" s="27" t="s">
        <v>1656</v>
      </c>
      <c r="D345" s="27" t="s">
        <v>2717</v>
      </c>
      <c r="E345" s="27" t="s">
        <v>2908</v>
      </c>
      <c r="F345" s="27" t="str">
        <f t="shared" si="0"/>
        <v>Positive Traits Old English Origin</v>
      </c>
      <c r="G345" s="27">
        <f t="shared" si="1"/>
        <v>9</v>
      </c>
      <c r="H345" s="27" t="s">
        <v>3265</v>
      </c>
      <c r="I345" s="27"/>
      <c r="J345" s="27"/>
      <c r="K345" s="27"/>
      <c r="L345" s="27" t="str">
        <f t="shared" si="2"/>
        <v>S</v>
      </c>
      <c r="M345" s="27" t="str">
        <f>IFERROR(__xludf.DUMMYFUNCTION("GOOGLETRANSLATE(C345,""EN"",""KN"")"),"ದೃಢವಾದ")</f>
        <v>ದೃಢವಾದ</v>
      </c>
      <c r="N345" s="27">
        <f t="array" ref="N345">_xlfn.XLOOKUP(B345,'Sets Progress'!I:I,'Sets Progress'!I:I,"NOT YET")</f>
        <v>21</v>
      </c>
      <c r="O345" s="27" t="str">
        <f t="array" ref="O345">_xlfn.XLOOKUP(L:L,'Overall Progress'!L:L,'Overall Progress'!L:L,"NOT YET")</f>
        <v>NOT YET</v>
      </c>
      <c r="P345" s="27"/>
      <c r="Q345" s="27"/>
      <c r="R345" s="27"/>
      <c r="S345" s="27"/>
      <c r="T345" s="27"/>
      <c r="U345" s="27"/>
      <c r="V345" s="27"/>
      <c r="W345" s="27"/>
      <c r="X345" s="27"/>
      <c r="Y345" s="27"/>
      <c r="Z345" s="27"/>
    </row>
    <row r="346" hidden="1" customHeight="1" spans="1:26">
      <c r="A346" s="26">
        <v>1402</v>
      </c>
      <c r="B346" s="26">
        <v>21</v>
      </c>
      <c r="C346" s="26" t="s">
        <v>1733</v>
      </c>
      <c r="D346" s="26" t="s">
        <v>1721</v>
      </c>
      <c r="E346" s="26" t="s">
        <v>2908</v>
      </c>
      <c r="F346" s="26" t="str">
        <f t="shared" si="0"/>
        <v>Temporal Old English Origin</v>
      </c>
      <c r="G346" s="26">
        <f t="shared" si="1"/>
        <v>13</v>
      </c>
      <c r="H346" s="26" t="s">
        <v>3266</v>
      </c>
      <c r="I346" s="26"/>
      <c r="J346" s="26"/>
      <c r="K346" s="26"/>
      <c r="L346" s="26" t="str">
        <f t="shared" si="2"/>
        <v>T</v>
      </c>
      <c r="M346" s="26" t="str">
        <f>IFERROR(__xludf.DUMMYFUNCTION("GOOGLETRANSLATE(C346,""EN"",""KN"")"),"ಕೂಲಂಕುಷವಾಗಿ")</f>
        <v>ಕೂಲಂಕುಷವಾಗಿ</v>
      </c>
      <c r="N346" s="26">
        <f t="array" ref="N346">_xlfn.XLOOKUP(B346,'Sets Progress'!I:I,'Sets Progress'!I:I,"NOT YET")</f>
        <v>21</v>
      </c>
      <c r="O346" s="26" t="str">
        <f t="array" ref="O346">_xlfn.XLOOKUP(L:L,'Overall Progress'!L:L,'Overall Progress'!L:L,"NOT YET")</f>
        <v>NOT YET</v>
      </c>
      <c r="P346" s="26"/>
      <c r="Q346" s="26"/>
      <c r="R346" s="26"/>
      <c r="S346" s="26"/>
      <c r="T346" s="26"/>
      <c r="U346" s="26"/>
      <c r="V346" s="26"/>
      <c r="W346" s="26"/>
      <c r="X346" s="26"/>
      <c r="Y346" s="26"/>
      <c r="Z346" s="26"/>
    </row>
    <row r="347" hidden="1" customHeight="1" spans="1:26">
      <c r="A347" s="27">
        <v>1533</v>
      </c>
      <c r="B347" s="27">
        <v>21</v>
      </c>
      <c r="C347" s="27" t="s">
        <v>1861</v>
      </c>
      <c r="D347" s="27" t="s">
        <v>2716</v>
      </c>
      <c r="E347" s="27" t="s">
        <v>2908</v>
      </c>
      <c r="F347" s="27" t="str">
        <f t="shared" si="0"/>
        <v>Negative Traits Old English Origin</v>
      </c>
      <c r="G347" s="27">
        <f t="shared" si="1"/>
        <v>6</v>
      </c>
      <c r="H347" s="27" t="s">
        <v>3267</v>
      </c>
      <c r="I347" s="27"/>
      <c r="J347" s="27"/>
      <c r="K347" s="27"/>
      <c r="L347" s="27" t="str">
        <f t="shared" si="2"/>
        <v>W</v>
      </c>
      <c r="M347" s="27" t="str">
        <f>IFERROR(__xludf.DUMMYFUNCTION("GOOGLETRANSLATE(C347,""EN"",""KN"")"),"ಉದ್ದೇಶಪೂರ್ವಕ")</f>
        <v>ಉದ್ದೇಶಪೂರ್ವಕ</v>
      </c>
      <c r="N347" s="27">
        <f t="array" ref="N347">_xlfn.XLOOKUP(B347,'Sets Progress'!I:I,'Sets Progress'!I:I,"NOT YET")</f>
        <v>21</v>
      </c>
      <c r="O347" s="27" t="str">
        <f t="array" ref="O347">_xlfn.XLOOKUP(L:L,'Overall Progress'!L:L,'Overall Progress'!L:L,"NOT YET")</f>
        <v>NOT YET</v>
      </c>
      <c r="P347" s="27"/>
      <c r="Q347" s="27"/>
      <c r="R347" s="27"/>
      <c r="S347" s="27"/>
      <c r="T347" s="27"/>
      <c r="U347" s="27"/>
      <c r="V347" s="27"/>
      <c r="W347" s="27"/>
      <c r="X347" s="27"/>
      <c r="Y347" s="27"/>
      <c r="Z347" s="27"/>
    </row>
    <row r="348" hidden="1" customHeight="1" spans="1:26">
      <c r="A348" s="26">
        <v>108</v>
      </c>
      <c r="B348" s="26">
        <v>22</v>
      </c>
      <c r="C348" s="26" t="s">
        <v>458</v>
      </c>
      <c r="D348" s="26" t="s">
        <v>2717</v>
      </c>
      <c r="E348" s="26" t="s">
        <v>2889</v>
      </c>
      <c r="F348" s="26" t="str">
        <f t="shared" si="0"/>
        <v>Positive Traits Latin Origin</v>
      </c>
      <c r="G348" s="26">
        <f t="shared" si="1"/>
        <v>10</v>
      </c>
      <c r="H348" s="26" t="s">
        <v>3268</v>
      </c>
      <c r="I348" s="26"/>
      <c r="J348" s="26"/>
      <c r="K348" s="26"/>
      <c r="L348" s="26" t="str">
        <f t="shared" si="2"/>
        <v>A</v>
      </c>
      <c r="M348" s="26" t="str">
        <f>IFERROR(__xludf.DUMMYFUNCTION("GOOGLETRANSLATE(C348,""EN"",""KN"")"),"ಅಭಿವ್ಯಕ್ತಗೊಳಿಸು")</f>
        <v>ಅಭಿವ್ಯಕ್ತಗೊಳಿಸು</v>
      </c>
      <c r="N348" s="26">
        <f t="array" ref="N348">_xlfn.XLOOKUP(B348,'Sets Progress'!I:I,'Sets Progress'!I:I,"NOT YET")</f>
        <v>22</v>
      </c>
      <c r="O348" s="26" t="str">
        <f t="array" ref="O348">_xlfn.XLOOKUP(L:L,'Overall Progress'!L:L,'Overall Progress'!L:L,"NOT YET")</f>
        <v>NOT YET</v>
      </c>
      <c r="P348" s="26"/>
      <c r="Q348" s="26"/>
      <c r="R348" s="26"/>
      <c r="S348" s="26"/>
      <c r="T348" s="26"/>
      <c r="U348" s="26"/>
      <c r="V348" s="26"/>
      <c r="W348" s="26"/>
      <c r="X348" s="26"/>
      <c r="Y348" s="26"/>
      <c r="Z348" s="26"/>
    </row>
    <row r="349" hidden="1" customHeight="1" spans="1:26">
      <c r="A349" s="27">
        <v>288</v>
      </c>
      <c r="B349" s="27">
        <v>22</v>
      </c>
      <c r="C349" s="27" t="s">
        <v>641</v>
      </c>
      <c r="D349" s="27" t="s">
        <v>1721</v>
      </c>
      <c r="E349" s="27" t="s">
        <v>2889</v>
      </c>
      <c r="F349" s="27" t="str">
        <f t="shared" si="0"/>
        <v>Temporal Latin Origin</v>
      </c>
      <c r="G349" s="27">
        <f t="shared" si="1"/>
        <v>13</v>
      </c>
      <c r="H349" s="27" t="s">
        <v>3269</v>
      </c>
      <c r="I349" s="27"/>
      <c r="J349" s="27"/>
      <c r="K349" s="27"/>
      <c r="L349" s="27" t="str">
        <f t="shared" si="2"/>
        <v>C</v>
      </c>
      <c r="M349" s="27" t="str">
        <f>IFERROR(__xludf.DUMMYFUNCTION("GOOGLETRANSLATE(C349,""EN"",""KN"")"),"ಪರಿಣಾಮವಾಗಿ")</f>
        <v>ಪರಿಣಾಮವಾಗಿ</v>
      </c>
      <c r="N349" s="27">
        <f t="array" ref="N349">_xlfn.XLOOKUP(B349,'Sets Progress'!I:I,'Sets Progress'!I:I,"NOT YET")</f>
        <v>22</v>
      </c>
      <c r="O349" s="27" t="str">
        <f t="array" ref="O349">_xlfn.XLOOKUP(L:L,'Overall Progress'!L:L,'Overall Progress'!L:L,"NOT YET")</f>
        <v>NOT YET</v>
      </c>
      <c r="P349" s="27"/>
      <c r="Q349" s="27"/>
      <c r="R349" s="27"/>
      <c r="S349" s="27"/>
      <c r="T349" s="27"/>
      <c r="U349" s="27"/>
      <c r="V349" s="27"/>
      <c r="W349" s="27"/>
      <c r="X349" s="27"/>
      <c r="Y349" s="27"/>
      <c r="Z349" s="27"/>
    </row>
    <row r="350" hidden="1" customHeight="1" spans="1:26">
      <c r="A350" s="26">
        <v>324</v>
      </c>
      <c r="B350" s="26">
        <v>22</v>
      </c>
      <c r="C350" s="26" t="s">
        <v>674</v>
      </c>
      <c r="D350" s="26" t="s">
        <v>2946</v>
      </c>
      <c r="E350" s="26" t="s">
        <v>2899</v>
      </c>
      <c r="F350" s="26" t="str">
        <f t="shared" si="0"/>
        <v>Emotional Middle English Origin</v>
      </c>
      <c r="G350" s="26">
        <f t="shared" si="1"/>
        <v>3</v>
      </c>
      <c r="H350" s="26" t="s">
        <v>3270</v>
      </c>
      <c r="I350" s="26"/>
      <c r="J350" s="26"/>
      <c r="K350" s="26"/>
      <c r="L350" s="26" t="str">
        <f t="shared" si="2"/>
        <v>C</v>
      </c>
      <c r="M350" s="26" t="str">
        <f>IFERROR(__xludf.DUMMYFUNCTION("GOOGLETRANSLATE(C350,""EN"",""KN"")"),"ಕೋಯ್")</f>
        <v>ಕೋಯ್</v>
      </c>
      <c r="N350" s="26">
        <f t="array" ref="N350">_xlfn.XLOOKUP(B350,'Sets Progress'!I:I,'Sets Progress'!I:I,"NOT YET")</f>
        <v>22</v>
      </c>
      <c r="O350" s="26" t="str">
        <f t="array" ref="O350">_xlfn.XLOOKUP(L:L,'Overall Progress'!L:L,'Overall Progress'!L:L,"NOT YET")</f>
        <v>NOT YET</v>
      </c>
      <c r="P350" s="26"/>
      <c r="Q350" s="26"/>
      <c r="R350" s="26"/>
      <c r="S350" s="26"/>
      <c r="T350" s="26"/>
      <c r="U350" s="26"/>
      <c r="V350" s="26"/>
      <c r="W350" s="26"/>
      <c r="X350" s="26"/>
      <c r="Y350" s="26"/>
      <c r="Z350" s="26"/>
    </row>
    <row r="351" hidden="1" customHeight="1" spans="1:26">
      <c r="A351" s="27">
        <v>353</v>
      </c>
      <c r="B351" s="27">
        <v>22</v>
      </c>
      <c r="C351" s="27" t="s">
        <v>703</v>
      </c>
      <c r="D351" s="27" t="s">
        <v>3022</v>
      </c>
      <c r="E351" s="27" t="s">
        <v>2889</v>
      </c>
      <c r="F351" s="27" t="str">
        <f t="shared" si="0"/>
        <v>Intellectual Latin Origin</v>
      </c>
      <c r="G351" s="27">
        <f t="shared" si="1"/>
        <v>8</v>
      </c>
      <c r="H351" s="27" t="s">
        <v>3271</v>
      </c>
      <c r="I351" s="27"/>
      <c r="J351" s="27"/>
      <c r="K351" s="27"/>
      <c r="L351" s="27" t="str">
        <f t="shared" si="2"/>
        <v>D</v>
      </c>
      <c r="M351" s="27" t="str">
        <f>IFERROR(__xludf.DUMMYFUNCTION("GOOGLETRANSLATE(C351,""EN"",""KN"")"),"ಡೀಕ್ರಿಫರ್")</f>
        <v>ಡೀಕ್ರಿಫರ್</v>
      </c>
      <c r="N351" s="27">
        <f t="array" ref="N351">_xlfn.XLOOKUP(B351,'Sets Progress'!I:I,'Sets Progress'!I:I,"NOT YET")</f>
        <v>22</v>
      </c>
      <c r="O351" s="27" t="str">
        <f t="array" ref="O351">_xlfn.XLOOKUP(L:L,'Overall Progress'!L:L,'Overall Progress'!L:L,"NOT YET")</f>
        <v>NOT YET</v>
      </c>
      <c r="P351" s="27"/>
      <c r="Q351" s="27"/>
      <c r="R351" s="27"/>
      <c r="S351" s="27"/>
      <c r="T351" s="27"/>
      <c r="U351" s="27"/>
      <c r="V351" s="27"/>
      <c r="W351" s="27"/>
      <c r="X351" s="27"/>
      <c r="Y351" s="27"/>
      <c r="Z351" s="27"/>
    </row>
    <row r="352" hidden="1" customHeight="1" spans="1:26">
      <c r="A352" s="26">
        <v>391</v>
      </c>
      <c r="B352" s="26">
        <v>22</v>
      </c>
      <c r="C352" s="26" t="s">
        <v>741</v>
      </c>
      <c r="D352" s="26" t="s">
        <v>2717</v>
      </c>
      <c r="E352" s="26" t="s">
        <v>2889</v>
      </c>
      <c r="F352" s="26" t="str">
        <f t="shared" si="0"/>
        <v>Positive Traits Latin Origin</v>
      </c>
      <c r="G352" s="26">
        <f t="shared" si="1"/>
        <v>6</v>
      </c>
      <c r="H352" s="26" t="s">
        <v>3272</v>
      </c>
      <c r="I352" s="26"/>
      <c r="J352" s="26"/>
      <c r="K352" s="26"/>
      <c r="L352" s="26" t="str">
        <f t="shared" si="2"/>
        <v>D</v>
      </c>
      <c r="M352" s="26" t="str">
        <f>IFERROR(__xludf.DUMMYFUNCTION("GOOGLETRANSLATE(C352,""EN"",""KN"")"),"ಡೆಕ್ಸ್ಟರ್")</f>
        <v>ಡೆಕ್ಸ್ಟರ್</v>
      </c>
      <c r="N352" s="26">
        <f t="array" ref="N352">_xlfn.XLOOKUP(B352,'Sets Progress'!I:I,'Sets Progress'!I:I,"NOT YET")</f>
        <v>22</v>
      </c>
      <c r="O352" s="26" t="str">
        <f t="array" ref="O352">_xlfn.XLOOKUP(L:L,'Overall Progress'!L:L,'Overall Progress'!L:L,"NOT YET")</f>
        <v>NOT YET</v>
      </c>
      <c r="P352" s="26"/>
      <c r="Q352" s="26"/>
      <c r="R352" s="26"/>
      <c r="S352" s="26"/>
      <c r="T352" s="26"/>
      <c r="U352" s="26"/>
      <c r="V352" s="26"/>
      <c r="W352" s="26"/>
      <c r="X352" s="26"/>
      <c r="Y352" s="26"/>
      <c r="Z352" s="26"/>
    </row>
    <row r="353" hidden="1" customHeight="1" spans="1:26">
      <c r="A353" s="27">
        <v>424</v>
      </c>
      <c r="B353" s="27">
        <v>22</v>
      </c>
      <c r="C353" s="27" t="s">
        <v>773</v>
      </c>
      <c r="D353" s="27" t="s">
        <v>1721</v>
      </c>
      <c r="E353" s="27" t="s">
        <v>2889</v>
      </c>
      <c r="F353" s="27" t="str">
        <f t="shared" si="0"/>
        <v>Temporal Latin Origin</v>
      </c>
      <c r="G353" s="27">
        <f t="shared" si="1"/>
        <v>12</v>
      </c>
      <c r="H353" s="27" t="s">
        <v>3273</v>
      </c>
      <c r="I353" s="27"/>
      <c r="J353" s="27"/>
      <c r="K353" s="27"/>
      <c r="L353" s="27" t="str">
        <f t="shared" si="2"/>
        <v>D</v>
      </c>
      <c r="M353" s="27" t="str">
        <f>IFERROR(__xludf.DUMMYFUNCTION("GOOGLETRANSLATE(C353,""EN"",""KN"")"),"ವಿಘಟಿಸು")</f>
        <v>ವಿಘಟಿಸು</v>
      </c>
      <c r="N353" s="27">
        <f t="array" ref="N353">_xlfn.XLOOKUP(B353,'Sets Progress'!I:I,'Sets Progress'!I:I,"NOT YET")</f>
        <v>22</v>
      </c>
      <c r="O353" s="27" t="str">
        <f t="array" ref="O353">_xlfn.XLOOKUP(L:L,'Overall Progress'!L:L,'Overall Progress'!L:L,"NOT YET")</f>
        <v>NOT YET</v>
      </c>
      <c r="P353" s="27"/>
      <c r="Q353" s="27"/>
      <c r="R353" s="27"/>
      <c r="S353" s="27"/>
      <c r="T353" s="27"/>
      <c r="U353" s="27"/>
      <c r="V353" s="27"/>
      <c r="W353" s="27"/>
      <c r="X353" s="27"/>
      <c r="Y353" s="27"/>
      <c r="Z353" s="27"/>
    </row>
    <row r="354" hidden="1" customHeight="1" spans="1:26">
      <c r="A354" s="26">
        <v>451</v>
      </c>
      <c r="B354" s="26">
        <v>22</v>
      </c>
      <c r="C354" s="26" t="s">
        <v>800</v>
      </c>
      <c r="D354" s="26" t="s">
        <v>1721</v>
      </c>
      <c r="E354" s="26" t="s">
        <v>2899</v>
      </c>
      <c r="F354" s="26" t="str">
        <f t="shared" si="0"/>
        <v>Temporal Middle English Origin</v>
      </c>
      <c r="G354" s="26">
        <f t="shared" si="1"/>
        <v>6</v>
      </c>
      <c r="H354" s="26" t="s">
        <v>3274</v>
      </c>
      <c r="I354" s="26"/>
      <c r="J354" s="26"/>
      <c r="K354" s="26"/>
      <c r="L354" s="26" t="str">
        <f t="shared" si="2"/>
        <v>D</v>
      </c>
      <c r="M354" s="26" t="str">
        <f>IFERROR(__xludf.DUMMYFUNCTION("GOOGLETRANSLATE(C354,""EN"",""KN"")"),"ಡಾಗ್ಡ್")</f>
        <v>ಡಾಗ್ಡ್</v>
      </c>
      <c r="N354" s="26">
        <f t="array" ref="N354">_xlfn.XLOOKUP(B354,'Sets Progress'!I:I,'Sets Progress'!I:I,"NOT YET")</f>
        <v>22</v>
      </c>
      <c r="O354" s="26" t="str">
        <f t="array" ref="O354">_xlfn.XLOOKUP(L:L,'Overall Progress'!L:L,'Overall Progress'!L:L,"NOT YET")</f>
        <v>NOT YET</v>
      </c>
      <c r="P354" s="26"/>
      <c r="Q354" s="26"/>
      <c r="R354" s="26"/>
      <c r="S354" s="26"/>
      <c r="T354" s="26"/>
      <c r="U354" s="26"/>
      <c r="V354" s="26"/>
      <c r="W354" s="26"/>
      <c r="X354" s="26"/>
      <c r="Y354" s="26"/>
      <c r="Z354" s="26"/>
    </row>
    <row r="355" hidden="1" customHeight="1" spans="1:26">
      <c r="A355" s="27">
        <v>555</v>
      </c>
      <c r="B355" s="27">
        <v>22</v>
      </c>
      <c r="C355" s="27" t="s">
        <v>901</v>
      </c>
      <c r="D355" s="27" t="s">
        <v>1721</v>
      </c>
      <c r="E355" s="27" t="s">
        <v>2889</v>
      </c>
      <c r="F355" s="27" t="str">
        <f t="shared" si="0"/>
        <v>Temporal Latin Origin</v>
      </c>
      <c r="G355" s="27">
        <f t="shared" si="1"/>
        <v>6</v>
      </c>
      <c r="H355" s="27" t="s">
        <v>3275</v>
      </c>
      <c r="I355" s="27"/>
      <c r="J355" s="27"/>
      <c r="K355" s="27"/>
      <c r="L355" s="27" t="str">
        <f t="shared" si="2"/>
        <v>E</v>
      </c>
      <c r="M355" s="27" t="str">
        <f>IFERROR(__xludf.DUMMYFUNCTION("GOOGLETRANSLATE(C355,""EN"",""KN"")"),"ಉಪದೇಶಿಸಿ")</f>
        <v>ಉಪದೇಶಿಸಿ</v>
      </c>
      <c r="N355" s="27">
        <f t="array" ref="N355">_xlfn.XLOOKUP(B355,'Sets Progress'!I:I,'Sets Progress'!I:I,"NOT YET")</f>
        <v>22</v>
      </c>
      <c r="O355" s="27" t="str">
        <f t="array" ref="O355">_xlfn.XLOOKUP(L:L,'Overall Progress'!L:L,'Overall Progress'!L:L,"NOT YET")</f>
        <v>NOT YET</v>
      </c>
      <c r="P355" s="27"/>
      <c r="Q355" s="27"/>
      <c r="R355" s="27"/>
      <c r="S355" s="27"/>
      <c r="T355" s="27"/>
      <c r="U355" s="27"/>
      <c r="V355" s="27"/>
      <c r="W355" s="27"/>
      <c r="X355" s="27"/>
      <c r="Y355" s="27"/>
      <c r="Z355" s="27"/>
    </row>
    <row r="356" hidden="1" customHeight="1" spans="1:26">
      <c r="A356" s="26">
        <v>595</v>
      </c>
      <c r="B356" s="26">
        <v>22</v>
      </c>
      <c r="C356" s="26" t="s">
        <v>939</v>
      </c>
      <c r="D356" s="26" t="s">
        <v>2946</v>
      </c>
      <c r="E356" s="26" t="s">
        <v>2889</v>
      </c>
      <c r="F356" s="26" t="str">
        <f t="shared" si="0"/>
        <v>Emotional Latin Origin</v>
      </c>
      <c r="G356" s="26">
        <f t="shared" si="1"/>
        <v>7</v>
      </c>
      <c r="H356" s="26" t="s">
        <v>3276</v>
      </c>
      <c r="I356" s="26"/>
      <c r="J356" s="26"/>
      <c r="K356" s="26"/>
      <c r="L356" s="26" t="str">
        <f t="shared" si="2"/>
        <v>F</v>
      </c>
      <c r="M356" s="26" t="str">
        <f>IFERROR(__xludf.DUMMYFUNCTION("GOOGLETRANSLATE(C356,""EN"",""KN"")"),"ಉತ್ಸಾಹಭರಿತ")</f>
        <v>ಉತ್ಸಾಹಭರಿತ</v>
      </c>
      <c r="N356" s="26">
        <f t="array" ref="N356">_xlfn.XLOOKUP(B356,'Sets Progress'!I:I,'Sets Progress'!I:I,"NOT YET")</f>
        <v>22</v>
      </c>
      <c r="O356" s="26" t="str">
        <f t="array" ref="O356">_xlfn.XLOOKUP(L:L,'Overall Progress'!L:L,'Overall Progress'!L:L,"NOT YET")</f>
        <v>NOT YET</v>
      </c>
      <c r="P356" s="26"/>
      <c r="Q356" s="26"/>
      <c r="R356" s="26"/>
      <c r="S356" s="26"/>
      <c r="T356" s="26"/>
      <c r="U356" s="26"/>
      <c r="V356" s="26"/>
      <c r="W356" s="26"/>
      <c r="X356" s="26"/>
      <c r="Y356" s="26"/>
      <c r="Z356" s="26"/>
    </row>
    <row r="357" hidden="1" customHeight="1" spans="1:26">
      <c r="A357" s="27">
        <v>728</v>
      </c>
      <c r="B357" s="27">
        <v>22</v>
      </c>
      <c r="C357" s="27" t="s">
        <v>180</v>
      </c>
      <c r="D357" s="27" t="s">
        <v>1721</v>
      </c>
      <c r="E357" s="27" t="s">
        <v>2889</v>
      </c>
      <c r="F357" s="27" t="str">
        <f t="shared" si="0"/>
        <v>Temporal Latin Origin</v>
      </c>
      <c r="G357" s="27">
        <f t="shared" si="1"/>
        <v>9</v>
      </c>
      <c r="H357" s="27" t="s">
        <v>3277</v>
      </c>
      <c r="I357" s="27"/>
      <c r="J357" s="27"/>
      <c r="K357" s="27"/>
      <c r="L357" s="27" t="str">
        <f t="shared" si="2"/>
        <v>I</v>
      </c>
      <c r="M357" s="27" t="str">
        <f>IFERROR(__xludf.DUMMYFUNCTION("GOOGLETRANSLATE(C357,""EN"",""KN"")"),"ಪ್ರಚೋದಕ")</f>
        <v>ಪ್ರಚೋದಕ</v>
      </c>
      <c r="N357" s="27">
        <f t="array" ref="N357">_xlfn.XLOOKUP(B357,'Sets Progress'!I:I,'Sets Progress'!I:I,"NOT YET")</f>
        <v>22</v>
      </c>
      <c r="O357" s="27" t="str">
        <f t="array" ref="O357">_xlfn.XLOOKUP(L:L,'Overall Progress'!L:L,'Overall Progress'!L:L,"NOT YET")</f>
        <v>NOT YET</v>
      </c>
      <c r="P357" s="27"/>
      <c r="Q357" s="27"/>
      <c r="R357" s="27"/>
      <c r="S357" s="27"/>
      <c r="T357" s="27"/>
      <c r="U357" s="27"/>
      <c r="V357" s="27"/>
      <c r="W357" s="27"/>
      <c r="X357" s="27"/>
      <c r="Y357" s="27"/>
      <c r="Z357" s="27"/>
    </row>
    <row r="358" hidden="1" customHeight="1" spans="1:26">
      <c r="A358" s="26">
        <v>732</v>
      </c>
      <c r="B358" s="26">
        <v>22</v>
      </c>
      <c r="C358" s="26" t="s">
        <v>1073</v>
      </c>
      <c r="D358" s="26" t="s">
        <v>1721</v>
      </c>
      <c r="E358" s="26" t="s">
        <v>2889</v>
      </c>
      <c r="F358" s="26" t="str">
        <f t="shared" si="0"/>
        <v>Temporal Latin Origin</v>
      </c>
      <c r="G358" s="26">
        <f t="shared" si="1"/>
        <v>8</v>
      </c>
      <c r="H358" s="26" t="s">
        <v>3278</v>
      </c>
      <c r="I358" s="26"/>
      <c r="J358" s="26"/>
      <c r="K358" s="26"/>
      <c r="L358" s="26" t="str">
        <f t="shared" si="2"/>
        <v>I</v>
      </c>
      <c r="M358" s="26" t="str">
        <f>IFERROR(__xludf.DUMMYFUNCTION("GOOGLETRANSLATE(C358,""EN"",""KN"")"),"ಸೂಚ್ಯ")</f>
        <v>ಸೂಚ್ಯ</v>
      </c>
      <c r="N358" s="26">
        <f t="array" ref="N358">_xlfn.XLOOKUP(B358,'Sets Progress'!I:I,'Sets Progress'!I:I,"NOT YET")</f>
        <v>22</v>
      </c>
      <c r="O358" s="26" t="str">
        <f t="array" ref="O358">_xlfn.XLOOKUP(L:L,'Overall Progress'!L:L,'Overall Progress'!L:L,"NOT YET")</f>
        <v>NOT YET</v>
      </c>
      <c r="P358" s="26"/>
      <c r="Q358" s="26"/>
      <c r="R358" s="26"/>
      <c r="S358" s="26"/>
      <c r="T358" s="26"/>
      <c r="U358" s="26"/>
      <c r="V358" s="26"/>
      <c r="W358" s="26"/>
      <c r="X358" s="26"/>
      <c r="Y358" s="26"/>
      <c r="Z358" s="26"/>
    </row>
    <row r="359" hidden="1" customHeight="1" spans="1:26">
      <c r="A359" s="27">
        <v>838</v>
      </c>
      <c r="B359" s="27">
        <v>22</v>
      </c>
      <c r="C359" s="27" t="s">
        <v>1178</v>
      </c>
      <c r="D359" s="27" t="s">
        <v>1721</v>
      </c>
      <c r="E359" s="27" t="s">
        <v>2896</v>
      </c>
      <c r="F359" s="27" t="str">
        <f t="shared" si="0"/>
        <v>Temporal Old French Origin</v>
      </c>
      <c r="G359" s="27">
        <f t="shared" si="1"/>
        <v>8</v>
      </c>
      <c r="H359" s="27" t="s">
        <v>3279</v>
      </c>
      <c r="I359" s="27"/>
      <c r="J359" s="27"/>
      <c r="K359" s="27" t="s">
        <v>3280</v>
      </c>
      <c r="L359" s="27" t="str">
        <f t="shared" si="2"/>
        <v>J</v>
      </c>
      <c r="M359" s="27" t="str">
        <f>IFERROR(__xludf.DUMMYFUNCTION("GOOGLETRANSLATE(C359,""EN"",""KN"")"),"ಜೆಟ್ಟಿಸನ್")</f>
        <v>ಜೆಟ್ಟಿಸನ್</v>
      </c>
      <c r="N359" s="27">
        <f t="array" ref="N359">_xlfn.XLOOKUP(B359,'Sets Progress'!I:I,'Sets Progress'!I:I,"NOT YET")</f>
        <v>22</v>
      </c>
      <c r="O359" s="27" t="str">
        <f t="array" ref="O359">_xlfn.XLOOKUP(L:L,'Overall Progress'!L:L,'Overall Progress'!L:L,"NOT YET")</f>
        <v>NOT YET</v>
      </c>
      <c r="P359" s="27"/>
      <c r="Q359" s="27"/>
      <c r="R359" s="27"/>
      <c r="S359" s="27"/>
      <c r="T359" s="27"/>
      <c r="U359" s="27"/>
      <c r="V359" s="27"/>
      <c r="W359" s="27"/>
      <c r="X359" s="27"/>
      <c r="Y359" s="27"/>
      <c r="Z359" s="27"/>
    </row>
    <row r="360" hidden="1" customHeight="1" spans="1:26">
      <c r="A360" s="26">
        <v>870</v>
      </c>
      <c r="B360" s="26">
        <v>22</v>
      </c>
      <c r="C360" s="26" t="s">
        <v>201</v>
      </c>
      <c r="D360" s="26" t="s">
        <v>2717</v>
      </c>
      <c r="E360" s="26" t="s">
        <v>2889</v>
      </c>
      <c r="F360" s="26" t="str">
        <f t="shared" si="0"/>
        <v>Positive Traits Latin Origin</v>
      </c>
      <c r="G360" s="26">
        <f t="shared" si="1"/>
        <v>5</v>
      </c>
      <c r="H360" s="26" t="s">
        <v>3281</v>
      </c>
      <c r="I360" s="26"/>
      <c r="J360" s="26"/>
      <c r="K360" s="26"/>
      <c r="L360" s="26" t="str">
        <f t="shared" si="2"/>
        <v>L</v>
      </c>
      <c r="M360" s="26" t="str">
        <f>IFERROR(__xludf.DUMMYFUNCTION("GOOGLETRANSLATE(C360,""EN"",""KN"")"),"ಸ್ಪಷ್ಟ")</f>
        <v>ಸ್ಪಷ್ಟ</v>
      </c>
      <c r="N360" s="26">
        <f t="array" ref="N360">_xlfn.XLOOKUP(B360,'Sets Progress'!I:I,'Sets Progress'!I:I,"NOT YET")</f>
        <v>22</v>
      </c>
      <c r="O360" s="26" t="str">
        <f t="array" ref="O360">_xlfn.XLOOKUP(L:L,'Overall Progress'!L:L,'Overall Progress'!L:L,"NOT YET")</f>
        <v>NOT YET</v>
      </c>
      <c r="P360" s="26"/>
      <c r="Q360" s="26"/>
      <c r="R360" s="26"/>
      <c r="S360" s="26"/>
      <c r="T360" s="26"/>
      <c r="U360" s="26"/>
      <c r="V360" s="26"/>
      <c r="W360" s="26"/>
      <c r="X360" s="26"/>
      <c r="Y360" s="26"/>
      <c r="Z360" s="26"/>
    </row>
    <row r="361" hidden="1" customHeight="1" spans="1:26">
      <c r="A361" s="27">
        <v>872</v>
      </c>
      <c r="B361" s="27">
        <v>22</v>
      </c>
      <c r="C361" s="27" t="s">
        <v>1210</v>
      </c>
      <c r="D361" s="27" t="s">
        <v>2716</v>
      </c>
      <c r="E361" s="27" t="s">
        <v>2889</v>
      </c>
      <c r="F361" s="27" t="str">
        <f t="shared" si="0"/>
        <v>Negative Traits Latin Origin</v>
      </c>
      <c r="G361" s="27">
        <f t="shared" si="1"/>
        <v>9</v>
      </c>
      <c r="H361" s="27" t="s">
        <v>3282</v>
      </c>
      <c r="I361" s="27"/>
      <c r="J361" s="27"/>
      <c r="K361" s="27"/>
      <c r="L361" s="27" t="str">
        <f t="shared" si="2"/>
        <v>L</v>
      </c>
      <c r="M361" s="27" t="str">
        <f>IFERROR(__xludf.DUMMYFUNCTION("GOOGLETRANSLATE(C361,""EN"",""KN"")"),"ಹಾಸ್ಯಾಸ್ಪದ")</f>
        <v>ಹಾಸ್ಯಾಸ್ಪದ</v>
      </c>
      <c r="N361" s="27">
        <f t="array" ref="N361">_xlfn.XLOOKUP(B361,'Sets Progress'!I:I,'Sets Progress'!I:I,"NOT YET")</f>
        <v>22</v>
      </c>
      <c r="O361" s="27" t="str">
        <f t="array" ref="O361">_xlfn.XLOOKUP(L:L,'Overall Progress'!L:L,'Overall Progress'!L:L,"NOT YET")</f>
        <v>NOT YET</v>
      </c>
      <c r="P361" s="27"/>
      <c r="Q361" s="27"/>
      <c r="R361" s="27"/>
      <c r="S361" s="27"/>
      <c r="T361" s="27"/>
      <c r="U361" s="27"/>
      <c r="V361" s="27"/>
      <c r="W361" s="27"/>
      <c r="X361" s="27"/>
      <c r="Y361" s="27"/>
      <c r="Z361" s="27"/>
    </row>
    <row r="362" hidden="1" customHeight="1" spans="1:26">
      <c r="A362" s="26">
        <v>1000</v>
      </c>
      <c r="B362" s="26">
        <v>22</v>
      </c>
      <c r="C362" s="26" t="s">
        <v>1335</v>
      </c>
      <c r="D362" s="26" t="s">
        <v>1721</v>
      </c>
      <c r="E362" s="26" t="s">
        <v>2908</v>
      </c>
      <c r="F362" s="26" t="str">
        <f t="shared" si="0"/>
        <v>Temporal Old English Origin</v>
      </c>
      <c r="G362" s="26">
        <f t="shared" si="1"/>
        <v>6</v>
      </c>
      <c r="H362" s="26" t="s">
        <v>3283</v>
      </c>
      <c r="I362" s="26"/>
      <c r="J362" s="26"/>
      <c r="K362" s="26"/>
      <c r="L362" s="26" t="str">
        <f t="shared" si="2"/>
        <v>O</v>
      </c>
      <c r="M362" s="26" t="str">
        <f>IFERROR(__xludf.DUMMYFUNCTION("GOOGLETRANSLATE(C362,""EN"",""KN"")"),"ಅತಿಯಾಗಿ")</f>
        <v>ಅತಿಯಾಗಿ</v>
      </c>
      <c r="N362" s="26">
        <f t="array" ref="N362">_xlfn.XLOOKUP(B362,'Sets Progress'!I:I,'Sets Progress'!I:I,"NOT YET")</f>
        <v>22</v>
      </c>
      <c r="O362" s="26" t="str">
        <f t="array" ref="O362">_xlfn.XLOOKUP(L:L,'Overall Progress'!L:L,'Overall Progress'!L:L,"NOT YET")</f>
        <v>NOT YET</v>
      </c>
      <c r="P362" s="26"/>
      <c r="Q362" s="26"/>
      <c r="R362" s="26"/>
      <c r="S362" s="26"/>
      <c r="T362" s="26"/>
      <c r="U362" s="26"/>
      <c r="V362" s="26"/>
      <c r="W362" s="26"/>
      <c r="X362" s="26"/>
      <c r="Y362" s="26"/>
      <c r="Z362" s="26"/>
    </row>
    <row r="363" hidden="1" customHeight="1" spans="1:26">
      <c r="A363" s="27">
        <v>1098</v>
      </c>
      <c r="B363" s="27">
        <v>22</v>
      </c>
      <c r="C363" s="27" t="s">
        <v>1432</v>
      </c>
      <c r="D363" s="27" t="s">
        <v>2717</v>
      </c>
      <c r="E363" s="27" t="s">
        <v>2889</v>
      </c>
      <c r="F363" s="27" t="str">
        <f t="shared" si="0"/>
        <v>Positive Traits Latin Origin</v>
      </c>
      <c r="G363" s="27">
        <f t="shared" si="1"/>
        <v>10</v>
      </c>
      <c r="H363" s="27" t="s">
        <v>3284</v>
      </c>
      <c r="I363" s="27"/>
      <c r="J363" s="27"/>
      <c r="K363" s="27"/>
      <c r="L363" s="27" t="str">
        <f t="shared" si="2"/>
        <v>P</v>
      </c>
      <c r="M363" s="27" t="str">
        <f>IFERROR(__xludf.DUMMYFUNCTION("GOOGLETRANSLATE(C363,""EN"",""KN"")"),"ಪೂರ್ವಭಾವಿ")</f>
        <v>ಪೂರ್ವಭಾವಿ</v>
      </c>
      <c r="N363" s="27">
        <f t="array" ref="N363">_xlfn.XLOOKUP(B363,'Sets Progress'!I:I,'Sets Progress'!I:I,"NOT YET")</f>
        <v>22</v>
      </c>
      <c r="O363" s="27" t="str">
        <f t="array" ref="O363">_xlfn.XLOOKUP(L:L,'Overall Progress'!L:L,'Overall Progress'!L:L,"NOT YET")</f>
        <v>NOT YET</v>
      </c>
      <c r="P363" s="27"/>
      <c r="Q363" s="27"/>
      <c r="R363" s="27"/>
      <c r="S363" s="27"/>
      <c r="T363" s="27"/>
      <c r="U363" s="27"/>
      <c r="V363" s="27"/>
      <c r="W363" s="27"/>
      <c r="X363" s="27"/>
      <c r="Y363" s="27"/>
      <c r="Z363" s="27"/>
    </row>
    <row r="364" hidden="1" customHeight="1" spans="1:26">
      <c r="A364" s="26">
        <v>1149</v>
      </c>
      <c r="B364" s="26">
        <v>22</v>
      </c>
      <c r="C364" s="26" t="s">
        <v>1480</v>
      </c>
      <c r="D364" s="26" t="s">
        <v>2716</v>
      </c>
      <c r="E364" s="26" t="s">
        <v>2889</v>
      </c>
      <c r="F364" s="26" t="str">
        <f t="shared" si="0"/>
        <v>Negative Traits Latin Origin</v>
      </c>
      <c r="G364" s="26">
        <f t="shared" si="1"/>
        <v>7</v>
      </c>
      <c r="H364" s="26" t="s">
        <v>3285</v>
      </c>
      <c r="I364" s="26"/>
      <c r="J364" s="26"/>
      <c r="K364" s="26"/>
      <c r="L364" s="26" t="str">
        <f t="shared" si="2"/>
        <v>P</v>
      </c>
      <c r="M364" s="26" t="str">
        <f>IFERROR(__xludf.DUMMYFUNCTION("GOOGLETRANSLATE(C364,""EN"",""KN"")"),"ಪ್ಯೂರಿಲ್")</f>
        <v>ಪ್ಯೂರಿಲ್</v>
      </c>
      <c r="N364" s="26">
        <f t="array" ref="N364">_xlfn.XLOOKUP(B364,'Sets Progress'!I:I,'Sets Progress'!I:I,"NOT YET")</f>
        <v>22</v>
      </c>
      <c r="O364" s="26" t="str">
        <f t="array" ref="O364">_xlfn.XLOOKUP(L:L,'Overall Progress'!L:L,'Overall Progress'!L:L,"NOT YET")</f>
        <v>NOT YET</v>
      </c>
      <c r="P364" s="26"/>
      <c r="Q364" s="26"/>
      <c r="R364" s="26"/>
      <c r="S364" s="26"/>
      <c r="T364" s="26"/>
      <c r="U364" s="26"/>
      <c r="V364" s="26"/>
      <c r="W364" s="26"/>
      <c r="X364" s="26"/>
      <c r="Y364" s="26"/>
      <c r="Z364" s="26"/>
    </row>
    <row r="365" hidden="1" customHeight="1" spans="1:26">
      <c r="A365" s="27">
        <v>1172</v>
      </c>
      <c r="B365" s="27">
        <v>22</v>
      </c>
      <c r="C365" s="27" t="s">
        <v>1503</v>
      </c>
      <c r="D365" s="27" t="s">
        <v>1721</v>
      </c>
      <c r="E365" s="27" t="s">
        <v>2889</v>
      </c>
      <c r="F365" s="27" t="str">
        <f t="shared" si="0"/>
        <v>Temporal Latin Origin</v>
      </c>
      <c r="G365" s="27">
        <f t="shared" si="1"/>
        <v>11</v>
      </c>
      <c r="H365" s="27" t="s">
        <v>3286</v>
      </c>
      <c r="I365" s="27"/>
      <c r="J365" s="27"/>
      <c r="K365" s="27"/>
      <c r="L365" s="27" t="str">
        <f t="shared" si="2"/>
        <v>R</v>
      </c>
      <c r="M365" s="27" t="str">
        <f>IFERROR(__xludf.DUMMYFUNCTION("GOOGLETRANSLATE(C365,""EN"",""KN"")"),"ತರ್ಕಬದ್ಧಗೊಳಿಸು")</f>
        <v>ತರ್ಕಬದ್ಧಗೊಳಿಸು</v>
      </c>
      <c r="N365" s="27">
        <f t="array" ref="N365">_xlfn.XLOOKUP(B365,'Sets Progress'!I:I,'Sets Progress'!I:I,"NOT YET")</f>
        <v>22</v>
      </c>
      <c r="O365" s="27" t="str">
        <f t="array" ref="O365">_xlfn.XLOOKUP(L:L,'Overall Progress'!L:L,'Overall Progress'!L:L,"NOT YET")</f>
        <v>NOT YET</v>
      </c>
      <c r="P365" s="27"/>
      <c r="Q365" s="27"/>
      <c r="R365" s="27"/>
      <c r="S365" s="27"/>
      <c r="T365" s="27"/>
      <c r="U365" s="27"/>
      <c r="V365" s="27"/>
      <c r="W365" s="27"/>
      <c r="X365" s="27"/>
      <c r="Y365" s="27"/>
      <c r="Z365" s="27"/>
    </row>
    <row r="366" hidden="1" customHeight="1" spans="1:26">
      <c r="A366" s="26">
        <v>1218</v>
      </c>
      <c r="B366" s="26">
        <v>22</v>
      </c>
      <c r="C366" s="26" t="s">
        <v>1549</v>
      </c>
      <c r="D366" s="26" t="s">
        <v>2717</v>
      </c>
      <c r="E366" s="26" t="s">
        <v>2889</v>
      </c>
      <c r="F366" s="26" t="str">
        <f t="shared" si="0"/>
        <v>Positive Traits Latin Origin</v>
      </c>
      <c r="G366" s="26">
        <f t="shared" si="1"/>
        <v>8</v>
      </c>
      <c r="H366" s="26" t="s">
        <v>3287</v>
      </c>
      <c r="I366" s="26"/>
      <c r="J366" s="26"/>
      <c r="K366" s="26"/>
      <c r="L366" s="26" t="str">
        <f t="shared" si="2"/>
        <v>R</v>
      </c>
      <c r="M366" s="26" t="str">
        <f>IFERROR(__xludf.DUMMYFUNCTION("GOOGLETRANSLATE(C366,""EN"",""KN"")"),"ದೃಢನಿಶ್ಚಯ")</f>
        <v>ದೃಢನಿಶ್ಚಯ</v>
      </c>
      <c r="N366" s="26">
        <f t="array" ref="N366">_xlfn.XLOOKUP(B366,'Sets Progress'!I:I,'Sets Progress'!I:I,"NOT YET")</f>
        <v>22</v>
      </c>
      <c r="O366" s="26" t="str">
        <f t="array" ref="O366">_xlfn.XLOOKUP(L:L,'Overall Progress'!L:L,'Overall Progress'!L:L,"NOT YET")</f>
        <v>NOT YET</v>
      </c>
      <c r="P366" s="26"/>
      <c r="Q366" s="26"/>
      <c r="R366" s="26"/>
      <c r="S366" s="26"/>
      <c r="T366" s="26"/>
      <c r="U366" s="26"/>
      <c r="V366" s="26"/>
      <c r="W366" s="26"/>
      <c r="X366" s="26"/>
      <c r="Y366" s="26"/>
      <c r="Z366" s="26"/>
    </row>
    <row r="367" hidden="1" customHeight="1" spans="1:26">
      <c r="A367" s="27">
        <v>1383</v>
      </c>
      <c r="B367" s="27">
        <v>22</v>
      </c>
      <c r="C367" s="27" t="s">
        <v>1714</v>
      </c>
      <c r="D367" s="27" t="s">
        <v>2716</v>
      </c>
      <c r="E367" s="27" t="s">
        <v>2908</v>
      </c>
      <c r="F367" s="27" t="str">
        <f t="shared" si="0"/>
        <v>Negative Traits Old English Origin</v>
      </c>
      <c r="G367" s="27">
        <f t="shared" si="1"/>
        <v>7</v>
      </c>
      <c r="H367" s="27" t="s">
        <v>3288</v>
      </c>
      <c r="I367" s="27"/>
      <c r="J367" s="27"/>
      <c r="K367" s="27"/>
      <c r="L367" s="27" t="str">
        <f t="shared" si="2"/>
        <v>T</v>
      </c>
      <c r="M367" s="27" t="str">
        <f>IFERROR(__xludf.DUMMYFUNCTION("GOOGLETRANSLATE(C367,""EN"",""KN"")"),"ಕಳಂಕಿತಗೊಳಿಸು")</f>
        <v>ಕಳಂಕಿತಗೊಳಿಸು</v>
      </c>
      <c r="N367" s="27">
        <f t="array" ref="N367">_xlfn.XLOOKUP(B367,'Sets Progress'!I:I,'Sets Progress'!I:I,"NOT YET")</f>
        <v>22</v>
      </c>
      <c r="O367" s="27" t="str">
        <f t="array" ref="O367">_xlfn.XLOOKUP(L:L,'Overall Progress'!L:L,'Overall Progress'!L:L,"NOT YET")</f>
        <v>NOT YET</v>
      </c>
      <c r="P367" s="27"/>
      <c r="Q367" s="27"/>
      <c r="R367" s="27"/>
      <c r="S367" s="27"/>
      <c r="T367" s="27"/>
      <c r="U367" s="27"/>
      <c r="V367" s="27"/>
      <c r="W367" s="27"/>
      <c r="X367" s="27"/>
      <c r="Y367" s="27"/>
      <c r="Z367" s="27"/>
    </row>
    <row r="368" hidden="1" customHeight="1" spans="1:26">
      <c r="A368" s="26">
        <v>1418</v>
      </c>
      <c r="B368" s="26">
        <v>22</v>
      </c>
      <c r="C368" s="26" t="s">
        <v>1749</v>
      </c>
      <c r="D368" s="26" t="s">
        <v>2716</v>
      </c>
      <c r="E368" s="26" t="s">
        <v>2889</v>
      </c>
      <c r="F368" s="26" t="str">
        <f t="shared" si="0"/>
        <v>Negative Traits Latin Origin</v>
      </c>
      <c r="G368" s="26">
        <f t="shared" si="1"/>
        <v>13</v>
      </c>
      <c r="H368" s="26" t="s">
        <v>3289</v>
      </c>
      <c r="I368" s="26"/>
      <c r="J368" s="26"/>
      <c r="K368" s="26"/>
      <c r="L368" s="26" t="str">
        <f t="shared" si="2"/>
        <v>T</v>
      </c>
      <c r="M368" s="26" t="str">
        <f>IFERROR(__xludf.DUMMYFUNCTION("GOOGLETRANSLATE(C368,""EN"",""KN"")"),"ಅತಿಕ್ರಮಣ")</f>
        <v>ಅತಿಕ್ರಮಣ</v>
      </c>
      <c r="N368" s="26">
        <f t="array" ref="N368">_xlfn.XLOOKUP(B368,'Sets Progress'!I:I,'Sets Progress'!I:I,"NOT YET")</f>
        <v>22</v>
      </c>
      <c r="O368" s="26" t="str">
        <f t="array" ref="O368">_xlfn.XLOOKUP(L:L,'Overall Progress'!L:L,'Overall Progress'!L:L,"NOT YET")</f>
        <v>NOT YET</v>
      </c>
      <c r="P368" s="26"/>
      <c r="Q368" s="26"/>
      <c r="R368" s="26"/>
      <c r="S368" s="26"/>
      <c r="T368" s="26"/>
      <c r="U368" s="26"/>
      <c r="V368" s="26"/>
      <c r="W368" s="26"/>
      <c r="X368" s="26"/>
      <c r="Y368" s="26"/>
      <c r="Z368" s="26"/>
    </row>
    <row r="369" hidden="1" customHeight="1" spans="1:26">
      <c r="A369" s="27">
        <v>1435</v>
      </c>
      <c r="B369" s="27">
        <v>22</v>
      </c>
      <c r="C369" s="27" t="s">
        <v>1763</v>
      </c>
      <c r="D369" s="27" t="s">
        <v>1721</v>
      </c>
      <c r="E369" s="27" t="s">
        <v>2889</v>
      </c>
      <c r="F369" s="27" t="str">
        <f t="shared" si="0"/>
        <v>Temporal Latin Origin</v>
      </c>
      <c r="G369" s="27">
        <f t="shared" si="1"/>
        <v>8</v>
      </c>
      <c r="H369" s="27" t="s">
        <v>3290</v>
      </c>
      <c r="I369" s="27"/>
      <c r="J369" s="27"/>
      <c r="K369" s="27"/>
      <c r="L369" s="27" t="str">
        <f t="shared" si="2"/>
        <v>U</v>
      </c>
      <c r="M369" s="27" t="str">
        <f>IFERROR(__xludf.DUMMYFUNCTION("GOOGLETRANSLATE(C369,""EN"",""KN"")"),"ಉಲ್ಟೇರಿಯರ್")</f>
        <v>ಉಲ್ಟೇರಿಯರ್</v>
      </c>
      <c r="N369" s="27">
        <f t="array" ref="N369">_xlfn.XLOOKUP(B369,'Sets Progress'!I:I,'Sets Progress'!I:I,"NOT YET")</f>
        <v>22</v>
      </c>
      <c r="O369" s="27" t="str">
        <f t="array" ref="O369">_xlfn.XLOOKUP(L:L,'Overall Progress'!L:L,'Overall Progress'!L:L,"NOT YET")</f>
        <v>NOT YET</v>
      </c>
      <c r="P369" s="27"/>
      <c r="Q369" s="27"/>
      <c r="R369" s="27"/>
      <c r="S369" s="27"/>
      <c r="T369" s="27"/>
      <c r="U369" s="27"/>
      <c r="V369" s="27"/>
      <c r="W369" s="27"/>
      <c r="X369" s="27"/>
      <c r="Y369" s="27"/>
      <c r="Z369" s="27"/>
    </row>
    <row r="370" hidden="1" customHeight="1" spans="1:26">
      <c r="A370" s="26">
        <v>1452</v>
      </c>
      <c r="B370" s="26">
        <v>22</v>
      </c>
      <c r="C370" s="26" t="s">
        <v>1780</v>
      </c>
      <c r="D370" s="26" t="s">
        <v>1721</v>
      </c>
      <c r="E370" s="26" t="s">
        <v>2908</v>
      </c>
      <c r="F370" s="26" t="str">
        <f t="shared" si="0"/>
        <v>Temporal Old English Origin</v>
      </c>
      <c r="G370" s="26">
        <f t="shared" si="1"/>
        <v>10</v>
      </c>
      <c r="H370" s="26" t="s">
        <v>3291</v>
      </c>
      <c r="I370" s="26"/>
      <c r="J370" s="26"/>
      <c r="K370" s="26"/>
      <c r="L370" s="26" t="str">
        <f t="shared" si="2"/>
        <v>U</v>
      </c>
      <c r="M370" s="26" t="str">
        <f>IFERROR(__xludf.DUMMYFUNCTION("GOOGLETRANSLATE(C370,""EN"",""KN"")"),"ಅಂಡರ್ಸ್ಕೋರ್")</f>
        <v>ಅಂಡರ್ಸ್ಕೋರ್</v>
      </c>
      <c r="N370" s="26">
        <f t="array" ref="N370">_xlfn.XLOOKUP(B370,'Sets Progress'!I:I,'Sets Progress'!I:I,"NOT YET")</f>
        <v>22</v>
      </c>
      <c r="O370" s="26" t="str">
        <f t="array" ref="O370">_xlfn.XLOOKUP(L:L,'Overall Progress'!L:L,'Overall Progress'!L:L,"NOT YET")</f>
        <v>NOT YET</v>
      </c>
      <c r="P370" s="26"/>
      <c r="Q370" s="26"/>
      <c r="R370" s="26"/>
      <c r="S370" s="26"/>
      <c r="T370" s="26"/>
      <c r="U370" s="26"/>
      <c r="V370" s="26"/>
      <c r="W370" s="26"/>
      <c r="X370" s="26"/>
      <c r="Y370" s="26"/>
      <c r="Z370" s="26"/>
    </row>
    <row r="371" hidden="1" customHeight="1" spans="1:26">
      <c r="A371" s="27">
        <v>88</v>
      </c>
      <c r="B371" s="27">
        <v>23</v>
      </c>
      <c r="C371" s="27" t="s">
        <v>439</v>
      </c>
      <c r="D371" s="27" t="s">
        <v>2928</v>
      </c>
      <c r="E371" s="27" t="s">
        <v>2893</v>
      </c>
      <c r="F371" s="27" t="str">
        <f t="shared" si="0"/>
        <v>Philosophical Greek Origin</v>
      </c>
      <c r="G371" s="27">
        <f t="shared" si="1"/>
        <v>8</v>
      </c>
      <c r="H371" s="27" t="s">
        <v>3292</v>
      </c>
      <c r="I371" s="27"/>
      <c r="J371" s="27"/>
      <c r="K371" s="27"/>
      <c r="L371" s="27" t="str">
        <f t="shared" si="2"/>
        <v>A</v>
      </c>
      <c r="M371" s="27" t="str">
        <f>IFERROR(__xludf.DUMMYFUNCTION("GOOGLETRANSLATE(C371,""EN"",""KN"")"),"ಆಫ್ರಾರಿಸಂ")</f>
        <v>ಆಫ್ರಾರಿಸಂ</v>
      </c>
      <c r="N371" s="27">
        <f t="array" ref="N371">_xlfn.XLOOKUP(B371,'Sets Progress'!I:I,'Sets Progress'!I:I,"NOT YET")</f>
        <v>23</v>
      </c>
      <c r="O371" s="27" t="str">
        <f t="array" ref="O371">_xlfn.XLOOKUP(L:L,'Overall Progress'!L:L,'Overall Progress'!L:L,"NOT YET")</f>
        <v>NOT YET</v>
      </c>
      <c r="P371" s="27"/>
      <c r="Q371" s="27"/>
      <c r="R371" s="27"/>
      <c r="S371" s="27"/>
      <c r="T371" s="27"/>
      <c r="U371" s="27"/>
      <c r="V371" s="27"/>
      <c r="W371" s="27"/>
      <c r="X371" s="27"/>
      <c r="Y371" s="27"/>
      <c r="Z371" s="27"/>
    </row>
    <row r="372" hidden="1" customHeight="1" spans="1:26">
      <c r="A372" s="26">
        <v>141</v>
      </c>
      <c r="B372" s="26">
        <v>23</v>
      </c>
      <c r="C372" s="26" t="s">
        <v>490</v>
      </c>
      <c r="D372" s="26" t="s">
        <v>2928</v>
      </c>
      <c r="E372" s="26" t="s">
        <v>2893</v>
      </c>
      <c r="F372" s="26" t="str">
        <f t="shared" si="0"/>
        <v>Philosophical Greek Origin</v>
      </c>
      <c r="G372" s="26">
        <f t="shared" si="1"/>
        <v>9</v>
      </c>
      <c r="H372" s="26" t="s">
        <v>3293</v>
      </c>
      <c r="I372" s="26"/>
      <c r="J372" s="26"/>
      <c r="K372" s="26"/>
      <c r="L372" s="26" t="str">
        <f t="shared" si="2"/>
        <v>A</v>
      </c>
      <c r="M372" s="26" t="str">
        <f>IFERROR(__xludf.DUMMYFUNCTION("GOOGLETRANSLATE(C372,""EN"",""KN"")"),"ಆಕ್ಸಿಯೋಮ್ಯಾಟಿಕ್")</f>
        <v>ಆಕ್ಸಿಯೋಮ್ಯಾಟಿಕ್</v>
      </c>
      <c r="N372" s="26">
        <f t="array" ref="N372">_xlfn.XLOOKUP(B372,'Sets Progress'!I:I,'Sets Progress'!I:I,"NOT YET")</f>
        <v>23</v>
      </c>
      <c r="O372" s="26" t="str">
        <f t="array" ref="O372">_xlfn.XLOOKUP(L:L,'Overall Progress'!L:L,'Overall Progress'!L:L,"NOT YET")</f>
        <v>NOT YET</v>
      </c>
      <c r="P372" s="26"/>
      <c r="Q372" s="26"/>
      <c r="R372" s="26"/>
      <c r="S372" s="26"/>
      <c r="T372" s="26"/>
      <c r="U372" s="26"/>
      <c r="V372" s="26"/>
      <c r="W372" s="26"/>
      <c r="X372" s="26"/>
      <c r="Y372" s="26"/>
      <c r="Z372" s="26"/>
    </row>
    <row r="373" hidden="1" customHeight="1" spans="1:26">
      <c r="A373" s="27">
        <v>165</v>
      </c>
      <c r="B373" s="27">
        <v>23</v>
      </c>
      <c r="C373" s="27" t="s">
        <v>514</v>
      </c>
      <c r="D373" s="27" t="s">
        <v>2946</v>
      </c>
      <c r="E373" s="27" t="s">
        <v>2908</v>
      </c>
      <c r="F373" s="27" t="str">
        <f t="shared" si="0"/>
        <v>Emotional Old English Origin</v>
      </c>
      <c r="G373" s="27">
        <f t="shared" si="1"/>
        <v>6</v>
      </c>
      <c r="H373" s="27" t="s">
        <v>3294</v>
      </c>
      <c r="I373" s="27"/>
      <c r="J373" s="27"/>
      <c r="K373" s="27"/>
      <c r="L373" s="27" t="str">
        <f t="shared" si="2"/>
        <v>B</v>
      </c>
      <c r="M373" s="27" t="str">
        <f>IFERROR(__xludf.DUMMYFUNCTION("GOOGLETRANSLATE(C373,""EN"",""KN"")"),"ಬೆರಟೆ")</f>
        <v>ಬೆರಟೆ</v>
      </c>
      <c r="N373" s="27">
        <f t="array" ref="N373">_xlfn.XLOOKUP(B373,'Sets Progress'!I:I,'Sets Progress'!I:I,"NOT YET")</f>
        <v>23</v>
      </c>
      <c r="O373" s="27" t="str">
        <f t="array" ref="O373">_xlfn.XLOOKUP(L:L,'Overall Progress'!L:L,'Overall Progress'!L:L,"NOT YET")</f>
        <v>NOT YET</v>
      </c>
      <c r="P373" s="27"/>
      <c r="Q373" s="27"/>
      <c r="R373" s="27"/>
      <c r="S373" s="27"/>
      <c r="T373" s="27"/>
      <c r="U373" s="27"/>
      <c r="V373" s="27"/>
      <c r="W373" s="27"/>
      <c r="X373" s="27"/>
      <c r="Y373" s="27"/>
      <c r="Z373" s="27"/>
    </row>
    <row r="374" hidden="1" customHeight="1" spans="1:26">
      <c r="A374" s="26">
        <v>532</v>
      </c>
      <c r="B374" s="26">
        <v>23</v>
      </c>
      <c r="C374" s="26" t="s">
        <v>145</v>
      </c>
      <c r="D374" s="26" t="s">
        <v>3022</v>
      </c>
      <c r="E374" s="26" t="s">
        <v>2889</v>
      </c>
      <c r="F374" s="26" t="str">
        <f t="shared" si="0"/>
        <v>Intellectual Latin Origin</v>
      </c>
      <c r="G374" s="26">
        <f t="shared" si="1"/>
        <v>7</v>
      </c>
      <c r="H374" s="26" t="s">
        <v>3295</v>
      </c>
      <c r="I374" s="26"/>
      <c r="J374" s="26"/>
      <c r="K374" s="26"/>
      <c r="L374" s="26" t="str">
        <f t="shared" si="2"/>
        <v>E</v>
      </c>
      <c r="M374" s="26" t="str">
        <f>IFERROR(__xludf.DUMMYFUNCTION("GOOGLETRANSLATE(C374,""EN"",""KN"")"),"ಎರುಡೈಟ್")</f>
        <v>ಎರುಡೈಟ್</v>
      </c>
      <c r="N374" s="26">
        <f t="array" ref="N374">_xlfn.XLOOKUP(B374,'Sets Progress'!I:I,'Sets Progress'!I:I,"NOT YET")</f>
        <v>23</v>
      </c>
      <c r="O374" s="26" t="str">
        <f t="array" ref="O374">_xlfn.XLOOKUP(L:L,'Overall Progress'!L:L,'Overall Progress'!L:L,"NOT YET")</f>
        <v>NOT YET</v>
      </c>
      <c r="P374" s="26"/>
      <c r="Q374" s="26"/>
      <c r="R374" s="26"/>
      <c r="S374" s="26"/>
      <c r="T374" s="26"/>
      <c r="U374" s="26"/>
      <c r="V374" s="26"/>
      <c r="W374" s="26"/>
      <c r="X374" s="26"/>
      <c r="Y374" s="26"/>
      <c r="Z374" s="26"/>
    </row>
    <row r="375" hidden="1" customHeight="1" spans="1:26">
      <c r="A375" s="27">
        <v>719</v>
      </c>
      <c r="B375" s="27">
        <v>23</v>
      </c>
      <c r="C375" s="27" t="s">
        <v>1061</v>
      </c>
      <c r="D375" s="27" t="s">
        <v>2716</v>
      </c>
      <c r="E375" s="27" t="s">
        <v>2889</v>
      </c>
      <c r="F375" s="27" t="str">
        <f t="shared" si="0"/>
        <v>Negative Traits Latin Origin</v>
      </c>
      <c r="G375" s="27">
        <f t="shared" si="1"/>
        <v>11</v>
      </c>
      <c r="H375" s="27" t="s">
        <v>3296</v>
      </c>
      <c r="I375" s="27"/>
      <c r="J375" s="27"/>
      <c r="K375" s="27"/>
      <c r="L375" s="27" t="str">
        <f t="shared" si="2"/>
        <v>I</v>
      </c>
      <c r="M375" s="27" t="str">
        <f>IFERROR(__xludf.DUMMYFUNCTION("GOOGLETRANSLATE(C375,""EN"",""KN"")"),"ನಿರ್ಭಯ")</f>
        <v>ನಿರ್ಭಯ</v>
      </c>
      <c r="N375" s="27">
        <f t="array" ref="N375">_xlfn.XLOOKUP(B375,'Sets Progress'!I:I,'Sets Progress'!I:I,"NOT YET")</f>
        <v>23</v>
      </c>
      <c r="O375" s="27" t="str">
        <f t="array" ref="O375">_xlfn.XLOOKUP(L:L,'Overall Progress'!L:L,'Overall Progress'!L:L,"NOT YET")</f>
        <v>NOT YET</v>
      </c>
      <c r="P375" s="27"/>
      <c r="Q375" s="27"/>
      <c r="R375" s="27"/>
      <c r="S375" s="27"/>
      <c r="T375" s="27"/>
      <c r="U375" s="27"/>
      <c r="V375" s="27"/>
      <c r="W375" s="27"/>
      <c r="X375" s="27"/>
      <c r="Y375" s="27"/>
      <c r="Z375" s="27"/>
    </row>
    <row r="376" hidden="1" customHeight="1" spans="1:26">
      <c r="A376" s="26">
        <v>836</v>
      </c>
      <c r="B376" s="26">
        <v>23</v>
      </c>
      <c r="C376" s="26" t="s">
        <v>1176</v>
      </c>
      <c r="D376" s="26" t="s">
        <v>1721</v>
      </c>
      <c r="E376" s="26" t="s">
        <v>2889</v>
      </c>
      <c r="F376" s="26" t="str">
        <f t="shared" si="0"/>
        <v>Temporal Latin Origin</v>
      </c>
      <c r="G376" s="26">
        <f t="shared" si="1"/>
        <v>9</v>
      </c>
      <c r="H376" s="26" t="s">
        <v>3297</v>
      </c>
      <c r="I376" s="26"/>
      <c r="J376" s="26"/>
      <c r="K376" s="26"/>
      <c r="L376" s="26" t="str">
        <f t="shared" si="2"/>
        <v>I</v>
      </c>
      <c r="M376" s="26" t="str">
        <f>IFERROR(__xludf.DUMMYFUNCTION("GOOGLETRANSLATE(C376,""EN"",""KN"")"),"ಸಂಚಾರಿ")</f>
        <v>ಸಂಚಾರಿ</v>
      </c>
      <c r="N376" s="26">
        <f t="array" ref="N376">_xlfn.XLOOKUP(B376,'Sets Progress'!I:I,'Sets Progress'!I:I,"NOT YET")</f>
        <v>23</v>
      </c>
      <c r="O376" s="26" t="str">
        <f t="array" ref="O376">_xlfn.XLOOKUP(L:L,'Overall Progress'!L:L,'Overall Progress'!L:L,"NOT YET")</f>
        <v>NOT YET</v>
      </c>
      <c r="P376" s="26"/>
      <c r="Q376" s="26"/>
      <c r="R376" s="26"/>
      <c r="S376" s="26"/>
      <c r="T376" s="26"/>
      <c r="U376" s="26"/>
      <c r="V376" s="26"/>
      <c r="W376" s="26"/>
      <c r="X376" s="26"/>
      <c r="Y376" s="26"/>
      <c r="Z376" s="26"/>
    </row>
    <row r="377" hidden="1" customHeight="1" spans="1:26">
      <c r="A377" s="27">
        <v>941</v>
      </c>
      <c r="B377" s="27">
        <v>23</v>
      </c>
      <c r="C377" s="27" t="s">
        <v>1277</v>
      </c>
      <c r="D377" s="27" t="s">
        <v>1721</v>
      </c>
      <c r="E377" s="27" t="s">
        <v>3298</v>
      </c>
      <c r="F377" s="27" t="str">
        <f t="shared" si="0"/>
        <v>Temporal Arabic Origin</v>
      </c>
      <c r="G377" s="27">
        <f t="shared" si="1"/>
        <v>5</v>
      </c>
      <c r="H377" s="27" t="s">
        <v>3299</v>
      </c>
      <c r="I377" s="27"/>
      <c r="J377" s="27" t="s">
        <v>3300</v>
      </c>
      <c r="K377" s="27"/>
      <c r="L377" s="27" t="str">
        <f t="shared" si="2"/>
        <v>N</v>
      </c>
      <c r="M377" s="27" t="str">
        <f>IFERROR(__xludf.DUMMYFUNCTION("GOOGLETRANSLATE(C377,""EN"",""KN"")"),"ನಾದಿರ್")</f>
        <v>ನಾದಿರ್</v>
      </c>
      <c r="N377" s="27">
        <f t="array" ref="N377">_xlfn.XLOOKUP(B377,'Sets Progress'!I:I,'Sets Progress'!I:I,"NOT YET")</f>
        <v>23</v>
      </c>
      <c r="O377" s="27" t="str">
        <f t="array" ref="O377">_xlfn.XLOOKUP(L:L,'Overall Progress'!L:L,'Overall Progress'!L:L,"NOT YET")</f>
        <v>NOT YET</v>
      </c>
      <c r="P377" s="27"/>
      <c r="Q377" s="27"/>
      <c r="R377" s="27"/>
      <c r="S377" s="27"/>
      <c r="T377" s="27"/>
      <c r="U377" s="27"/>
      <c r="V377" s="27"/>
      <c r="W377" s="27"/>
      <c r="X377" s="27"/>
      <c r="Y377" s="27"/>
      <c r="Z377" s="27"/>
    </row>
    <row r="378" hidden="1" customHeight="1" spans="1:26">
      <c r="A378" s="26">
        <v>980</v>
      </c>
      <c r="B378" s="26">
        <v>23</v>
      </c>
      <c r="C378" s="26" t="s">
        <v>1316</v>
      </c>
      <c r="D378" s="26" t="s">
        <v>2716</v>
      </c>
      <c r="E378" s="26" t="s">
        <v>2889</v>
      </c>
      <c r="F378" s="26" t="str">
        <f t="shared" si="0"/>
        <v>Negative Traits Latin Origin</v>
      </c>
      <c r="G378" s="26">
        <f t="shared" si="1"/>
        <v>9</v>
      </c>
      <c r="H378" s="26" t="s">
        <v>3301</v>
      </c>
      <c r="I378" s="26"/>
      <c r="J378" s="26"/>
      <c r="K378" s="26"/>
      <c r="L378" s="26" t="str">
        <f t="shared" si="2"/>
        <v>O</v>
      </c>
      <c r="M378" s="26" t="str">
        <f>IFERROR(__xludf.DUMMYFUNCTION("GOOGLETRANSLATE(C378,""EN"",""KN"")"),"ಅಧಿಕೃತ")</f>
        <v>ಅಧಿಕೃತ</v>
      </c>
      <c r="N378" s="26">
        <f t="array" ref="N378">_xlfn.XLOOKUP(B378,'Sets Progress'!I:I,'Sets Progress'!I:I,"NOT YET")</f>
        <v>23</v>
      </c>
      <c r="O378" s="26" t="str">
        <f t="array" ref="O378">_xlfn.XLOOKUP(L:L,'Overall Progress'!L:L,'Overall Progress'!L:L,"NOT YET")</f>
        <v>NOT YET</v>
      </c>
      <c r="P378" s="26"/>
      <c r="Q378" s="26"/>
      <c r="R378" s="26"/>
      <c r="S378" s="26"/>
      <c r="T378" s="26"/>
      <c r="U378" s="26"/>
      <c r="V378" s="26"/>
      <c r="W378" s="26"/>
      <c r="X378" s="26"/>
      <c r="Y378" s="26"/>
      <c r="Z378" s="26"/>
    </row>
    <row r="379" hidden="1" customHeight="1" spans="1:26">
      <c r="A379" s="27">
        <v>1083</v>
      </c>
      <c r="B379" s="27">
        <v>23</v>
      </c>
      <c r="C379" s="27" t="s">
        <v>1418</v>
      </c>
      <c r="D379" s="27" t="s">
        <v>2717</v>
      </c>
      <c r="E379" s="27" t="s">
        <v>2893</v>
      </c>
      <c r="F379" s="27" t="str">
        <f t="shared" si="0"/>
        <v>Positive Traits Greek Origin</v>
      </c>
      <c r="G379" s="27">
        <f t="shared" si="1"/>
        <v>8</v>
      </c>
      <c r="H379" s="27" t="s">
        <v>3302</v>
      </c>
      <c r="I379" s="27"/>
      <c r="J379" s="27"/>
      <c r="K379" s="27"/>
      <c r="L379" s="27" t="str">
        <f t="shared" si="2"/>
        <v>P</v>
      </c>
      <c r="M379" s="27" t="str">
        <f>IFERROR(__xludf.DUMMYFUNCTION("GOOGLETRANSLATE(C379,""EN"",""KN"")"),"ಪಾಲಿಮತ್")</f>
        <v>ಪಾಲಿಮತ್</v>
      </c>
      <c r="N379" s="27">
        <f t="array" ref="N379">_xlfn.XLOOKUP(B379,'Sets Progress'!I:I,'Sets Progress'!I:I,"NOT YET")</f>
        <v>23</v>
      </c>
      <c r="O379" s="27" t="str">
        <f t="array" ref="O379">_xlfn.XLOOKUP(L:L,'Overall Progress'!L:L,'Overall Progress'!L:L,"NOT YET")</f>
        <v>NOT YET</v>
      </c>
      <c r="P379" s="27"/>
      <c r="Q379" s="27"/>
      <c r="R379" s="27"/>
      <c r="S379" s="27"/>
      <c r="T379" s="27"/>
      <c r="U379" s="27"/>
      <c r="V379" s="27"/>
      <c r="W379" s="27"/>
      <c r="X379" s="27"/>
      <c r="Y379" s="27"/>
      <c r="Z379" s="27"/>
    </row>
    <row r="380" hidden="1" customHeight="1" spans="1:26">
      <c r="A380" s="26">
        <v>1298</v>
      </c>
      <c r="B380" s="26">
        <v>23</v>
      </c>
      <c r="C380" s="26" t="s">
        <v>1629</v>
      </c>
      <c r="D380" s="26" t="s">
        <v>2716</v>
      </c>
      <c r="E380" s="26" t="s">
        <v>2908</v>
      </c>
      <c r="F380" s="26" t="str">
        <f t="shared" si="0"/>
        <v>Negative Traits Old English Origin</v>
      </c>
      <c r="G380" s="26">
        <f t="shared" si="1"/>
        <v>5</v>
      </c>
      <c r="H380" s="26" t="s">
        <v>3303</v>
      </c>
      <c r="I380" s="26"/>
      <c r="J380" s="26"/>
      <c r="K380" s="26"/>
      <c r="L380" s="26" t="str">
        <f t="shared" si="2"/>
        <v>S</v>
      </c>
      <c r="M380" s="26" t="str">
        <f>IFERROR(__xludf.DUMMYFUNCTION("GOOGLETRANSLATE(C380,""EN"",""KN"")"),"ಬಲೆ")</f>
        <v>ಬಲೆ</v>
      </c>
      <c r="N380" s="26">
        <f t="array" ref="N380">_xlfn.XLOOKUP(B380,'Sets Progress'!I:I,'Sets Progress'!I:I,"NOT YET")</f>
        <v>23</v>
      </c>
      <c r="O380" s="26" t="str">
        <f t="array" ref="O380">_xlfn.XLOOKUP(L:L,'Overall Progress'!L:L,'Overall Progress'!L:L,"NOT YET")</f>
        <v>NOT YET</v>
      </c>
      <c r="P380" s="26"/>
      <c r="Q380" s="26"/>
      <c r="R380" s="26"/>
      <c r="S380" s="26"/>
      <c r="T380" s="26"/>
      <c r="U380" s="26"/>
      <c r="V380" s="26"/>
      <c r="W380" s="26"/>
      <c r="X380" s="26"/>
      <c r="Y380" s="26"/>
      <c r="Z380" s="26"/>
    </row>
    <row r="381" hidden="1" customHeight="1" spans="1:26">
      <c r="A381" s="27">
        <v>1341</v>
      </c>
      <c r="B381" s="27">
        <v>23</v>
      </c>
      <c r="C381" s="27" t="s">
        <v>1672</v>
      </c>
      <c r="D381" s="27" t="s">
        <v>1721</v>
      </c>
      <c r="E381" s="27" t="s">
        <v>2889</v>
      </c>
      <c r="F381" s="27" t="str">
        <f t="shared" si="0"/>
        <v>Temporal Latin Origin</v>
      </c>
      <c r="G381" s="27">
        <f t="shared" si="1"/>
        <v>7</v>
      </c>
      <c r="H381" s="27" t="s">
        <v>3304</v>
      </c>
      <c r="I381" s="27"/>
      <c r="J381" s="27"/>
      <c r="K381" s="27"/>
      <c r="L381" s="27" t="str">
        <f t="shared" si="2"/>
        <v>S</v>
      </c>
      <c r="M381" s="27" t="str">
        <f>IFERROR(__xludf.DUMMYFUNCTION("GOOGLETRANSLATE(C381,""EN"",""KN"")"),"ತಗ್ಗಿಸು")</f>
        <v>ತಗ್ಗಿಸು</v>
      </c>
      <c r="N381" s="27">
        <f t="array" ref="N381">_xlfn.XLOOKUP(B381,'Sets Progress'!I:I,'Sets Progress'!I:I,"NOT YET")</f>
        <v>23</v>
      </c>
      <c r="O381" s="27" t="str">
        <f t="array" ref="O381">_xlfn.XLOOKUP(L:L,'Overall Progress'!L:L,'Overall Progress'!L:L,"NOT YET")</f>
        <v>NOT YET</v>
      </c>
      <c r="P381" s="27"/>
      <c r="Q381" s="27"/>
      <c r="R381" s="27"/>
      <c r="S381" s="27"/>
      <c r="T381" s="27"/>
      <c r="U381" s="27"/>
      <c r="V381" s="27"/>
      <c r="W381" s="27"/>
      <c r="X381" s="27"/>
      <c r="Y381" s="27"/>
      <c r="Z381" s="27"/>
    </row>
    <row r="382" hidden="1" customHeight="1" spans="1:26">
      <c r="A382" s="26">
        <v>1395</v>
      </c>
      <c r="B382" s="26">
        <v>23</v>
      </c>
      <c r="C382" s="26" t="s">
        <v>1726</v>
      </c>
      <c r="D382" s="26" t="s">
        <v>1721</v>
      </c>
      <c r="E382" s="26" t="s">
        <v>2889</v>
      </c>
      <c r="F382" s="26" t="str">
        <f t="shared" si="0"/>
        <v>Temporal Latin Origin</v>
      </c>
      <c r="G382" s="26">
        <f t="shared" si="1"/>
        <v>9</v>
      </c>
      <c r="H382" s="26" t="s">
        <v>3305</v>
      </c>
      <c r="I382" s="26"/>
      <c r="J382" s="26"/>
      <c r="K382" s="26"/>
      <c r="L382" s="26" t="str">
        <f t="shared" si="2"/>
        <v>T</v>
      </c>
      <c r="M382" s="26" t="str">
        <f>IFERROR(__xludf.DUMMYFUNCTION("GOOGLETRANSLATE(C382,""EN"",""KN"")"),"ತಾತ್ಕಾಲಿಕ")</f>
        <v>ತಾತ್ಕಾಲಿಕ</v>
      </c>
      <c r="N382" s="26">
        <f t="array" ref="N382">_xlfn.XLOOKUP(B382,'Sets Progress'!I:I,'Sets Progress'!I:I,"NOT YET")</f>
        <v>23</v>
      </c>
      <c r="O382" s="26" t="str">
        <f t="array" ref="O382">_xlfn.XLOOKUP(L:L,'Overall Progress'!L:L,'Overall Progress'!L:L,"NOT YET")</f>
        <v>NOT YET</v>
      </c>
      <c r="P382" s="26"/>
      <c r="Q382" s="26"/>
      <c r="R382" s="26"/>
      <c r="S382" s="26"/>
      <c r="T382" s="26"/>
      <c r="U382" s="26"/>
      <c r="V382" s="26"/>
      <c r="W382" s="26"/>
      <c r="X382" s="26"/>
      <c r="Y382" s="26"/>
      <c r="Z382" s="26"/>
    </row>
    <row r="383" hidden="1" customHeight="1" spans="1:26">
      <c r="A383" s="27">
        <v>1404</v>
      </c>
      <c r="B383" s="27">
        <v>23</v>
      </c>
      <c r="C383" s="27" t="s">
        <v>1735</v>
      </c>
      <c r="D383" s="27" t="s">
        <v>1721</v>
      </c>
      <c r="E383" s="27" t="s">
        <v>2908</v>
      </c>
      <c r="F383" s="27" t="str">
        <f t="shared" si="0"/>
        <v>Temporal Old English Origin</v>
      </c>
      <c r="G383" s="27">
        <f t="shared" si="1"/>
        <v>8</v>
      </c>
      <c r="H383" s="27" t="s">
        <v>3306</v>
      </c>
      <c r="I383" s="27"/>
      <c r="J383" s="27"/>
      <c r="K383" s="27"/>
      <c r="L383" s="27" t="str">
        <f t="shared" si="2"/>
        <v>T</v>
      </c>
      <c r="M383" s="27" t="str">
        <f>IFERROR(__xludf.DUMMYFUNCTION("GOOGLETRANSLATE(C383,""EN"",""KN"")"),"ರೋಮಾಂಚನವಾಯಿತು")</f>
        <v>ರೋಮಾಂಚನವಾಯಿತು</v>
      </c>
      <c r="N383" s="27">
        <f t="array" ref="N383">_xlfn.XLOOKUP(B383,'Sets Progress'!I:I,'Sets Progress'!I:I,"NOT YET")</f>
        <v>23</v>
      </c>
      <c r="O383" s="27" t="str">
        <f t="array" ref="O383">_xlfn.XLOOKUP(L:L,'Overall Progress'!L:L,'Overall Progress'!L:L,"NOT YET")</f>
        <v>NOT YET</v>
      </c>
      <c r="P383" s="27"/>
      <c r="Q383" s="27"/>
      <c r="R383" s="27"/>
      <c r="S383" s="27"/>
      <c r="T383" s="27"/>
      <c r="U383" s="27"/>
      <c r="V383" s="27"/>
      <c r="W383" s="27"/>
      <c r="X383" s="27"/>
      <c r="Y383" s="27"/>
      <c r="Z383" s="27"/>
    </row>
    <row r="384" hidden="1" customHeight="1" spans="1:26">
      <c r="A384" s="26">
        <v>1441</v>
      </c>
      <c r="B384" s="26">
        <v>23</v>
      </c>
      <c r="C384" s="26" t="s">
        <v>1769</v>
      </c>
      <c r="D384" s="26" t="s">
        <v>2716</v>
      </c>
      <c r="E384" s="26" t="s">
        <v>2908</v>
      </c>
      <c r="F384" s="26" t="str">
        <f t="shared" si="0"/>
        <v>Negative Traits Old English Origin</v>
      </c>
      <c r="G384" s="26">
        <f t="shared" si="1"/>
        <v>13</v>
      </c>
      <c r="H384" s="26" t="s">
        <v>3307</v>
      </c>
      <c r="I384" s="26"/>
      <c r="J384" s="26"/>
      <c r="K384" s="26"/>
      <c r="L384" s="26" t="str">
        <f t="shared" si="2"/>
        <v>U</v>
      </c>
      <c r="M384" s="26" t="str">
        <f>IFERROR(__xludf.DUMMYFUNCTION("GOOGLETRANSLATE(C384,""EN"",""KN"")"),"ಮೆಚ್ಚುಗೆಯಿಲ್ಲದ")</f>
        <v>ಮೆಚ್ಚುಗೆಯಿಲ್ಲದ</v>
      </c>
      <c r="N384" s="26">
        <f t="array" ref="N384">_xlfn.XLOOKUP(B384,'Sets Progress'!I:I,'Sets Progress'!I:I,"NOT YET")</f>
        <v>23</v>
      </c>
      <c r="O384" s="26" t="str">
        <f t="array" ref="O384">_xlfn.XLOOKUP(L:L,'Overall Progress'!L:L,'Overall Progress'!L:L,"NOT YET")</f>
        <v>NOT YET</v>
      </c>
      <c r="P384" s="26"/>
      <c r="Q384" s="26"/>
      <c r="R384" s="26"/>
      <c r="S384" s="26"/>
      <c r="T384" s="26"/>
      <c r="U384" s="26"/>
      <c r="V384" s="26"/>
      <c r="W384" s="26"/>
      <c r="X384" s="26"/>
      <c r="Y384" s="26"/>
      <c r="Z384" s="26"/>
    </row>
    <row r="385" hidden="1" customHeight="1" spans="1:26">
      <c r="A385" s="27">
        <v>1463</v>
      </c>
      <c r="B385" s="27">
        <v>23</v>
      </c>
      <c r="C385" s="27" t="s">
        <v>1791</v>
      </c>
      <c r="D385" s="27" t="s">
        <v>1721</v>
      </c>
      <c r="E385" s="27" t="s">
        <v>2908</v>
      </c>
      <c r="F385" s="27" t="str">
        <f t="shared" si="0"/>
        <v>Temporal Old English Origin</v>
      </c>
      <c r="G385" s="27">
        <f t="shared" si="1"/>
        <v>8</v>
      </c>
      <c r="H385" s="27" t="s">
        <v>3308</v>
      </c>
      <c r="I385" s="27"/>
      <c r="J385" s="27"/>
      <c r="K385" s="27"/>
      <c r="L385" s="27" t="str">
        <f t="shared" si="2"/>
        <v>U</v>
      </c>
      <c r="M385" s="27" t="str">
        <f>IFERROR(__xludf.DUMMYFUNCTION("GOOGLETRANSLATE(C385,""EN"",""KN"")"),"ರೂಪುಗೊಂಡಿಲ್ಲ")</f>
        <v>ರೂಪುಗೊಂಡಿಲ್ಲ</v>
      </c>
      <c r="N385" s="27">
        <f t="array" ref="N385">_xlfn.XLOOKUP(B385,'Sets Progress'!I:I,'Sets Progress'!I:I,"NOT YET")</f>
        <v>23</v>
      </c>
      <c r="O385" s="27" t="str">
        <f t="array" ref="O385">_xlfn.XLOOKUP(L:L,'Overall Progress'!L:L,'Overall Progress'!L:L,"NOT YET")</f>
        <v>NOT YET</v>
      </c>
      <c r="P385" s="27"/>
      <c r="Q385" s="27"/>
      <c r="R385" s="27"/>
      <c r="S385" s="27"/>
      <c r="T385" s="27"/>
      <c r="U385" s="27"/>
      <c r="V385" s="27"/>
      <c r="W385" s="27"/>
      <c r="X385" s="27"/>
      <c r="Y385" s="27"/>
      <c r="Z385" s="27"/>
    </row>
    <row r="386" hidden="1" customHeight="1" spans="1:26">
      <c r="A386" s="26">
        <v>1475</v>
      </c>
      <c r="B386" s="26">
        <v>23</v>
      </c>
      <c r="C386" s="26" t="s">
        <v>1803</v>
      </c>
      <c r="D386" s="26" t="s">
        <v>2716</v>
      </c>
      <c r="E386" s="26" t="s">
        <v>2889</v>
      </c>
      <c r="F386" s="26" t="str">
        <f t="shared" si="0"/>
        <v>Negative Traits Latin Origin</v>
      </c>
      <c r="G386" s="26">
        <f t="shared" si="1"/>
        <v>12</v>
      </c>
      <c r="H386" s="26" t="s">
        <v>3309</v>
      </c>
      <c r="I386" s="26"/>
      <c r="J386" s="26"/>
      <c r="K386" s="26"/>
      <c r="L386" s="26" t="str">
        <f t="shared" si="2"/>
        <v>U</v>
      </c>
      <c r="M386" s="26" t="str">
        <f>IFERROR(__xludf.DUMMYFUNCTION("GOOGLETRANSLATE(C386,""EN"",""KN"")"),"ಅನಪೇಕ್ಷಿತ")</f>
        <v>ಅನಪೇಕ್ಷಿತ</v>
      </c>
      <c r="N386" s="26">
        <f t="array" ref="N386">_xlfn.XLOOKUP(B386,'Sets Progress'!I:I,'Sets Progress'!I:I,"NOT YET")</f>
        <v>23</v>
      </c>
      <c r="O386" s="26" t="str">
        <f t="array" ref="O386">_xlfn.XLOOKUP(L:L,'Overall Progress'!L:L,'Overall Progress'!L:L,"NOT YET")</f>
        <v>NOT YET</v>
      </c>
      <c r="P386" s="26"/>
      <c r="Q386" s="26"/>
      <c r="R386" s="26"/>
      <c r="S386" s="26"/>
      <c r="T386" s="26"/>
      <c r="U386" s="26"/>
      <c r="V386" s="26"/>
      <c r="W386" s="26"/>
      <c r="X386" s="26"/>
      <c r="Y386" s="26"/>
      <c r="Z386" s="26"/>
    </row>
    <row r="387" hidden="1" customHeight="1" spans="1:26">
      <c r="A387" s="27">
        <v>1531</v>
      </c>
      <c r="B387" s="27">
        <v>23</v>
      </c>
      <c r="C387" s="27" t="s">
        <v>1859</v>
      </c>
      <c r="D387" s="27" t="s">
        <v>1721</v>
      </c>
      <c r="E387" s="27" t="s">
        <v>2908</v>
      </c>
      <c r="F387" s="27" t="str">
        <f t="shared" si="0"/>
        <v>Temporal Old English Origin</v>
      </c>
      <c r="G387" s="27">
        <f t="shared" si="1"/>
        <v>7</v>
      </c>
      <c r="H387" s="27" t="s">
        <v>3310</v>
      </c>
      <c r="I387" s="27"/>
      <c r="J387" s="27"/>
      <c r="K387" s="27"/>
      <c r="L387" s="27" t="str">
        <f t="shared" si="2"/>
        <v>W</v>
      </c>
      <c r="M387" s="27" t="str">
        <f>IFERROR(__xludf.DUMMYFUNCTION("GOOGLETRANSLATE(C387,""EN"",""KN"")"),"ವೀಡಲ್")</f>
        <v>ವೀಡಲ್</v>
      </c>
      <c r="N387" s="27">
        <f t="array" ref="N387">_xlfn.XLOOKUP(B387,'Sets Progress'!I:I,'Sets Progress'!I:I,"NOT YET")</f>
        <v>23</v>
      </c>
      <c r="O387" s="27" t="str">
        <f t="array" ref="O387">_xlfn.XLOOKUP(L:L,'Overall Progress'!L:L,'Overall Progress'!L:L,"NOT YET")</f>
        <v>NOT YET</v>
      </c>
      <c r="P387" s="27"/>
      <c r="Q387" s="27"/>
      <c r="R387" s="27"/>
      <c r="S387" s="27"/>
      <c r="T387" s="27"/>
      <c r="U387" s="27"/>
      <c r="V387" s="27"/>
      <c r="W387" s="27"/>
      <c r="X387" s="27"/>
      <c r="Y387" s="27"/>
      <c r="Z387" s="27"/>
    </row>
    <row r="388" hidden="1" customHeight="1" spans="1:26">
      <c r="A388" s="26">
        <v>604</v>
      </c>
      <c r="B388" s="26">
        <v>24</v>
      </c>
      <c r="C388" s="26" t="s">
        <v>948</v>
      </c>
      <c r="D388" s="26" t="s">
        <v>2716</v>
      </c>
      <c r="E388" s="26" t="s">
        <v>2889</v>
      </c>
      <c r="F388" s="26" t="str">
        <f t="shared" si="0"/>
        <v>Negative Traits Latin Origin</v>
      </c>
      <c r="G388" s="26">
        <f t="shared" si="1"/>
        <v>8</v>
      </c>
      <c r="H388" s="26" t="s">
        <v>3311</v>
      </c>
      <c r="I388" s="26"/>
      <c r="J388" s="26"/>
      <c r="K388" s="26"/>
      <c r="L388" s="26" t="str">
        <f t="shared" si="2"/>
        <v>F</v>
      </c>
      <c r="M388" s="26" t="str">
        <f>IFERROR(__xludf.DUMMYFUNCTION("GOOGLETRANSLATE(C388,""EN"",""KN"")"),"ಫ್ಲಾಗ್ರ್ಯಾಂಟ್")</f>
        <v>ಫ್ಲಾಗ್ರ್ಯಾಂಟ್</v>
      </c>
      <c r="N388" s="26">
        <f t="array" ref="N388">_xlfn.XLOOKUP(B388,'Sets Progress'!I:I,'Sets Progress'!I:I,"NOT YET")</f>
        <v>24</v>
      </c>
      <c r="O388" s="26" t="str">
        <f t="array" ref="O388">_xlfn.XLOOKUP(L:L,'Overall Progress'!L:L,'Overall Progress'!L:L,"NOT YET")</f>
        <v>NOT YET</v>
      </c>
      <c r="P388" s="26"/>
      <c r="Q388" s="26"/>
      <c r="R388" s="26"/>
      <c r="S388" s="26"/>
      <c r="T388" s="26"/>
      <c r="U388" s="26"/>
      <c r="V388" s="26"/>
      <c r="W388" s="26"/>
      <c r="X388" s="26"/>
      <c r="Y388" s="26"/>
      <c r="Z388" s="26"/>
    </row>
    <row r="389" hidden="1" customHeight="1" spans="1:26">
      <c r="A389" s="27">
        <v>624</v>
      </c>
      <c r="B389" s="27">
        <v>24</v>
      </c>
      <c r="C389" s="27" t="s">
        <v>968</v>
      </c>
      <c r="D389" s="27" t="s">
        <v>1721</v>
      </c>
      <c r="E389" s="27" t="s">
        <v>2889</v>
      </c>
      <c r="F389" s="27" t="str">
        <f t="shared" si="0"/>
        <v>Temporal Latin Origin</v>
      </c>
      <c r="G389" s="27">
        <f t="shared" si="1"/>
        <v>7</v>
      </c>
      <c r="H389" s="27" t="s">
        <v>3312</v>
      </c>
      <c r="I389" s="27"/>
      <c r="J389" s="27"/>
      <c r="K389" s="27"/>
      <c r="L389" s="27" t="str">
        <f t="shared" si="2"/>
        <v>F</v>
      </c>
      <c r="M389" s="27" t="str">
        <f>IFERROR(__xludf.DUMMYFUNCTION("GOOGLETRANSLATE(C389,""EN"",""KN"")"),"ಫೋರ್ಜರಿ")</f>
        <v>ಫೋರ್ಜರಿ</v>
      </c>
      <c r="N389" s="27">
        <f t="array" ref="N389">_xlfn.XLOOKUP(B389,'Sets Progress'!I:I,'Sets Progress'!I:I,"NOT YET")</f>
        <v>24</v>
      </c>
      <c r="O389" s="27" t="str">
        <f t="array" ref="O389">_xlfn.XLOOKUP(L:L,'Overall Progress'!L:L,'Overall Progress'!L:L,"NOT YET")</f>
        <v>NOT YET</v>
      </c>
      <c r="P389" s="27"/>
      <c r="Q389" s="27"/>
      <c r="R389" s="27"/>
      <c r="S389" s="27"/>
      <c r="T389" s="27"/>
      <c r="U389" s="27"/>
      <c r="V389" s="27"/>
      <c r="W389" s="27"/>
      <c r="X389" s="27"/>
      <c r="Y389" s="27"/>
      <c r="Z389" s="27"/>
    </row>
    <row r="390" hidden="1" customHeight="1" spans="1:26">
      <c r="A390" s="26">
        <v>704</v>
      </c>
      <c r="B390" s="26">
        <v>24</v>
      </c>
      <c r="C390" s="26" t="s">
        <v>1046</v>
      </c>
      <c r="D390" s="26" t="s">
        <v>1721</v>
      </c>
      <c r="E390" s="26" t="s">
        <v>2893</v>
      </c>
      <c r="F390" s="26" t="str">
        <f t="shared" si="0"/>
        <v>Temporal Greek Origin</v>
      </c>
      <c r="G390" s="26">
        <f t="shared" si="1"/>
        <v>13</v>
      </c>
      <c r="H390" s="26" t="s">
        <v>3313</v>
      </c>
      <c r="I390" s="26"/>
      <c r="J390" s="26"/>
      <c r="K390" s="26"/>
      <c r="L390" s="26" t="str">
        <f t="shared" si="2"/>
        <v>I</v>
      </c>
      <c r="M390" s="26" t="str">
        <f>IFERROR(__xludf.DUMMYFUNCTION("GOOGLETRANSLATE(C390,""EN"",""KN"")"),"ವಿಶಿಷ್ಟವಾದ")</f>
        <v>ವಿಶಿಷ್ಟವಾದ</v>
      </c>
      <c r="N390" s="26">
        <f t="array" ref="N390">_xlfn.XLOOKUP(B390,'Sets Progress'!I:I,'Sets Progress'!I:I,"NOT YET")</f>
        <v>24</v>
      </c>
      <c r="O390" s="26" t="str">
        <f t="array" ref="O390">_xlfn.XLOOKUP(L:L,'Overall Progress'!L:L,'Overall Progress'!L:L,"NOT YET")</f>
        <v>NOT YET</v>
      </c>
      <c r="P390" s="26"/>
      <c r="Q390" s="26"/>
      <c r="R390" s="26"/>
      <c r="S390" s="26"/>
      <c r="T390" s="26"/>
      <c r="U390" s="26"/>
      <c r="V390" s="26"/>
      <c r="W390" s="26"/>
      <c r="X390" s="26"/>
      <c r="Y390" s="26"/>
      <c r="Z390" s="26"/>
    </row>
    <row r="391" hidden="1" customHeight="1" spans="1:26">
      <c r="A391" s="27">
        <v>826</v>
      </c>
      <c r="B391" s="27">
        <v>24</v>
      </c>
      <c r="C391" s="27" t="s">
        <v>1166</v>
      </c>
      <c r="D391" s="27" t="s">
        <v>2716</v>
      </c>
      <c r="E391" s="27" t="s">
        <v>2889</v>
      </c>
      <c r="F391" s="27" t="str">
        <f t="shared" si="0"/>
        <v>Negative Traits Latin Origin</v>
      </c>
      <c r="G391" s="27">
        <f t="shared" si="1"/>
        <v>9</v>
      </c>
      <c r="H391" s="27" t="s">
        <v>3314</v>
      </c>
      <c r="I391" s="27"/>
      <c r="J391" s="27" t="s">
        <v>3315</v>
      </c>
      <c r="K391" s="27"/>
      <c r="L391" s="27" t="str">
        <f t="shared" si="2"/>
        <v>I</v>
      </c>
      <c r="M391" s="27" t="str">
        <f>IFERROR(__xludf.DUMMYFUNCTION("GOOGLETRANSLATE(C391,""EN"",""KN"")"),"ಸಿಡುಕುವ")</f>
        <v>ಸಿಡುಕುವ</v>
      </c>
      <c r="N391" s="27">
        <f t="array" ref="N391">_xlfn.XLOOKUP(B391,'Sets Progress'!I:I,'Sets Progress'!I:I,"NOT YET")</f>
        <v>24</v>
      </c>
      <c r="O391" s="27" t="str">
        <f t="array" ref="O391">_xlfn.XLOOKUP(L:L,'Overall Progress'!L:L,'Overall Progress'!L:L,"NOT YET")</f>
        <v>NOT YET</v>
      </c>
      <c r="P391" s="27"/>
      <c r="Q391" s="27"/>
      <c r="R391" s="27"/>
      <c r="S391" s="27"/>
      <c r="T391" s="27"/>
      <c r="U391" s="27"/>
      <c r="V391" s="27"/>
      <c r="W391" s="27"/>
      <c r="X391" s="27"/>
      <c r="Y391" s="27"/>
      <c r="Z391" s="27"/>
    </row>
    <row r="392" hidden="1" customHeight="1" spans="1:26">
      <c r="A392" s="26">
        <v>1115</v>
      </c>
      <c r="B392" s="26">
        <v>24</v>
      </c>
      <c r="C392" s="26" t="s">
        <v>1449</v>
      </c>
      <c r="D392" s="26" t="s">
        <v>2716</v>
      </c>
      <c r="E392" s="26" t="s">
        <v>2889</v>
      </c>
      <c r="F392" s="26" t="str">
        <f t="shared" si="0"/>
        <v>Negative Traits Latin Origin</v>
      </c>
      <c r="G392" s="26">
        <f t="shared" si="1"/>
        <v>11</v>
      </c>
      <c r="H392" s="26" t="s">
        <v>3316</v>
      </c>
      <c r="I392" s="26"/>
      <c r="J392" s="26"/>
      <c r="K392" s="26"/>
      <c r="L392" s="26" t="str">
        <f t="shared" si="2"/>
        <v>P</v>
      </c>
      <c r="M392" s="26" t="str">
        <f>IFERROR(__xludf.DUMMYFUNCTION("GOOGLETRANSLATE(C392,""EN"",""KN"")"),"ಪೂರ್ವಭಾವಿಯಾಗಿಸಿ")</f>
        <v>ಪೂರ್ವಭಾವಿಯಾಗಿಸಿ</v>
      </c>
      <c r="N392" s="26">
        <f t="array" ref="N392">_xlfn.XLOOKUP(B392,'Sets Progress'!I:I,'Sets Progress'!I:I,"NOT YET")</f>
        <v>24</v>
      </c>
      <c r="O392" s="26" t="str">
        <f t="array" ref="O392">_xlfn.XLOOKUP(L:L,'Overall Progress'!L:L,'Overall Progress'!L:L,"NOT YET")</f>
        <v>NOT YET</v>
      </c>
      <c r="P392" s="26"/>
      <c r="Q392" s="26"/>
      <c r="R392" s="26"/>
      <c r="S392" s="26"/>
      <c r="T392" s="26"/>
      <c r="U392" s="26"/>
      <c r="V392" s="26"/>
      <c r="W392" s="26"/>
      <c r="X392" s="26"/>
      <c r="Y392" s="26"/>
      <c r="Z392" s="26"/>
    </row>
    <row r="393" hidden="1" customHeight="1" spans="1:26">
      <c r="A393" s="27">
        <v>1262</v>
      </c>
      <c r="B393" s="27">
        <v>24</v>
      </c>
      <c r="C393" s="27" t="s">
        <v>1593</v>
      </c>
      <c r="D393" s="27" t="s">
        <v>2716</v>
      </c>
      <c r="E393" s="27" t="s">
        <v>2889</v>
      </c>
      <c r="F393" s="27" t="str">
        <f t="shared" si="0"/>
        <v>Negative Traits Latin Origin</v>
      </c>
      <c r="G393" s="27">
        <f t="shared" si="1"/>
        <v>9</v>
      </c>
      <c r="H393" s="27" t="s">
        <v>3317</v>
      </c>
      <c r="I393" s="27"/>
      <c r="J393" s="27"/>
      <c r="K393" s="27"/>
      <c r="L393" s="27" t="str">
        <f t="shared" si="2"/>
        <v>S</v>
      </c>
      <c r="M393" s="27" t="str">
        <f>IFERROR(__xludf.DUMMYFUNCTION("GOOGLETRANSLATE(C393,""EN"",""KN"")"),"ಸೆಡಕ್ಟಿವ್")</f>
        <v>ಸೆಡಕ್ಟಿವ್</v>
      </c>
      <c r="N393" s="27">
        <f t="array" ref="N393">_xlfn.XLOOKUP(B393,'Sets Progress'!I:I,'Sets Progress'!I:I,"NOT YET")</f>
        <v>24</v>
      </c>
      <c r="O393" s="27" t="str">
        <f t="array" ref="O393">_xlfn.XLOOKUP(L:L,'Overall Progress'!L:L,'Overall Progress'!L:L,"NOT YET")</f>
        <v>NOT YET</v>
      </c>
      <c r="P393" s="27"/>
      <c r="Q393" s="27"/>
      <c r="R393" s="27"/>
      <c r="S393" s="27"/>
      <c r="T393" s="27"/>
      <c r="U393" s="27"/>
      <c r="V393" s="27"/>
      <c r="W393" s="27"/>
      <c r="X393" s="27"/>
      <c r="Y393" s="27"/>
      <c r="Z393" s="27"/>
    </row>
    <row r="394" hidden="1" customHeight="1" spans="1:26">
      <c r="A394" s="26">
        <v>1508</v>
      </c>
      <c r="B394" s="26">
        <v>24</v>
      </c>
      <c r="C394" s="26" t="s">
        <v>1836</v>
      </c>
      <c r="D394" s="26" t="s">
        <v>2717</v>
      </c>
      <c r="E394" s="26" t="s">
        <v>2889</v>
      </c>
      <c r="F394" s="26" t="str">
        <f t="shared" si="0"/>
        <v>Positive Traits Latin Origin</v>
      </c>
      <c r="G394" s="26">
        <f t="shared" si="1"/>
        <v>8</v>
      </c>
      <c r="H394" s="26" t="s">
        <v>3318</v>
      </c>
      <c r="I394" s="26"/>
      <c r="J394" s="26"/>
      <c r="K394" s="26"/>
      <c r="L394" s="26" t="str">
        <f t="shared" si="2"/>
        <v>V</v>
      </c>
      <c r="M394" s="26" t="str">
        <f>IFERROR(__xludf.DUMMYFUNCTION("GOOGLETRANSLATE(C394,""EN"",""KN"")"),"ಹುರುಪಿನ")</f>
        <v>ಹುರುಪಿನ</v>
      </c>
      <c r="N394" s="26">
        <f t="array" ref="N394">_xlfn.XLOOKUP(B394,'Sets Progress'!I:I,'Sets Progress'!I:I,"NOT YET")</f>
        <v>24</v>
      </c>
      <c r="O394" s="26" t="str">
        <f t="array" ref="O394">_xlfn.XLOOKUP(L:L,'Overall Progress'!L:L,'Overall Progress'!L:L,"NOT YET")</f>
        <v>NOT YET</v>
      </c>
      <c r="P394" s="26"/>
      <c r="Q394" s="26"/>
      <c r="R394" s="26"/>
      <c r="S394" s="26"/>
      <c r="T394" s="26"/>
      <c r="U394" s="26"/>
      <c r="V394" s="26"/>
      <c r="W394" s="26"/>
      <c r="X394" s="26"/>
      <c r="Y394" s="26"/>
      <c r="Z394" s="26"/>
    </row>
    <row r="395" hidden="1" customHeight="1" spans="1:26">
      <c r="A395" s="27">
        <v>201</v>
      </c>
      <c r="B395" s="27">
        <v>25</v>
      </c>
      <c r="C395" s="27" t="s">
        <v>551</v>
      </c>
      <c r="D395" s="27" t="s">
        <v>2717</v>
      </c>
      <c r="E395" s="27" t="s">
        <v>2911</v>
      </c>
      <c r="F395" s="27" t="str">
        <f t="shared" si="0"/>
        <v>Positive Traits French Origin</v>
      </c>
      <c r="G395" s="27">
        <f t="shared" si="1"/>
        <v>11</v>
      </c>
      <c r="H395" s="27" t="s">
        <v>3319</v>
      </c>
      <c r="I395" s="27"/>
      <c r="J395" s="27"/>
      <c r="K395" s="27"/>
      <c r="L395" s="27" t="str">
        <f t="shared" si="2"/>
        <v>C</v>
      </c>
      <c r="M395" s="27" t="str">
        <f>IFERROR(__xludf.DUMMYFUNCTION("GOOGLETRANSLATE(C395,""EN"",""KN"")"),"ಸೌಹಾರ್ದತೆ")</f>
        <v>ಸೌಹಾರ್ದತೆ</v>
      </c>
      <c r="N395" s="27">
        <f t="array" ref="N395">_xlfn.XLOOKUP(B395,'Sets Progress'!I:I,'Sets Progress'!I:I,"NOT YET")</f>
        <v>25</v>
      </c>
      <c r="O395" s="27" t="str">
        <f t="array" ref="O395">_xlfn.XLOOKUP(L:L,'Overall Progress'!L:L,'Overall Progress'!L:L,"NOT YET")</f>
        <v>NOT YET</v>
      </c>
      <c r="P395" s="27"/>
      <c r="Q395" s="27"/>
      <c r="R395" s="27"/>
      <c r="S395" s="27"/>
      <c r="T395" s="27"/>
      <c r="U395" s="27"/>
      <c r="V395" s="27"/>
      <c r="W395" s="27"/>
      <c r="X395" s="27"/>
      <c r="Y395" s="27"/>
      <c r="Z395" s="27"/>
    </row>
    <row r="396" hidden="1" customHeight="1" spans="1:26">
      <c r="A396" s="26">
        <v>252</v>
      </c>
      <c r="B396" s="26">
        <v>25</v>
      </c>
      <c r="C396" s="26" t="s">
        <v>603</v>
      </c>
      <c r="D396" s="26" t="s">
        <v>3022</v>
      </c>
      <c r="E396" s="26" t="s">
        <v>2889</v>
      </c>
      <c r="F396" s="26" t="str">
        <f t="shared" si="0"/>
        <v>Intellectual Latin Origin</v>
      </c>
      <c r="G396" s="26">
        <f t="shared" si="1"/>
        <v>4</v>
      </c>
      <c r="H396" s="26" t="s">
        <v>3320</v>
      </c>
      <c r="I396" s="26"/>
      <c r="J396" s="26"/>
      <c r="K396" s="26"/>
      <c r="L396" s="26" t="str">
        <f t="shared" si="2"/>
        <v>C</v>
      </c>
      <c r="M396" s="26" t="str">
        <f>IFERROR(__xludf.DUMMYFUNCTION("GOOGLETRANSLATE(C396,""EN"",""KN"")"),"ನಾಣ್ಯ")</f>
        <v>ನಾಣ್ಯ</v>
      </c>
      <c r="N396" s="26">
        <f t="array" ref="N396">_xlfn.XLOOKUP(B396,'Sets Progress'!I:I,'Sets Progress'!I:I,"NOT YET")</f>
        <v>25</v>
      </c>
      <c r="O396" s="26" t="str">
        <f t="array" ref="O396">_xlfn.XLOOKUP(L:L,'Overall Progress'!L:L,'Overall Progress'!L:L,"NOT YET")</f>
        <v>NOT YET</v>
      </c>
      <c r="P396" s="26"/>
      <c r="Q396" s="26"/>
      <c r="R396" s="26"/>
      <c r="S396" s="26"/>
      <c r="T396" s="26"/>
      <c r="U396" s="26"/>
      <c r="V396" s="26"/>
      <c r="W396" s="26"/>
      <c r="X396" s="26"/>
      <c r="Y396" s="26"/>
      <c r="Z396" s="26"/>
    </row>
    <row r="397" hidden="1" customHeight="1" spans="1:26">
      <c r="A397" s="27">
        <v>344</v>
      </c>
      <c r="B397" s="27">
        <v>25</v>
      </c>
      <c r="C397" s="27" t="s">
        <v>694</v>
      </c>
      <c r="D397" s="27" t="s">
        <v>1721</v>
      </c>
      <c r="E397" s="27" t="s">
        <v>2899</v>
      </c>
      <c r="F397" s="27" t="str">
        <f t="shared" si="0"/>
        <v>Temporal Middle English Origin</v>
      </c>
      <c r="G397" s="27">
        <f t="shared" si="1"/>
        <v>6</v>
      </c>
      <c r="H397" s="27" t="s">
        <v>3321</v>
      </c>
      <c r="I397" s="27"/>
      <c r="J397" s="27"/>
      <c r="K397" s="27"/>
      <c r="L397" s="27" t="str">
        <f t="shared" si="2"/>
        <v>D</v>
      </c>
      <c r="M397" s="27" t="str">
        <f>IFERROR(__xludf.DUMMYFUNCTION("GOOGLETRANSLATE(C397,""EN"",""KN"")"),"ಡಾಡಲ್")</f>
        <v>ಡಾಡಲ್</v>
      </c>
      <c r="N397" s="27">
        <f t="array" ref="N397">_xlfn.XLOOKUP(B397,'Sets Progress'!I:I,'Sets Progress'!I:I,"NOT YET")</f>
        <v>25</v>
      </c>
      <c r="O397" s="27" t="str">
        <f t="array" ref="O397">_xlfn.XLOOKUP(L:L,'Overall Progress'!L:L,'Overall Progress'!L:L,"NOT YET")</f>
        <v>NOT YET</v>
      </c>
      <c r="P397" s="27"/>
      <c r="Q397" s="27"/>
      <c r="R397" s="27"/>
      <c r="S397" s="27"/>
      <c r="T397" s="27"/>
      <c r="U397" s="27"/>
      <c r="V397" s="27"/>
      <c r="W397" s="27"/>
      <c r="X397" s="27"/>
      <c r="Y397" s="27"/>
      <c r="Z397" s="27"/>
    </row>
    <row r="398" hidden="1" customHeight="1" spans="1:26">
      <c r="A398" s="26">
        <v>427</v>
      </c>
      <c r="B398" s="26">
        <v>25</v>
      </c>
      <c r="C398" s="26" t="s">
        <v>776</v>
      </c>
      <c r="D398" s="26" t="s">
        <v>2892</v>
      </c>
      <c r="E398" s="26" t="s">
        <v>2889</v>
      </c>
      <c r="F398" s="26" t="str">
        <f t="shared" si="0"/>
        <v>Spatial Latin Origin</v>
      </c>
      <c r="G398" s="26">
        <f t="shared" si="1"/>
        <v>11</v>
      </c>
      <c r="H398" s="26" t="s">
        <v>3322</v>
      </c>
      <c r="I398" s="26"/>
      <c r="J398" s="26"/>
      <c r="K398" s="26"/>
      <c r="L398" s="26" t="str">
        <f t="shared" si="2"/>
        <v>D</v>
      </c>
      <c r="M398" s="26" t="str">
        <f>IFERROR(__xludf.DUMMYFUNCTION("GOOGLETRANSLATE(C398,""EN"",""KN"")"),"ಡಿಸ್ಲೊಕೇಶನ್")</f>
        <v>ಡಿಸ್ಲೊಕೇಶನ್</v>
      </c>
      <c r="N398" s="26">
        <f t="array" ref="N398">_xlfn.XLOOKUP(B398,'Sets Progress'!I:I,'Sets Progress'!I:I,"NOT YET")</f>
        <v>25</v>
      </c>
      <c r="O398" s="26" t="str">
        <f t="array" ref="O398">_xlfn.XLOOKUP(L:L,'Overall Progress'!L:L,'Overall Progress'!L:L,"NOT YET")</f>
        <v>NOT YET</v>
      </c>
      <c r="P398" s="26"/>
      <c r="Q398" s="26"/>
      <c r="R398" s="26"/>
      <c r="S398" s="26"/>
      <c r="T398" s="26"/>
      <c r="U398" s="26"/>
      <c r="V398" s="26"/>
      <c r="W398" s="26"/>
      <c r="X398" s="26"/>
      <c r="Y398" s="26"/>
      <c r="Z398" s="26"/>
    </row>
    <row r="399" hidden="1" customHeight="1" spans="1:26">
      <c r="A399" s="27">
        <v>603</v>
      </c>
      <c r="B399" s="27">
        <v>25</v>
      </c>
      <c r="C399" s="27" t="s">
        <v>947</v>
      </c>
      <c r="D399" s="27" t="s">
        <v>1721</v>
      </c>
      <c r="E399" s="27" t="s">
        <v>2889</v>
      </c>
      <c r="F399" s="27" t="str">
        <f t="shared" si="0"/>
        <v>Temporal Latin Origin</v>
      </c>
      <c r="G399" s="27">
        <f t="shared" si="1"/>
        <v>6</v>
      </c>
      <c r="H399" s="27" t="s">
        <v>3323</v>
      </c>
      <c r="I399" s="27"/>
      <c r="J399" s="27"/>
      <c r="K399" s="27"/>
      <c r="L399" s="27" t="str">
        <f t="shared" si="2"/>
        <v>F</v>
      </c>
      <c r="M399" s="27" t="str">
        <f>IFERROR(__xludf.DUMMYFUNCTION("GOOGLETRANSLATE(C399,""EN"",""KN"")"),"ಫಿಕ್ಸೇಟ್")</f>
        <v>ಫಿಕ್ಸೇಟ್</v>
      </c>
      <c r="N399" s="27">
        <f t="array" ref="N399">_xlfn.XLOOKUP(B399,'Sets Progress'!I:I,'Sets Progress'!I:I,"NOT YET")</f>
        <v>25</v>
      </c>
      <c r="O399" s="27" t="str">
        <f t="array" ref="O399">_xlfn.XLOOKUP(L:L,'Overall Progress'!L:L,'Overall Progress'!L:L,"NOT YET")</f>
        <v>NOT YET</v>
      </c>
      <c r="P399" s="27"/>
      <c r="Q399" s="27"/>
      <c r="R399" s="27"/>
      <c r="S399" s="27"/>
      <c r="T399" s="27"/>
      <c r="U399" s="27"/>
      <c r="V399" s="27"/>
      <c r="W399" s="27"/>
      <c r="X399" s="27"/>
      <c r="Y399" s="27"/>
      <c r="Z399" s="27"/>
    </row>
    <row r="400" hidden="1" customHeight="1" spans="1:26">
      <c r="A400" s="26">
        <v>687</v>
      </c>
      <c r="B400" s="26">
        <v>25</v>
      </c>
      <c r="C400" s="26" t="s">
        <v>1029</v>
      </c>
      <c r="D400" s="26" t="s">
        <v>1721</v>
      </c>
      <c r="E400" s="26" t="s">
        <v>2908</v>
      </c>
      <c r="F400" s="26" t="str">
        <f t="shared" si="0"/>
        <v>Temporal Old English Origin</v>
      </c>
      <c r="G400" s="26">
        <f t="shared" si="1"/>
        <v>9</v>
      </c>
      <c r="H400" s="26" t="s">
        <v>3324</v>
      </c>
      <c r="I400" s="26"/>
      <c r="J400" s="26"/>
      <c r="K400" s="26"/>
      <c r="L400" s="26" t="str">
        <f t="shared" si="2"/>
        <v>H</v>
      </c>
      <c r="M400" s="26" t="str">
        <f>IFERROR(__xludf.DUMMYFUNCTION("GOOGLETRANSLATE(C400,""EN"",""KN"")"),"ಮರೆಮಾಡಲಾಗಿದೆ")</f>
        <v>ಮರೆಮಾಡಲಾಗಿದೆ</v>
      </c>
      <c r="N400" s="26">
        <f t="array" ref="N400">_xlfn.XLOOKUP(B400,'Sets Progress'!I:I,'Sets Progress'!I:I,"NOT YET")</f>
        <v>25</v>
      </c>
      <c r="O400" s="26" t="str">
        <f t="array" ref="O400">_xlfn.XLOOKUP(L:L,'Overall Progress'!L:L,'Overall Progress'!L:L,"NOT YET")</f>
        <v>NOT YET</v>
      </c>
      <c r="P400" s="26"/>
      <c r="Q400" s="26"/>
      <c r="R400" s="26"/>
      <c r="S400" s="26"/>
      <c r="T400" s="26"/>
      <c r="U400" s="26"/>
      <c r="V400" s="26"/>
      <c r="W400" s="26"/>
      <c r="X400" s="26"/>
      <c r="Y400" s="26"/>
      <c r="Z400" s="26"/>
    </row>
    <row r="401" hidden="1" customHeight="1" spans="1:26">
      <c r="A401" s="27">
        <v>727</v>
      </c>
      <c r="B401" s="27">
        <v>25</v>
      </c>
      <c r="C401" s="27" t="s">
        <v>1069</v>
      </c>
      <c r="D401" s="27" t="s">
        <v>1721</v>
      </c>
      <c r="E401" s="27" t="s">
        <v>2889</v>
      </c>
      <c r="F401" s="27" t="str">
        <f t="shared" si="0"/>
        <v>Temporal Latin Origin</v>
      </c>
      <c r="G401" s="27">
        <f t="shared" si="1"/>
        <v>10</v>
      </c>
      <c r="H401" s="27" t="s">
        <v>3325</v>
      </c>
      <c r="I401" s="27"/>
      <c r="J401" s="27"/>
      <c r="K401" s="27"/>
      <c r="L401" s="27" t="str">
        <f t="shared" si="2"/>
        <v>I</v>
      </c>
      <c r="M401" s="27" t="str">
        <f>IFERROR(__xludf.DUMMYFUNCTION("GOOGLETRANSLATE(C401,""EN"",""KN"")"),"ಭೇದಿಸದ")</f>
        <v>ಭೇದಿಸದ</v>
      </c>
      <c r="N401" s="27">
        <f t="array" ref="N401">_xlfn.XLOOKUP(B401,'Sets Progress'!I:I,'Sets Progress'!I:I,"NOT YET")</f>
        <v>25</v>
      </c>
      <c r="O401" s="27" t="str">
        <f t="array" ref="O401">_xlfn.XLOOKUP(L:L,'Overall Progress'!L:L,'Overall Progress'!L:L,"NOT YET")</f>
        <v>NOT YET</v>
      </c>
      <c r="P401" s="27"/>
      <c r="Q401" s="27"/>
      <c r="R401" s="27"/>
      <c r="S401" s="27"/>
      <c r="T401" s="27"/>
      <c r="U401" s="27"/>
      <c r="V401" s="27"/>
      <c r="W401" s="27"/>
      <c r="X401" s="27"/>
      <c r="Y401" s="27"/>
      <c r="Z401" s="27"/>
    </row>
    <row r="402" hidden="1" customHeight="1" spans="1:26">
      <c r="A402" s="26">
        <v>806</v>
      </c>
      <c r="B402" s="26">
        <v>25</v>
      </c>
      <c r="C402" s="26" t="s">
        <v>1146</v>
      </c>
      <c r="D402" s="26" t="s">
        <v>1721</v>
      </c>
      <c r="E402" s="26" t="s">
        <v>2889</v>
      </c>
      <c r="F402" s="26" t="str">
        <f t="shared" si="0"/>
        <v>Temporal Latin Origin</v>
      </c>
      <c r="G402" s="26">
        <f t="shared" si="1"/>
        <v>11</v>
      </c>
      <c r="H402" s="26" t="s">
        <v>3326</v>
      </c>
      <c r="I402" s="26"/>
      <c r="J402" s="26"/>
      <c r="K402" s="26"/>
      <c r="L402" s="26" t="str">
        <f t="shared" si="2"/>
        <v>I</v>
      </c>
      <c r="M402" s="26" t="str">
        <f>IFERROR(__xludf.DUMMYFUNCTION("GOOGLETRANSLATE(C402,""EN"",""KN"")"),"ಆಂತರಿಕಗೊಳಿಸಿ")</f>
        <v>ಆಂತರಿಕಗೊಳಿಸಿ</v>
      </c>
      <c r="N402" s="26">
        <f t="array" ref="N402">_xlfn.XLOOKUP(B402,'Sets Progress'!I:I,'Sets Progress'!I:I,"NOT YET")</f>
        <v>25</v>
      </c>
      <c r="O402" s="26" t="str">
        <f t="array" ref="O402">_xlfn.XLOOKUP(L:L,'Overall Progress'!L:L,'Overall Progress'!L:L,"NOT YET")</f>
        <v>NOT YET</v>
      </c>
      <c r="P402" s="26"/>
      <c r="Q402" s="26"/>
      <c r="R402" s="26"/>
      <c r="S402" s="26"/>
      <c r="T402" s="26"/>
      <c r="U402" s="26"/>
      <c r="V402" s="26"/>
      <c r="W402" s="26"/>
      <c r="X402" s="26"/>
      <c r="Y402" s="26"/>
      <c r="Z402" s="26"/>
    </row>
    <row r="403" hidden="1" customHeight="1" spans="1:26">
      <c r="A403" s="27">
        <v>873</v>
      </c>
      <c r="B403" s="27">
        <v>25</v>
      </c>
      <c r="C403" s="27" t="s">
        <v>1211</v>
      </c>
      <c r="D403" s="27" t="s">
        <v>2716</v>
      </c>
      <c r="E403" s="27" t="s">
        <v>2889</v>
      </c>
      <c r="F403" s="27" t="str">
        <f t="shared" si="0"/>
        <v>Negative Traits Latin Origin</v>
      </c>
      <c r="G403" s="27">
        <f t="shared" si="1"/>
        <v>10</v>
      </c>
      <c r="H403" s="27" t="s">
        <v>3327</v>
      </c>
      <c r="I403" s="27"/>
      <c r="J403" s="27"/>
      <c r="K403" s="27"/>
      <c r="L403" s="27" t="str">
        <f t="shared" si="2"/>
        <v>L</v>
      </c>
      <c r="M403" s="27" t="str">
        <f>IFERROR(__xludf.DUMMYFUNCTION("GOOGLETRANSLATE(C403,""EN"",""KN"")"),"ಲಗುಬ್ರಿಯಸ್")</f>
        <v>ಲಗುಬ್ರಿಯಸ್</v>
      </c>
      <c r="N403" s="27">
        <f t="array" ref="N403">_xlfn.XLOOKUP(B403,'Sets Progress'!I:I,'Sets Progress'!I:I,"NOT YET")</f>
        <v>25</v>
      </c>
      <c r="O403" s="27" t="str">
        <f t="array" ref="O403">_xlfn.XLOOKUP(L:L,'Overall Progress'!L:L,'Overall Progress'!L:L,"NOT YET")</f>
        <v>NOT YET</v>
      </c>
      <c r="P403" s="27"/>
      <c r="Q403" s="27"/>
      <c r="R403" s="27"/>
      <c r="S403" s="27"/>
      <c r="T403" s="27"/>
      <c r="U403" s="27"/>
      <c r="V403" s="27"/>
      <c r="W403" s="27"/>
      <c r="X403" s="27"/>
      <c r="Y403" s="27"/>
      <c r="Z403" s="27"/>
    </row>
    <row r="404" hidden="1" customHeight="1" spans="1:26">
      <c r="A404" s="26">
        <v>942</v>
      </c>
      <c r="B404" s="26">
        <v>25</v>
      </c>
      <c r="C404" s="26" t="s">
        <v>1278</v>
      </c>
      <c r="D404" s="26" t="s">
        <v>1721</v>
      </c>
      <c r="E404" s="26" t="s">
        <v>2911</v>
      </c>
      <c r="F404" s="26" t="str">
        <f t="shared" si="0"/>
        <v>Temporal French Origin</v>
      </c>
      <c r="G404" s="26">
        <f t="shared" si="1"/>
        <v>5</v>
      </c>
      <c r="H404" s="26" t="s">
        <v>3328</v>
      </c>
      <c r="I404" s="26"/>
      <c r="J404" s="26"/>
      <c r="K404" s="26"/>
      <c r="L404" s="26" t="str">
        <f t="shared" si="2"/>
        <v>N</v>
      </c>
      <c r="M404" s="26" t="str">
        <f>IFERROR(__xludf.DUMMYFUNCTION("GOOGLETRANSLATE(C404,""EN"",""KN"")"),"ನಿಷ್ಕಪಟ")</f>
        <v>ನಿಷ್ಕಪಟ</v>
      </c>
      <c r="N404" s="26">
        <f t="array" ref="N404">_xlfn.XLOOKUP(B404,'Sets Progress'!I:I,'Sets Progress'!I:I,"NOT YET")</f>
        <v>25</v>
      </c>
      <c r="O404" s="26" t="str">
        <f t="array" ref="O404">_xlfn.XLOOKUP(L:L,'Overall Progress'!L:L,'Overall Progress'!L:L,"NOT YET")</f>
        <v>NOT YET</v>
      </c>
      <c r="P404" s="26"/>
      <c r="Q404" s="26"/>
      <c r="R404" s="26"/>
      <c r="S404" s="26"/>
      <c r="T404" s="26"/>
      <c r="U404" s="26"/>
      <c r="V404" s="26"/>
      <c r="W404" s="26"/>
      <c r="X404" s="26"/>
      <c r="Y404" s="26"/>
      <c r="Z404" s="26"/>
    </row>
    <row r="405" hidden="1" customHeight="1" spans="1:26">
      <c r="A405" s="27">
        <v>992</v>
      </c>
      <c r="B405" s="27">
        <v>25</v>
      </c>
      <c r="C405" s="27" t="s">
        <v>1327</v>
      </c>
      <c r="D405" s="27" t="s">
        <v>1721</v>
      </c>
      <c r="E405" s="27" t="s">
        <v>2889</v>
      </c>
      <c r="F405" s="27" t="str">
        <f t="shared" si="0"/>
        <v>Temporal Latin Origin</v>
      </c>
      <c r="G405" s="27">
        <f t="shared" si="1"/>
        <v>10</v>
      </c>
      <c r="H405" s="27" t="s">
        <v>3329</v>
      </c>
      <c r="I405" s="27"/>
      <c r="J405" s="27"/>
      <c r="K405" s="27"/>
      <c r="L405" s="27" t="str">
        <f t="shared" si="2"/>
        <v>O</v>
      </c>
      <c r="M405" s="27" t="str">
        <f>IFERROR(__xludf.DUMMYFUNCTION("GOOGLETRANSLATE(C405,""EN"",""KN"")"),"ಅಲಂಕಾರಿಕ")</f>
        <v>ಅಲಂಕಾರಿಕ</v>
      </c>
      <c r="N405" s="27">
        <f t="array" ref="N405">_xlfn.XLOOKUP(B405,'Sets Progress'!I:I,'Sets Progress'!I:I,"NOT YET")</f>
        <v>25</v>
      </c>
      <c r="O405" s="27" t="str">
        <f t="array" ref="O405">_xlfn.XLOOKUP(L:L,'Overall Progress'!L:L,'Overall Progress'!L:L,"NOT YET")</f>
        <v>NOT YET</v>
      </c>
      <c r="P405" s="27"/>
      <c r="Q405" s="27"/>
      <c r="R405" s="27"/>
      <c r="S405" s="27"/>
      <c r="T405" s="27"/>
      <c r="U405" s="27"/>
      <c r="V405" s="27"/>
      <c r="W405" s="27"/>
      <c r="X405" s="27"/>
      <c r="Y405" s="27"/>
      <c r="Z405" s="27"/>
    </row>
    <row r="406" hidden="1" customHeight="1" spans="1:26">
      <c r="A406" s="26">
        <v>1146</v>
      </c>
      <c r="B406" s="26">
        <v>25</v>
      </c>
      <c r="C406" s="26" t="s">
        <v>1478</v>
      </c>
      <c r="D406" s="26" t="s">
        <v>1721</v>
      </c>
      <c r="E406" s="26" t="s">
        <v>2889</v>
      </c>
      <c r="F406" s="26" t="str">
        <f t="shared" si="0"/>
        <v>Temporal Latin Origin</v>
      </c>
      <c r="G406" s="26">
        <f t="shared" si="1"/>
        <v>5</v>
      </c>
      <c r="H406" s="26" t="s">
        <v>3330</v>
      </c>
      <c r="I406" s="26"/>
      <c r="J406" s="26"/>
      <c r="K406" s="26"/>
      <c r="L406" s="26" t="str">
        <f t="shared" si="2"/>
        <v>P</v>
      </c>
      <c r="M406" s="26" t="str">
        <f>IFERROR(__xludf.DUMMYFUNCTION("GOOGLETRANSLATE(C406,""EN"",""KN"")"),"ಪ್ರಾಕ್ಸಿ")</f>
        <v>ಪ್ರಾಕ್ಸಿ</v>
      </c>
      <c r="N406" s="26">
        <f t="array" ref="N406">_xlfn.XLOOKUP(B406,'Sets Progress'!I:I,'Sets Progress'!I:I,"NOT YET")</f>
        <v>25</v>
      </c>
      <c r="O406" s="26" t="str">
        <f t="array" ref="O406">_xlfn.XLOOKUP(L:L,'Overall Progress'!L:L,'Overall Progress'!L:L,"NOT YET")</f>
        <v>NOT YET</v>
      </c>
      <c r="P406" s="26"/>
      <c r="Q406" s="26"/>
      <c r="R406" s="26"/>
      <c r="S406" s="26"/>
      <c r="T406" s="26"/>
      <c r="U406" s="26"/>
      <c r="V406" s="26"/>
      <c r="W406" s="26"/>
      <c r="X406" s="26"/>
      <c r="Y406" s="26"/>
      <c r="Z406" s="26"/>
    </row>
    <row r="407" hidden="1" customHeight="1" spans="1:26">
      <c r="A407" s="27">
        <v>1167</v>
      </c>
      <c r="B407" s="27">
        <v>25</v>
      </c>
      <c r="C407" s="27" t="s">
        <v>1498</v>
      </c>
      <c r="D407" s="27" t="s">
        <v>1721</v>
      </c>
      <c r="E407" s="27" t="s">
        <v>2889</v>
      </c>
      <c r="F407" s="27" t="str">
        <f t="shared" si="0"/>
        <v>Temporal Latin Origin</v>
      </c>
      <c r="G407" s="27">
        <f t="shared" si="1"/>
        <v>12</v>
      </c>
      <c r="H407" s="27" t="s">
        <v>3331</v>
      </c>
      <c r="I407" s="27"/>
      <c r="J407" s="27"/>
      <c r="K407" s="27"/>
      <c r="L407" s="27" t="str">
        <f t="shared" si="2"/>
        <v>R</v>
      </c>
      <c r="M407" s="27" t="str">
        <f>IFERROR(__xludf.DUMMYFUNCTION("GOOGLETRANSLATE(C407,""EN"",""KN"")"),"ರಾಮಿಫಿಕೇಶನ್")</f>
        <v>ರಾಮಿಫಿಕೇಶನ್</v>
      </c>
      <c r="N407" s="27">
        <f t="array" ref="N407">_xlfn.XLOOKUP(B407,'Sets Progress'!I:I,'Sets Progress'!I:I,"NOT YET")</f>
        <v>25</v>
      </c>
      <c r="O407" s="27" t="str">
        <f t="array" ref="O407">_xlfn.XLOOKUP(L:L,'Overall Progress'!L:L,'Overall Progress'!L:L,"NOT YET")</f>
        <v>NOT YET</v>
      </c>
      <c r="P407" s="27"/>
      <c r="Q407" s="27"/>
      <c r="R407" s="27"/>
      <c r="S407" s="27"/>
      <c r="T407" s="27"/>
      <c r="U407" s="27"/>
      <c r="V407" s="27"/>
      <c r="W407" s="27"/>
      <c r="X407" s="27"/>
      <c r="Y407" s="27"/>
      <c r="Z407" s="27"/>
    </row>
    <row r="408" hidden="1" customHeight="1" spans="1:26">
      <c r="A408" s="26">
        <v>1338</v>
      </c>
      <c r="B408" s="26">
        <v>25</v>
      </c>
      <c r="C408" s="26" t="s">
        <v>1669</v>
      </c>
      <c r="D408" s="26" t="s">
        <v>1721</v>
      </c>
      <c r="E408" s="26" t="s">
        <v>2889</v>
      </c>
      <c r="F408" s="26" t="str">
        <f t="shared" si="0"/>
        <v>Temporal Latin Origin</v>
      </c>
      <c r="G408" s="26">
        <f t="shared" si="1"/>
        <v>10</v>
      </c>
      <c r="H408" s="26" t="s">
        <v>3332</v>
      </c>
      <c r="I408" s="26"/>
      <c r="J408" s="26"/>
      <c r="K408" s="26"/>
      <c r="L408" s="26" t="str">
        <f t="shared" si="2"/>
        <v>S</v>
      </c>
      <c r="M408" s="26" t="str">
        <f>IFERROR(__xludf.DUMMYFUNCTION("GOOGLETRANSLATE(C408,""EN"",""KN"")"),"ವ್ಯಕ್ತಿನಿಷ್ಠ")</f>
        <v>ವ್ಯಕ್ತಿನಿಷ್ಠ</v>
      </c>
      <c r="N408" s="26">
        <f t="array" ref="N408">_xlfn.XLOOKUP(B408,'Sets Progress'!I:I,'Sets Progress'!I:I,"NOT YET")</f>
        <v>25</v>
      </c>
      <c r="O408" s="26" t="str">
        <f t="array" ref="O408">_xlfn.XLOOKUP(L:L,'Overall Progress'!L:L,'Overall Progress'!L:L,"NOT YET")</f>
        <v>NOT YET</v>
      </c>
      <c r="P408" s="26"/>
      <c r="Q408" s="26"/>
      <c r="R408" s="26"/>
      <c r="S408" s="26"/>
      <c r="T408" s="26"/>
      <c r="U408" s="26"/>
      <c r="V408" s="26"/>
      <c r="W408" s="26"/>
      <c r="X408" s="26"/>
      <c r="Y408" s="26"/>
      <c r="Z408" s="26"/>
    </row>
    <row r="409" hidden="1" customHeight="1" spans="1:26">
      <c r="A409" s="27">
        <v>1348</v>
      </c>
      <c r="B409" s="27">
        <v>25</v>
      </c>
      <c r="C409" s="27" t="s">
        <v>1679</v>
      </c>
      <c r="D409" s="27" t="s">
        <v>2716</v>
      </c>
      <c r="E409" s="27" t="s">
        <v>2921</v>
      </c>
      <c r="F409" s="27" t="str">
        <f t="shared" si="0"/>
        <v>Negative Traits Unknown Origin</v>
      </c>
      <c r="G409" s="27">
        <f t="shared" si="1"/>
        <v>6</v>
      </c>
      <c r="H409" s="27" t="s">
        <v>3333</v>
      </c>
      <c r="I409" s="27"/>
      <c r="J409" s="27"/>
      <c r="K409" s="27"/>
      <c r="L409" s="27" t="str">
        <f t="shared" si="2"/>
        <v>S</v>
      </c>
      <c r="M409" s="27" t="str">
        <f>IFERROR(__xludf.DUMMYFUNCTION("GOOGLETRANSLATE(C409,""EN"",""KN"")"),"ಸುಲ್ಲೆನ್")</f>
        <v>ಸುಲ್ಲೆನ್</v>
      </c>
      <c r="N409" s="27">
        <f t="array" ref="N409">_xlfn.XLOOKUP(B409,'Sets Progress'!I:I,'Sets Progress'!I:I,"NOT YET")</f>
        <v>25</v>
      </c>
      <c r="O409" s="27" t="str">
        <f t="array" ref="O409">_xlfn.XLOOKUP(L:L,'Overall Progress'!L:L,'Overall Progress'!L:L,"NOT YET")</f>
        <v>NOT YET</v>
      </c>
      <c r="P409" s="27"/>
      <c r="Q409" s="27"/>
      <c r="R409" s="27"/>
      <c r="S409" s="27"/>
      <c r="T409" s="27"/>
      <c r="U409" s="27"/>
      <c r="V409" s="27"/>
      <c r="W409" s="27"/>
      <c r="X409" s="27"/>
      <c r="Y409" s="27"/>
      <c r="Z409" s="27"/>
    </row>
    <row r="410" hidden="1" customHeight="1" spans="1:26">
      <c r="A410" s="26">
        <v>1375</v>
      </c>
      <c r="B410" s="26">
        <v>25</v>
      </c>
      <c r="C410" s="26" t="s">
        <v>1706</v>
      </c>
      <c r="D410" s="26" t="s">
        <v>2717</v>
      </c>
      <c r="E410" s="26" t="s">
        <v>2889</v>
      </c>
      <c r="F410" s="26" t="str">
        <f t="shared" si="0"/>
        <v>Positive Traits Latin Origin</v>
      </c>
      <c r="G410" s="26">
        <f t="shared" si="1"/>
        <v>4</v>
      </c>
      <c r="H410" s="26" t="s">
        <v>3334</v>
      </c>
      <c r="I410" s="26"/>
      <c r="J410" s="26"/>
      <c r="K410" s="26"/>
      <c r="L410" s="26" t="str">
        <f t="shared" si="2"/>
        <v>T</v>
      </c>
      <c r="M410" s="26" t="str">
        <f>IFERROR(__xludf.DUMMYFUNCTION("GOOGLETRANSLATE(C410,""EN"",""KN"")"),"ಚಾತುರ್ಯ")</f>
        <v>ಚಾತುರ್ಯ</v>
      </c>
      <c r="N410" s="26">
        <f t="array" ref="N410">_xlfn.XLOOKUP(B410,'Sets Progress'!I:I,'Sets Progress'!I:I,"NOT YET")</f>
        <v>25</v>
      </c>
      <c r="O410" s="26" t="str">
        <f t="array" ref="O410">_xlfn.XLOOKUP(L:L,'Overall Progress'!L:L,'Overall Progress'!L:L,"NOT YET")</f>
        <v>NOT YET</v>
      </c>
      <c r="P410" s="26"/>
      <c r="Q410" s="26"/>
      <c r="R410" s="26"/>
      <c r="S410" s="26"/>
      <c r="T410" s="26"/>
      <c r="U410" s="26"/>
      <c r="V410" s="26"/>
      <c r="W410" s="26"/>
      <c r="X410" s="26"/>
      <c r="Y410" s="26"/>
      <c r="Z410" s="26"/>
    </row>
    <row r="411" hidden="1" customHeight="1" spans="1:26">
      <c r="A411" s="27">
        <v>1503</v>
      </c>
      <c r="B411" s="27">
        <v>25</v>
      </c>
      <c r="C411" s="27" t="s">
        <v>1831</v>
      </c>
      <c r="D411" s="27" t="s">
        <v>2717</v>
      </c>
      <c r="E411" s="27" t="s">
        <v>2911</v>
      </c>
      <c r="F411" s="27" t="str">
        <f t="shared" si="0"/>
        <v>Positive Traits French Origin</v>
      </c>
      <c r="G411" s="27">
        <f t="shared" si="1"/>
        <v>5</v>
      </c>
      <c r="H411" s="27" t="s">
        <v>3335</v>
      </c>
      <c r="I411" s="27"/>
      <c r="J411" s="27"/>
      <c r="K411" s="27"/>
      <c r="L411" s="27" t="str">
        <f t="shared" si="2"/>
        <v>V</v>
      </c>
      <c r="M411" s="27" t="str">
        <f>IFERROR(__xludf.DUMMYFUNCTION("GOOGLETRANSLATE(C411,""EN"",""KN"")"),"ವರ್ವ್")</f>
        <v>ವರ್ವ್</v>
      </c>
      <c r="N411" s="27">
        <f t="array" ref="N411">_xlfn.XLOOKUP(B411,'Sets Progress'!I:I,'Sets Progress'!I:I,"NOT YET")</f>
        <v>25</v>
      </c>
      <c r="O411" s="27" t="str">
        <f t="array" ref="O411">_xlfn.XLOOKUP(L:L,'Overall Progress'!L:L,'Overall Progress'!L:L,"NOT YET")</f>
        <v>NOT YET</v>
      </c>
      <c r="P411" s="27"/>
      <c r="Q411" s="27"/>
      <c r="R411" s="27"/>
      <c r="S411" s="27"/>
      <c r="T411" s="27"/>
      <c r="U411" s="27"/>
      <c r="V411" s="27"/>
      <c r="W411" s="27"/>
      <c r="X411" s="27"/>
      <c r="Y411" s="27"/>
      <c r="Z411" s="27"/>
    </row>
    <row r="412" hidden="1" customHeight="1" spans="1:26">
      <c r="A412" s="26">
        <v>1512</v>
      </c>
      <c r="B412" s="26">
        <v>25</v>
      </c>
      <c r="C412" s="26" t="s">
        <v>1840</v>
      </c>
      <c r="D412" s="26" t="s">
        <v>2717</v>
      </c>
      <c r="E412" s="26" t="s">
        <v>2889</v>
      </c>
      <c r="F412" s="26" t="str">
        <f t="shared" si="0"/>
        <v>Positive Traits Latin Origin</v>
      </c>
      <c r="G412" s="26">
        <f t="shared" si="1"/>
        <v>10</v>
      </c>
      <c r="H412" s="26" t="s">
        <v>3336</v>
      </c>
      <c r="I412" s="26"/>
      <c r="J412" s="26"/>
      <c r="K412" s="26"/>
      <c r="L412" s="26" t="str">
        <f t="shared" si="2"/>
        <v>V</v>
      </c>
      <c r="M412" s="26" t="str">
        <f>IFERROR(__xludf.DUMMYFUNCTION("GOOGLETRANSLATE(C412,""EN"",""KN"")"),"ಕಲಾತ್ಮಕತೆ")</f>
        <v>ಕಲಾತ್ಮಕತೆ</v>
      </c>
      <c r="N412" s="26">
        <f t="array" ref="N412">_xlfn.XLOOKUP(B412,'Sets Progress'!I:I,'Sets Progress'!I:I,"NOT YET")</f>
        <v>25</v>
      </c>
      <c r="O412" s="26" t="str">
        <f t="array" ref="O412">_xlfn.XLOOKUP(L:L,'Overall Progress'!L:L,'Overall Progress'!L:L,"NOT YET")</f>
        <v>NOT YET</v>
      </c>
      <c r="P412" s="26"/>
      <c r="Q412" s="26"/>
      <c r="R412" s="26"/>
      <c r="S412" s="26"/>
      <c r="T412" s="26"/>
      <c r="U412" s="26"/>
      <c r="V412" s="26"/>
      <c r="W412" s="26"/>
      <c r="X412" s="26"/>
      <c r="Y412" s="26"/>
      <c r="Z412" s="26"/>
    </row>
    <row r="413" hidden="1" customHeight="1" spans="1:26">
      <c r="A413" s="27">
        <v>103</v>
      </c>
      <c r="B413" s="27">
        <v>26</v>
      </c>
      <c r="C413" s="27" t="s">
        <v>454</v>
      </c>
      <c r="D413" s="27" t="s">
        <v>2928</v>
      </c>
      <c r="E413" s="27" t="s">
        <v>2889</v>
      </c>
      <c r="F413" s="27" t="str">
        <f t="shared" si="0"/>
        <v>Philosophical Latin Origin</v>
      </c>
      <c r="G413" s="27">
        <f t="shared" si="1"/>
        <v>9</v>
      </c>
      <c r="H413" s="27" t="s">
        <v>3337</v>
      </c>
      <c r="I413" s="27"/>
      <c r="J413" s="27"/>
      <c r="K413" s="27"/>
      <c r="L413" s="27" t="str">
        <f t="shared" si="2"/>
        <v>A</v>
      </c>
      <c r="M413" s="27" t="str">
        <f>IFERROR(__xludf.DUMMYFUNCTION("GOOGLETRANSLATE(C413,""EN"",""KN"")"),"ಆರ್ಕಿಟೈಪ್")</f>
        <v>ಆರ್ಕಿಟೈಪ್</v>
      </c>
      <c r="N413" s="27">
        <f t="array" ref="N413">_xlfn.XLOOKUP(B413,'Sets Progress'!I:I,'Sets Progress'!I:I,"NOT YET")</f>
        <v>26</v>
      </c>
      <c r="O413" s="27" t="str">
        <f t="array" ref="O413">_xlfn.XLOOKUP(L:L,'Overall Progress'!L:L,'Overall Progress'!L:L,"NOT YET")</f>
        <v>NOT YET</v>
      </c>
      <c r="P413" s="27"/>
      <c r="Q413" s="27"/>
      <c r="R413" s="27"/>
      <c r="S413" s="27"/>
      <c r="T413" s="27"/>
      <c r="U413" s="27"/>
      <c r="V413" s="27"/>
      <c r="W413" s="27"/>
      <c r="X413" s="27"/>
      <c r="Y413" s="27"/>
      <c r="Z413" s="27"/>
    </row>
    <row r="414" hidden="1" customHeight="1" spans="1:26">
      <c r="A414" s="26">
        <v>148</v>
      </c>
      <c r="B414" s="26">
        <v>26</v>
      </c>
      <c r="C414" s="26" t="s">
        <v>497</v>
      </c>
      <c r="D414" s="26" t="s">
        <v>2892</v>
      </c>
      <c r="E414" s="26" t="s">
        <v>2911</v>
      </c>
      <c r="F414" s="26" t="str">
        <f t="shared" si="0"/>
        <v>Spatial French Origin</v>
      </c>
      <c r="G414" s="26">
        <f t="shared" si="1"/>
        <v>7</v>
      </c>
      <c r="H414" s="26" t="s">
        <v>3338</v>
      </c>
      <c r="I414" s="26"/>
      <c r="J414" s="26"/>
      <c r="K414" s="26"/>
      <c r="L414" s="26" t="str">
        <f t="shared" si="2"/>
        <v>B</v>
      </c>
      <c r="M414" s="26" t="str">
        <f>IFERROR(__xludf.DUMMYFUNCTION("GOOGLETRANSLATE(C414,""EN"",""KN"")"),"ಬ್ಯಾರೇಜ್")</f>
        <v>ಬ್ಯಾರೇಜ್</v>
      </c>
      <c r="N414" s="26">
        <f t="array" ref="N414">_xlfn.XLOOKUP(B414,'Sets Progress'!I:I,'Sets Progress'!I:I,"NOT YET")</f>
        <v>26</v>
      </c>
      <c r="O414" s="26" t="str">
        <f t="array" ref="O414">_xlfn.XLOOKUP(L:L,'Overall Progress'!L:L,'Overall Progress'!L:L,"NOT YET")</f>
        <v>NOT YET</v>
      </c>
      <c r="P414" s="26"/>
      <c r="Q414" s="26"/>
      <c r="R414" s="26"/>
      <c r="S414" s="26"/>
      <c r="T414" s="26"/>
      <c r="U414" s="26"/>
      <c r="V414" s="26"/>
      <c r="W414" s="26"/>
      <c r="X414" s="26"/>
      <c r="Y414" s="26"/>
      <c r="Z414" s="26"/>
    </row>
    <row r="415" hidden="1" customHeight="1" spans="1:26">
      <c r="A415" s="27">
        <v>164</v>
      </c>
      <c r="B415" s="27">
        <v>26</v>
      </c>
      <c r="C415" s="27" t="s">
        <v>513</v>
      </c>
      <c r="D415" s="27" t="s">
        <v>2717</v>
      </c>
      <c r="E415" s="27" t="s">
        <v>2889</v>
      </c>
      <c r="F415" s="27" t="str">
        <f t="shared" si="0"/>
        <v>Positive Traits Latin Origin</v>
      </c>
      <c r="G415" s="27">
        <f t="shared" si="1"/>
        <v>6</v>
      </c>
      <c r="H415" s="27" t="s">
        <v>3339</v>
      </c>
      <c r="I415" s="27"/>
      <c r="J415" s="27"/>
      <c r="K415" s="27"/>
      <c r="L415" s="27" t="str">
        <f t="shared" si="2"/>
        <v>B</v>
      </c>
      <c r="M415" s="27" t="str">
        <f>IFERROR(__xludf.DUMMYFUNCTION("GOOGLETRANSLATE(C415,""EN"",""KN"")"),"ಬೆನಿಗ್ನ್")</f>
        <v>ಬೆನಿಗ್ನ್</v>
      </c>
      <c r="N415" s="27">
        <f t="array" ref="N415">_xlfn.XLOOKUP(B415,'Sets Progress'!I:I,'Sets Progress'!I:I,"NOT YET")</f>
        <v>26</v>
      </c>
      <c r="O415" s="27" t="str">
        <f t="array" ref="O415">_xlfn.XLOOKUP(L:L,'Overall Progress'!L:L,'Overall Progress'!L:L,"NOT YET")</f>
        <v>NOT YET</v>
      </c>
      <c r="P415" s="27"/>
      <c r="Q415" s="27"/>
      <c r="R415" s="27"/>
      <c r="S415" s="27"/>
      <c r="T415" s="27"/>
      <c r="U415" s="27"/>
      <c r="V415" s="27"/>
      <c r="W415" s="27"/>
      <c r="X415" s="27"/>
      <c r="Y415" s="27"/>
      <c r="Z415" s="27"/>
    </row>
    <row r="416" hidden="1" customHeight="1" spans="1:26">
      <c r="A416" s="26">
        <v>351</v>
      </c>
      <c r="B416" s="26">
        <v>26</v>
      </c>
      <c r="C416" s="26" t="s">
        <v>701</v>
      </c>
      <c r="D416" s="26" t="s">
        <v>2716</v>
      </c>
      <c r="E416" s="26" t="s">
        <v>2896</v>
      </c>
      <c r="F416" s="26" t="str">
        <f t="shared" si="0"/>
        <v>Negative Traits Old French Origin</v>
      </c>
      <c r="G416" s="26">
        <f t="shared" si="1"/>
        <v>6</v>
      </c>
      <c r="H416" s="26" t="s">
        <v>3340</v>
      </c>
      <c r="I416" s="26"/>
      <c r="J416" s="26"/>
      <c r="K416" s="26"/>
      <c r="L416" s="26" t="str">
        <f t="shared" si="2"/>
        <v>D</v>
      </c>
      <c r="M416" s="26" t="str">
        <f>IFERROR(__xludf.DUMMYFUNCTION("GOOGLETRANSLATE(C416,""EN"",""KN"")"),"ವಂಚನೆ")</f>
        <v>ವಂಚನೆ</v>
      </c>
      <c r="N416" s="26">
        <f t="array" ref="N416">_xlfn.XLOOKUP(B416,'Sets Progress'!I:I,'Sets Progress'!I:I,"NOT YET")</f>
        <v>26</v>
      </c>
      <c r="O416" s="26" t="str">
        <f t="array" ref="O416">_xlfn.XLOOKUP(L:L,'Overall Progress'!L:L,'Overall Progress'!L:L,"NOT YET")</f>
        <v>NOT YET</v>
      </c>
      <c r="P416" s="26"/>
      <c r="Q416" s="26"/>
      <c r="R416" s="26"/>
      <c r="S416" s="26"/>
      <c r="T416" s="26"/>
      <c r="U416" s="26"/>
      <c r="V416" s="26"/>
      <c r="W416" s="26"/>
      <c r="X416" s="26"/>
      <c r="Y416" s="26"/>
      <c r="Z416" s="26"/>
    </row>
    <row r="417" hidden="1" customHeight="1" spans="1:26">
      <c r="A417" s="27">
        <v>386</v>
      </c>
      <c r="B417" s="27">
        <v>26</v>
      </c>
      <c r="C417" s="27" t="s">
        <v>736</v>
      </c>
      <c r="D417" s="27" t="s">
        <v>2716</v>
      </c>
      <c r="E417" s="27" t="s">
        <v>2889</v>
      </c>
      <c r="F417" s="27" t="str">
        <f t="shared" si="0"/>
        <v>Negative Traits Latin Origin</v>
      </c>
      <c r="G417" s="27">
        <f t="shared" si="1"/>
        <v>9</v>
      </c>
      <c r="H417" s="27" t="s">
        <v>3341</v>
      </c>
      <c r="I417" s="27"/>
      <c r="J417" s="27"/>
      <c r="K417" s="27"/>
      <c r="L417" s="27" t="str">
        <f t="shared" si="2"/>
        <v>D</v>
      </c>
      <c r="M417" s="27" t="str">
        <f>IFERROR(__xludf.DUMMYFUNCTION("GOOGLETRANSLATE(C417,""EN"",""KN"")"),"ವಿರೋಧಿ")</f>
        <v>ವಿರೋಧಿ</v>
      </c>
      <c r="N417" s="27">
        <f t="array" ref="N417">_xlfn.XLOOKUP(B417,'Sets Progress'!I:I,'Sets Progress'!I:I,"NOT YET")</f>
        <v>26</v>
      </c>
      <c r="O417" s="27" t="str">
        <f t="array" ref="O417">_xlfn.XLOOKUP(L:L,'Overall Progress'!L:L,'Overall Progress'!L:L,"NOT YET")</f>
        <v>NOT YET</v>
      </c>
      <c r="P417" s="27"/>
      <c r="Q417" s="27"/>
      <c r="R417" s="27"/>
      <c r="S417" s="27"/>
      <c r="T417" s="27"/>
      <c r="U417" s="27"/>
      <c r="V417" s="27"/>
      <c r="W417" s="27"/>
      <c r="X417" s="27"/>
      <c r="Y417" s="27"/>
      <c r="Z417" s="27"/>
    </row>
    <row r="418" hidden="1" customHeight="1" spans="1:26">
      <c r="A418" s="26">
        <v>419</v>
      </c>
      <c r="B418" s="26">
        <v>26</v>
      </c>
      <c r="C418" s="26" t="s">
        <v>768</v>
      </c>
      <c r="D418" s="26" t="s">
        <v>2946</v>
      </c>
      <c r="E418" s="26" t="s">
        <v>2889</v>
      </c>
      <c r="F418" s="26" t="str">
        <f t="shared" si="0"/>
        <v>Emotional Latin Origin</v>
      </c>
      <c r="G418" s="26">
        <f t="shared" si="1"/>
        <v>10</v>
      </c>
      <c r="H418" s="26" t="s">
        <v>3342</v>
      </c>
      <c r="I418" s="26"/>
      <c r="J418" s="26"/>
      <c r="K418" s="26"/>
      <c r="L418" s="26" t="str">
        <f t="shared" si="2"/>
        <v>D</v>
      </c>
      <c r="M418" s="26" t="str">
        <f>IFERROR(__xludf.DUMMYFUNCTION("GOOGLETRANSLATE(C418,""EN"",""KN"")"),"ಡಿಸೆಂಚಂಟ್")</f>
        <v>ಡಿಸೆಂಚಂಟ್</v>
      </c>
      <c r="N418" s="26">
        <f t="array" ref="N418">_xlfn.XLOOKUP(B418,'Sets Progress'!I:I,'Sets Progress'!I:I,"NOT YET")</f>
        <v>26</v>
      </c>
      <c r="O418" s="26" t="str">
        <f t="array" ref="O418">_xlfn.XLOOKUP(L:L,'Overall Progress'!L:L,'Overall Progress'!L:L,"NOT YET")</f>
        <v>NOT YET</v>
      </c>
      <c r="P418" s="26"/>
      <c r="Q418" s="26"/>
      <c r="R418" s="26"/>
      <c r="S418" s="26"/>
      <c r="T418" s="26"/>
      <c r="U418" s="26"/>
      <c r="V418" s="26"/>
      <c r="W418" s="26"/>
      <c r="X418" s="26"/>
      <c r="Y418" s="26"/>
      <c r="Z418" s="26"/>
    </row>
    <row r="419" hidden="1" customHeight="1" spans="1:26">
      <c r="A419" s="27">
        <v>477</v>
      </c>
      <c r="B419" s="27">
        <v>26</v>
      </c>
      <c r="C419" s="27" t="s">
        <v>826</v>
      </c>
      <c r="D419" s="27" t="s">
        <v>2716</v>
      </c>
      <c r="E419" s="27" t="s">
        <v>2896</v>
      </c>
      <c r="F419" s="27" t="str">
        <f t="shared" si="0"/>
        <v>Negative Traits Old French Origin</v>
      </c>
      <c r="G419" s="27">
        <f t="shared" si="1"/>
        <v>10</v>
      </c>
      <c r="H419" s="27" t="s">
        <v>3343</v>
      </c>
      <c r="I419" s="27"/>
      <c r="J419" s="27"/>
      <c r="K419" s="27"/>
      <c r="L419" s="27" t="str">
        <f t="shared" si="2"/>
        <v>E</v>
      </c>
      <c r="M419" s="27" t="str">
        <f>IFERROR(__xludf.DUMMYFUNCTION("GOOGLETRANSLATE(C419,""EN"",""KN"")"),"ಆಕ್ರಮಣಶೀಲತೆ")</f>
        <v>ಆಕ್ರಮಣಶೀಲತೆ</v>
      </c>
      <c r="N419" s="27">
        <f t="array" ref="N419">_xlfn.XLOOKUP(B419,'Sets Progress'!I:I,'Sets Progress'!I:I,"NOT YET")</f>
        <v>26</v>
      </c>
      <c r="O419" s="27" t="str">
        <f t="array" ref="O419">_xlfn.XLOOKUP(L:L,'Overall Progress'!L:L,'Overall Progress'!L:L,"NOT YET")</f>
        <v>NOT YET</v>
      </c>
      <c r="P419" s="27"/>
      <c r="Q419" s="27"/>
      <c r="R419" s="27"/>
      <c r="S419" s="27"/>
      <c r="T419" s="27"/>
      <c r="U419" s="27"/>
      <c r="V419" s="27"/>
      <c r="W419" s="27"/>
      <c r="X419" s="27"/>
      <c r="Y419" s="27"/>
      <c r="Z419" s="27"/>
    </row>
    <row r="420" hidden="1" customHeight="1" spans="1:26">
      <c r="A420" s="26">
        <v>569</v>
      </c>
      <c r="B420" s="26">
        <v>26</v>
      </c>
      <c r="C420" s="26" t="s">
        <v>914</v>
      </c>
      <c r="D420" s="26" t="s">
        <v>1721</v>
      </c>
      <c r="E420" s="26" t="s">
        <v>2889</v>
      </c>
      <c r="F420" s="26" t="str">
        <f t="shared" si="0"/>
        <v>Temporal Latin Origin</v>
      </c>
      <c r="G420" s="26">
        <f t="shared" si="1"/>
        <v>9</v>
      </c>
      <c r="H420" s="26" t="s">
        <v>3344</v>
      </c>
      <c r="I420" s="26"/>
      <c r="J420" s="26"/>
      <c r="K420" s="26"/>
      <c r="L420" s="26" t="str">
        <f t="shared" si="2"/>
        <v>E</v>
      </c>
      <c r="M420" s="26" t="str">
        <f>IFERROR(__xludf.DUMMYFUNCTION("GOOGLETRANSLATE(C420,""EN"",""KN"")"),"ಎಕ್ಸ್ಟೆಂಪೋರ್")</f>
        <v>ಎಕ್ಸ್ಟೆಂಪೋರ್</v>
      </c>
      <c r="N420" s="26">
        <f t="array" ref="N420">_xlfn.XLOOKUP(B420,'Sets Progress'!I:I,'Sets Progress'!I:I,"NOT YET")</f>
        <v>26</v>
      </c>
      <c r="O420" s="26" t="str">
        <f t="array" ref="O420">_xlfn.XLOOKUP(L:L,'Overall Progress'!L:L,'Overall Progress'!L:L,"NOT YET")</f>
        <v>NOT YET</v>
      </c>
      <c r="P420" s="26"/>
      <c r="Q420" s="26"/>
      <c r="R420" s="26"/>
      <c r="S420" s="26"/>
      <c r="T420" s="26"/>
      <c r="U420" s="26"/>
      <c r="V420" s="26"/>
      <c r="W420" s="26"/>
      <c r="X420" s="26"/>
      <c r="Y420" s="26"/>
      <c r="Z420" s="26"/>
    </row>
    <row r="421" hidden="1" customHeight="1" spans="1:26">
      <c r="A421" s="27">
        <v>620</v>
      </c>
      <c r="B421" s="27">
        <v>26</v>
      </c>
      <c r="C421" s="27" t="s">
        <v>964</v>
      </c>
      <c r="D421" s="27" t="s">
        <v>2892</v>
      </c>
      <c r="E421" s="27" t="s">
        <v>2908</v>
      </c>
      <c r="F421" s="27" t="str">
        <f t="shared" si="0"/>
        <v>Spatial Old English Origin</v>
      </c>
      <c r="G421" s="27">
        <f t="shared" si="1"/>
        <v>10</v>
      </c>
      <c r="H421" s="27" t="s">
        <v>3345</v>
      </c>
      <c r="I421" s="27"/>
      <c r="J421" s="27"/>
      <c r="K421" s="27"/>
      <c r="L421" s="27" t="str">
        <f t="shared" si="2"/>
        <v>F</v>
      </c>
      <c r="M421" s="27" t="str">
        <f>IFERROR(__xludf.DUMMYFUNCTION("GOOGLETRANSLATE(C421,""EN"",""KN"")"),"ಮುನ್ನೆಲೆ")</f>
        <v>ಮುನ್ನೆಲೆ</v>
      </c>
      <c r="N421" s="27">
        <f t="array" ref="N421">_xlfn.XLOOKUP(B421,'Sets Progress'!I:I,'Sets Progress'!I:I,"NOT YET")</f>
        <v>26</v>
      </c>
      <c r="O421" s="27" t="str">
        <f t="array" ref="O421">_xlfn.XLOOKUP(L:L,'Overall Progress'!L:L,'Overall Progress'!L:L,"NOT YET")</f>
        <v>NOT YET</v>
      </c>
      <c r="P421" s="27"/>
      <c r="Q421" s="27"/>
      <c r="R421" s="27"/>
      <c r="S421" s="27"/>
      <c r="T421" s="27"/>
      <c r="U421" s="27"/>
      <c r="V421" s="27"/>
      <c r="W421" s="27"/>
      <c r="X421" s="27"/>
      <c r="Y421" s="27"/>
      <c r="Z421" s="27"/>
    </row>
    <row r="422" hidden="1" customHeight="1" spans="1:26">
      <c r="A422" s="26">
        <v>639</v>
      </c>
      <c r="B422" s="26">
        <v>26</v>
      </c>
      <c r="C422" s="26" t="s">
        <v>983</v>
      </c>
      <c r="D422" s="26" t="s">
        <v>2892</v>
      </c>
      <c r="E422" s="26" t="s">
        <v>2889</v>
      </c>
      <c r="F422" s="26" t="str">
        <f t="shared" si="0"/>
        <v>Spatial Latin Origin</v>
      </c>
      <c r="G422" s="26">
        <f t="shared" si="1"/>
        <v>7</v>
      </c>
      <c r="H422" s="26" t="s">
        <v>3346</v>
      </c>
      <c r="I422" s="26"/>
      <c r="J422" s="26"/>
      <c r="K422" s="26"/>
      <c r="L422" s="26" t="str">
        <f t="shared" si="2"/>
        <v>F</v>
      </c>
      <c r="M422" s="26" t="str">
        <f>IFERROR(__xludf.DUMMYFUNCTION("GOOGLETRANSLATE(C422,""EN"",""KN"")"),"ಫುಲ್ಕ್ರಮ್")</f>
        <v>ಫುಲ್ಕ್ರಮ್</v>
      </c>
      <c r="N422" s="26">
        <f t="array" ref="N422">_xlfn.XLOOKUP(B422,'Sets Progress'!I:I,'Sets Progress'!I:I,"NOT YET")</f>
        <v>26</v>
      </c>
      <c r="O422" s="26" t="str">
        <f t="array" ref="O422">_xlfn.XLOOKUP(L:L,'Overall Progress'!L:L,'Overall Progress'!L:L,"NOT YET")</f>
        <v>NOT YET</v>
      </c>
      <c r="P422" s="26"/>
      <c r="Q422" s="26"/>
      <c r="R422" s="26"/>
      <c r="S422" s="26"/>
      <c r="T422" s="26"/>
      <c r="U422" s="26"/>
      <c r="V422" s="26"/>
      <c r="W422" s="26"/>
      <c r="X422" s="26"/>
      <c r="Y422" s="26"/>
      <c r="Z422" s="26"/>
    </row>
    <row r="423" hidden="1" customHeight="1" spans="1:26">
      <c r="A423" s="27">
        <v>729</v>
      </c>
      <c r="B423" s="27">
        <v>26</v>
      </c>
      <c r="C423" s="27" t="s">
        <v>1070</v>
      </c>
      <c r="D423" s="27" t="s">
        <v>1721</v>
      </c>
      <c r="E423" s="27" t="s">
        <v>2889</v>
      </c>
      <c r="F423" s="27" t="str">
        <f t="shared" si="0"/>
        <v>Temporal Latin Origin</v>
      </c>
      <c r="G423" s="27">
        <f t="shared" si="1"/>
        <v>7</v>
      </c>
      <c r="H423" s="27" t="s">
        <v>3347</v>
      </c>
      <c r="I423" s="27"/>
      <c r="J423" s="27"/>
      <c r="K423" s="27"/>
      <c r="L423" s="27" t="str">
        <f t="shared" si="2"/>
        <v>I</v>
      </c>
      <c r="M423" s="27" t="str">
        <f>IFERROR(__xludf.DUMMYFUNCTION("GOOGLETRANSLATE(C423,""EN"",""KN"")"),"ಪ್ರಚೋದನೆ")</f>
        <v>ಪ್ರಚೋದನೆ</v>
      </c>
      <c r="N423" s="27">
        <f t="array" ref="N423">_xlfn.XLOOKUP(B423,'Sets Progress'!I:I,'Sets Progress'!I:I,"NOT YET")</f>
        <v>26</v>
      </c>
      <c r="O423" s="27" t="str">
        <f t="array" ref="O423">_xlfn.XLOOKUP(L:L,'Overall Progress'!L:L,'Overall Progress'!L:L,"NOT YET")</f>
        <v>NOT YET</v>
      </c>
      <c r="P423" s="27"/>
      <c r="Q423" s="27"/>
      <c r="R423" s="27"/>
      <c r="S423" s="27"/>
      <c r="T423" s="27"/>
      <c r="U423" s="27"/>
      <c r="V423" s="27"/>
      <c r="W423" s="27"/>
      <c r="X423" s="27"/>
      <c r="Y423" s="27"/>
      <c r="Z423" s="27"/>
    </row>
    <row r="424" hidden="1" customHeight="1" spans="1:26">
      <c r="A424" s="26">
        <v>976</v>
      </c>
      <c r="B424" s="26">
        <v>26</v>
      </c>
      <c r="C424" s="26" t="s">
        <v>1312</v>
      </c>
      <c r="D424" s="26" t="s">
        <v>2716</v>
      </c>
      <c r="E424" s="26" t="s">
        <v>2889</v>
      </c>
      <c r="F424" s="26" t="str">
        <f t="shared" si="0"/>
        <v>Negative Traits Latin Origin</v>
      </c>
      <c r="G424" s="26">
        <f t="shared" si="1"/>
        <v>12</v>
      </c>
      <c r="H424" s="26" t="s">
        <v>3348</v>
      </c>
      <c r="I424" s="26"/>
      <c r="J424" s="26"/>
      <c r="K424" s="26"/>
      <c r="L424" s="26" t="str">
        <f t="shared" si="2"/>
        <v>O</v>
      </c>
      <c r="M424" s="26" t="str">
        <f>IFERROR(__xludf.DUMMYFUNCTION("GOOGLETRANSLATE(C424,""EN"",""KN"")"),"ಅಡ್ಡಿಪಡಿಸುವ")</f>
        <v>ಅಡ್ಡಿಪಡಿಸುವ</v>
      </c>
      <c r="N424" s="26">
        <f t="array" ref="N424">_xlfn.XLOOKUP(B424,'Sets Progress'!I:I,'Sets Progress'!I:I,"NOT YET")</f>
        <v>26</v>
      </c>
      <c r="O424" s="26" t="str">
        <f t="array" ref="O424">_xlfn.XLOOKUP(L:L,'Overall Progress'!L:L,'Overall Progress'!L:L,"NOT YET")</f>
        <v>NOT YET</v>
      </c>
      <c r="P424" s="26"/>
      <c r="Q424" s="26"/>
      <c r="R424" s="26"/>
      <c r="S424" s="26"/>
      <c r="T424" s="26"/>
      <c r="U424" s="26"/>
      <c r="V424" s="26"/>
      <c r="W424" s="26"/>
      <c r="X424" s="26"/>
      <c r="Y424" s="26"/>
      <c r="Z424" s="26"/>
    </row>
    <row r="425" hidden="1" customHeight="1" spans="1:26">
      <c r="A425" s="27">
        <v>1001</v>
      </c>
      <c r="B425" s="27">
        <v>26</v>
      </c>
      <c r="C425" s="27" t="s">
        <v>1336</v>
      </c>
      <c r="D425" s="27" t="s">
        <v>1721</v>
      </c>
      <c r="E425" s="27" t="s">
        <v>2908</v>
      </c>
      <c r="F425" s="27" t="str">
        <f t="shared" si="0"/>
        <v>Temporal Old English Origin</v>
      </c>
      <c r="G425" s="27">
        <f t="shared" si="1"/>
        <v>12</v>
      </c>
      <c r="H425" s="27" t="s">
        <v>3349</v>
      </c>
      <c r="I425" s="27"/>
      <c r="J425" s="27"/>
      <c r="K425" s="27"/>
      <c r="L425" s="27" t="str">
        <f t="shared" si="2"/>
        <v>O</v>
      </c>
      <c r="M425" s="27" t="str">
        <f>IFERROR(__xludf.DUMMYFUNCTION("GOOGLETRANSLATE(C425,""EN"",""KN"")"),"ಅತಿಕ್ರಮಿಸುತ್ತಿದೆ")</f>
        <v>ಅತಿಕ್ರಮಿಸುತ್ತಿದೆ</v>
      </c>
      <c r="N425" s="27">
        <f t="array" ref="N425">_xlfn.XLOOKUP(B425,'Sets Progress'!I:I,'Sets Progress'!I:I,"NOT YET")</f>
        <v>26</v>
      </c>
      <c r="O425" s="27" t="str">
        <f t="array" ref="O425">_xlfn.XLOOKUP(L:L,'Overall Progress'!L:L,'Overall Progress'!L:L,"NOT YET")</f>
        <v>NOT YET</v>
      </c>
      <c r="P425" s="27"/>
      <c r="Q425" s="27"/>
      <c r="R425" s="27"/>
      <c r="S425" s="27"/>
      <c r="T425" s="27"/>
      <c r="U425" s="27"/>
      <c r="V425" s="27"/>
      <c r="W425" s="27"/>
      <c r="X425" s="27"/>
      <c r="Y425" s="27"/>
      <c r="Z425" s="27"/>
    </row>
    <row r="426" hidden="1" customHeight="1" spans="1:26">
      <c r="A426" s="26">
        <v>1185</v>
      </c>
      <c r="B426" s="26">
        <v>26</v>
      </c>
      <c r="C426" s="26" t="s">
        <v>1516</v>
      </c>
      <c r="D426" s="26" t="s">
        <v>2716</v>
      </c>
      <c r="E426" s="26" t="s">
        <v>2889</v>
      </c>
      <c r="F426" s="26" t="str">
        <f t="shared" si="0"/>
        <v>Negative Traits Latin Origin</v>
      </c>
      <c r="G426" s="26">
        <f t="shared" si="1"/>
        <v>9</v>
      </c>
      <c r="H426" s="26" t="s">
        <v>3350</v>
      </c>
      <c r="I426" s="26"/>
      <c r="J426" s="26"/>
      <c r="K426" s="26"/>
      <c r="L426" s="26" t="str">
        <f t="shared" si="2"/>
        <v>R</v>
      </c>
      <c r="M426" s="26" t="str">
        <f>IFERROR(__xludf.DUMMYFUNCTION("GOOGLETRANSLATE(C426,""EN"",""KN"")"),"ಅನಗತ್ಯ")</f>
        <v>ಅನಗತ್ಯ</v>
      </c>
      <c r="N426" s="26">
        <f t="array" ref="N426">_xlfn.XLOOKUP(B426,'Sets Progress'!I:I,'Sets Progress'!I:I,"NOT YET")</f>
        <v>26</v>
      </c>
      <c r="O426" s="26" t="str">
        <f t="array" ref="O426">_xlfn.XLOOKUP(L:L,'Overall Progress'!L:L,'Overall Progress'!L:L,"NOT YET")</f>
        <v>NOT YET</v>
      </c>
      <c r="P426" s="26"/>
      <c r="Q426" s="26"/>
      <c r="R426" s="26"/>
      <c r="S426" s="26"/>
      <c r="T426" s="26"/>
      <c r="U426" s="26"/>
      <c r="V426" s="26"/>
      <c r="W426" s="26"/>
      <c r="X426" s="26"/>
      <c r="Y426" s="26"/>
      <c r="Z426" s="26"/>
    </row>
    <row r="427" hidden="1" customHeight="1" spans="1:26">
      <c r="A427" s="27">
        <v>1269</v>
      </c>
      <c r="B427" s="27">
        <v>26</v>
      </c>
      <c r="C427" s="27" t="s">
        <v>1600</v>
      </c>
      <c r="D427" s="27" t="s">
        <v>2717</v>
      </c>
      <c r="E427" s="27" t="s">
        <v>2889</v>
      </c>
      <c r="F427" s="27" t="str">
        <f t="shared" si="0"/>
        <v>Positive Traits Latin Origin</v>
      </c>
      <c r="G427" s="27">
        <f t="shared" si="1"/>
        <v>11</v>
      </c>
      <c r="H427" s="27" t="s">
        <v>3351</v>
      </c>
      <c r="I427" s="27"/>
      <c r="J427" s="27"/>
      <c r="K427" s="27"/>
      <c r="L427" s="27" t="str">
        <f t="shared" si="2"/>
        <v>S</v>
      </c>
      <c r="M427" s="27" t="str">
        <f>IFERROR(__xludf.DUMMYFUNCTION("GOOGLETRANSLATE(C427,""EN"",""KN"")"),"ಭಾವುಕ")</f>
        <v>ಭಾವುಕ</v>
      </c>
      <c r="N427" s="27">
        <f t="array" ref="N427">_xlfn.XLOOKUP(B427,'Sets Progress'!I:I,'Sets Progress'!I:I,"NOT YET")</f>
        <v>26</v>
      </c>
      <c r="O427" s="27" t="str">
        <f t="array" ref="O427">_xlfn.XLOOKUP(L:L,'Overall Progress'!L:L,'Overall Progress'!L:L,"NOT YET")</f>
        <v>NOT YET</v>
      </c>
      <c r="P427" s="27"/>
      <c r="Q427" s="27"/>
      <c r="R427" s="27"/>
      <c r="S427" s="27"/>
      <c r="T427" s="27"/>
      <c r="U427" s="27"/>
      <c r="V427" s="27"/>
      <c r="W427" s="27"/>
      <c r="X427" s="27"/>
      <c r="Y427" s="27"/>
      <c r="Z427" s="27"/>
    </row>
    <row r="428" hidden="1" customHeight="1" spans="1:26">
      <c r="A428" s="26">
        <v>1466</v>
      </c>
      <c r="B428" s="26">
        <v>26</v>
      </c>
      <c r="C428" s="26" t="s">
        <v>1794</v>
      </c>
      <c r="D428" s="26" t="s">
        <v>2716</v>
      </c>
      <c r="E428" s="26" t="s">
        <v>2896</v>
      </c>
      <c r="F428" s="26" t="str">
        <f t="shared" si="0"/>
        <v>Negative Traits Old French Origin</v>
      </c>
      <c r="G428" s="26">
        <f t="shared" si="1"/>
        <v>14</v>
      </c>
      <c r="H428" s="26" t="s">
        <v>3352</v>
      </c>
      <c r="I428" s="26"/>
      <c r="J428" s="26"/>
      <c r="K428" s="26"/>
      <c r="L428" s="26" t="str">
        <f t="shared" si="2"/>
        <v>U</v>
      </c>
      <c r="M428" s="26" t="str">
        <f>IFERROR(__xludf.DUMMYFUNCTION("GOOGLETRANSLATE(C428,""EN"",""KN"")"),"ಅರ್ಥವಾಗುವುದಿಲ್ಲ")</f>
        <v>ಅರ್ಥವಾಗುವುದಿಲ್ಲ</v>
      </c>
      <c r="N428" s="26">
        <f t="array" ref="N428">_xlfn.XLOOKUP(B428,'Sets Progress'!I:I,'Sets Progress'!I:I,"NOT YET")</f>
        <v>26</v>
      </c>
      <c r="O428" s="26" t="str">
        <f t="array" ref="O428">_xlfn.XLOOKUP(L:L,'Overall Progress'!L:L,'Overall Progress'!L:L,"NOT YET")</f>
        <v>NOT YET</v>
      </c>
      <c r="P428" s="26"/>
      <c r="Q428" s="26"/>
      <c r="R428" s="26"/>
      <c r="S428" s="26"/>
      <c r="T428" s="26"/>
      <c r="U428" s="26"/>
      <c r="V428" s="26"/>
      <c r="W428" s="26"/>
      <c r="X428" s="26"/>
      <c r="Y428" s="26"/>
      <c r="Z428" s="26"/>
    </row>
    <row r="429" hidden="1" customHeight="1" spans="1:26">
      <c r="A429" s="27">
        <v>49</v>
      </c>
      <c r="B429" s="27">
        <v>27</v>
      </c>
      <c r="C429" s="27" t="s">
        <v>403</v>
      </c>
      <c r="D429" s="27" t="s">
        <v>2717</v>
      </c>
      <c r="E429" s="27" t="s">
        <v>2911</v>
      </c>
      <c r="F429" s="27" t="str">
        <f t="shared" si="0"/>
        <v>Positive Traits French Origin</v>
      </c>
      <c r="G429" s="27">
        <f t="shared" si="1"/>
        <v>10</v>
      </c>
      <c r="H429" s="27" t="s">
        <v>3353</v>
      </c>
      <c r="I429" s="27"/>
      <c r="J429" s="27"/>
      <c r="K429" s="27"/>
      <c r="L429" s="27" t="str">
        <f t="shared" si="2"/>
        <v>A</v>
      </c>
      <c r="M429" s="27" t="str">
        <f>IFERROR(__xludf.DUMMYFUNCTION("GOOGLETRANSLATE(C429,""EN"",""KN"")"),"ಹೆಚ್ಚಿಸಿ")</f>
        <v>ಹೆಚ್ಚಿಸಿ</v>
      </c>
      <c r="N429" s="27">
        <f t="array" ref="N429">_xlfn.XLOOKUP(B429,'Sets Progress'!I:I,'Sets Progress'!I:I,"NOT YET")</f>
        <v>27</v>
      </c>
      <c r="O429" s="27" t="str">
        <f t="array" ref="O429">_xlfn.XLOOKUP(L:L,'Overall Progress'!L:L,'Overall Progress'!L:L,"NOT YET")</f>
        <v>NOT YET</v>
      </c>
      <c r="P429" s="27"/>
      <c r="Q429" s="27"/>
      <c r="R429" s="27"/>
      <c r="S429" s="27"/>
      <c r="T429" s="27"/>
      <c r="U429" s="27"/>
      <c r="V429" s="27"/>
      <c r="W429" s="27"/>
      <c r="X429" s="27"/>
      <c r="Y429" s="27"/>
      <c r="Z429" s="27"/>
    </row>
    <row r="430" hidden="1" customHeight="1" spans="1:26">
      <c r="A430" s="26">
        <v>263</v>
      </c>
      <c r="B430" s="26">
        <v>27</v>
      </c>
      <c r="C430" s="26" t="s">
        <v>616</v>
      </c>
      <c r="D430" s="26" t="s">
        <v>1721</v>
      </c>
      <c r="E430" s="26" t="s">
        <v>2889</v>
      </c>
      <c r="F430" s="26" t="str">
        <f t="shared" si="0"/>
        <v>Temporal Latin Origin</v>
      </c>
      <c r="G430" s="26">
        <f t="shared" si="1"/>
        <v>7</v>
      </c>
      <c r="H430" s="26" t="s">
        <v>3354</v>
      </c>
      <c r="I430" s="26"/>
      <c r="J430" s="26"/>
      <c r="K430" s="26"/>
      <c r="L430" s="26" t="str">
        <f t="shared" si="2"/>
        <v>C</v>
      </c>
      <c r="M430" s="26" t="str">
        <f>IFERROR(__xludf.DUMMYFUNCTION("GOOGLETRANSLATE(C430,""EN"",""KN"")"),"ಸ್ಪರ್ಧಿಸಿ")</f>
        <v>ಸ್ಪರ್ಧಿಸಿ</v>
      </c>
      <c r="N430" s="26">
        <f t="array" ref="N430">_xlfn.XLOOKUP(B430,'Sets Progress'!I:I,'Sets Progress'!I:I,"NOT YET")</f>
        <v>27</v>
      </c>
      <c r="O430" s="26" t="str">
        <f t="array" ref="O430">_xlfn.XLOOKUP(L:L,'Overall Progress'!L:L,'Overall Progress'!L:L,"NOT YET")</f>
        <v>NOT YET</v>
      </c>
      <c r="P430" s="26"/>
      <c r="Q430" s="26"/>
      <c r="R430" s="26"/>
      <c r="S430" s="26"/>
      <c r="T430" s="26"/>
      <c r="U430" s="26"/>
      <c r="V430" s="26"/>
      <c r="W430" s="26"/>
      <c r="X430" s="26"/>
      <c r="Y430" s="26"/>
      <c r="Z430" s="26"/>
    </row>
    <row r="431" hidden="1" customHeight="1" spans="1:26">
      <c r="A431" s="27">
        <v>346</v>
      </c>
      <c r="B431" s="27">
        <v>27</v>
      </c>
      <c r="C431" s="27" t="s">
        <v>696</v>
      </c>
      <c r="D431" s="27" t="s">
        <v>1721</v>
      </c>
      <c r="E431" s="27" t="s">
        <v>2911</v>
      </c>
      <c r="F431" s="27" t="str">
        <f t="shared" si="0"/>
        <v>Temporal French Origin</v>
      </c>
      <c r="G431" s="27">
        <f t="shared" si="1"/>
        <v>7</v>
      </c>
      <c r="H431" s="27" t="s">
        <v>3355</v>
      </c>
      <c r="I431" s="27"/>
      <c r="J431" s="27"/>
      <c r="K431" s="27"/>
      <c r="L431" s="27" t="str">
        <f t="shared" si="2"/>
        <v>D</v>
      </c>
      <c r="M431" s="27" t="str">
        <f>IFERROR(__xludf.DUMMYFUNCTION("GOOGLETRANSLATE(C431,""EN"",""KN"")"),"ಸೋಲು")</f>
        <v>ಸೋಲು</v>
      </c>
      <c r="N431" s="27">
        <f t="array" ref="N431">_xlfn.XLOOKUP(B431,'Sets Progress'!I:I,'Sets Progress'!I:I,"NOT YET")</f>
        <v>27</v>
      </c>
      <c r="O431" s="27" t="str">
        <f t="array" ref="O431">_xlfn.XLOOKUP(L:L,'Overall Progress'!L:L,'Overall Progress'!L:L,"NOT YET")</f>
        <v>NOT YET</v>
      </c>
      <c r="P431" s="27"/>
      <c r="Q431" s="27"/>
      <c r="R431" s="27"/>
      <c r="S431" s="27"/>
      <c r="T431" s="27"/>
      <c r="U431" s="27"/>
      <c r="V431" s="27"/>
      <c r="W431" s="27"/>
      <c r="X431" s="27"/>
      <c r="Y431" s="27"/>
      <c r="Z431" s="27"/>
    </row>
    <row r="432" hidden="1" customHeight="1" spans="1:26">
      <c r="A432" s="26">
        <v>425</v>
      </c>
      <c r="B432" s="26">
        <v>27</v>
      </c>
      <c r="C432" s="26" t="s">
        <v>774</v>
      </c>
      <c r="D432" s="26" t="s">
        <v>2946</v>
      </c>
      <c r="E432" s="26" t="s">
        <v>2889</v>
      </c>
      <c r="F432" s="26" t="str">
        <f t="shared" si="0"/>
        <v>Emotional Latin Origin</v>
      </c>
      <c r="G432" s="26">
        <f t="shared" si="1"/>
        <v>13</v>
      </c>
      <c r="H432" s="26" t="s">
        <v>3356</v>
      </c>
      <c r="I432" s="26"/>
      <c r="J432" s="26"/>
      <c r="K432" s="26"/>
      <c r="L432" s="26" t="str">
        <f t="shared" si="2"/>
        <v>D</v>
      </c>
      <c r="M432" s="26" t="str">
        <f>IFERROR(__xludf.DUMMYFUNCTION("GOOGLETRANSLATE(C432,""EN"",""KN"")"),"ನಿರಾಸಕ್ತಿ")</f>
        <v>ನಿರಾಸಕ್ತಿ</v>
      </c>
      <c r="N432" s="26">
        <f t="array" ref="N432">_xlfn.XLOOKUP(B432,'Sets Progress'!I:I,'Sets Progress'!I:I,"NOT YET")</f>
        <v>27</v>
      </c>
      <c r="O432" s="26" t="str">
        <f t="array" ref="O432">_xlfn.XLOOKUP(L:L,'Overall Progress'!L:L,'Overall Progress'!L:L,"NOT YET")</f>
        <v>NOT YET</v>
      </c>
      <c r="P432" s="26"/>
      <c r="Q432" s="26"/>
      <c r="R432" s="26"/>
      <c r="S432" s="26"/>
      <c r="T432" s="26"/>
      <c r="U432" s="26"/>
      <c r="V432" s="26"/>
      <c r="W432" s="26"/>
      <c r="X432" s="26"/>
      <c r="Y432" s="26"/>
      <c r="Z432" s="26"/>
    </row>
    <row r="433" hidden="1" customHeight="1" spans="1:26">
      <c r="A433" s="27">
        <v>513</v>
      </c>
      <c r="B433" s="27">
        <v>27</v>
      </c>
      <c r="C433" s="27" t="s">
        <v>862</v>
      </c>
      <c r="D433" s="27" t="s">
        <v>1721</v>
      </c>
      <c r="E433" s="27" t="s">
        <v>2896</v>
      </c>
      <c r="F433" s="27" t="str">
        <f t="shared" si="0"/>
        <v>Temporal Old French Origin</v>
      </c>
      <c r="G433" s="27">
        <f t="shared" si="1"/>
        <v>5</v>
      </c>
      <c r="H433" s="27" t="s">
        <v>3357</v>
      </c>
      <c r="I433" s="27"/>
      <c r="J433" s="27"/>
      <c r="K433" s="27"/>
      <c r="L433" s="27" t="str">
        <f t="shared" si="2"/>
        <v>E</v>
      </c>
      <c r="M433" s="27" t="str">
        <f>IFERROR(__xludf.DUMMYFUNCTION("GOOGLETRANSLATE(C433,""EN"",""KN"")"),"ಎದುರಿಸಿ")</f>
        <v>ಎದುರಿಸಿ</v>
      </c>
      <c r="N433" s="27">
        <f t="array" ref="N433">_xlfn.XLOOKUP(B433,'Sets Progress'!I:I,'Sets Progress'!I:I,"NOT YET")</f>
        <v>27</v>
      </c>
      <c r="O433" s="27" t="str">
        <f t="array" ref="O433">_xlfn.XLOOKUP(L:L,'Overall Progress'!L:L,'Overall Progress'!L:L,"NOT YET")</f>
        <v>NOT YET</v>
      </c>
      <c r="P433" s="27"/>
      <c r="Q433" s="27"/>
      <c r="R433" s="27"/>
      <c r="S433" s="27"/>
      <c r="T433" s="27"/>
      <c r="U433" s="27"/>
      <c r="V433" s="27"/>
      <c r="W433" s="27"/>
      <c r="X433" s="27"/>
      <c r="Y433" s="27"/>
      <c r="Z433" s="27"/>
    </row>
    <row r="434" hidden="1" customHeight="1" spans="1:26">
      <c r="A434" s="26">
        <v>596</v>
      </c>
      <c r="B434" s="26">
        <v>27</v>
      </c>
      <c r="C434" s="26" t="s">
        <v>940</v>
      </c>
      <c r="D434" s="26" t="s">
        <v>2946</v>
      </c>
      <c r="E434" s="26" t="s">
        <v>2889</v>
      </c>
      <c r="F434" s="26" t="str">
        <f t="shared" si="0"/>
        <v>Emotional Latin Origin</v>
      </c>
      <c r="G434" s="26">
        <f t="shared" si="1"/>
        <v>6</v>
      </c>
      <c r="H434" s="26" t="s">
        <v>3358</v>
      </c>
      <c r="I434" s="26"/>
      <c r="J434" s="26"/>
      <c r="K434" s="26"/>
      <c r="L434" s="26" t="str">
        <f t="shared" si="2"/>
        <v>F</v>
      </c>
      <c r="M434" s="26" t="str">
        <f>IFERROR(__xludf.DUMMYFUNCTION("GOOGLETRANSLATE(C434,""EN"",""KN"")"),"ಫೆರ್ವಿಡ್")</f>
        <v>ಫೆರ್ವಿಡ್</v>
      </c>
      <c r="N434" s="26">
        <f t="array" ref="N434">_xlfn.XLOOKUP(B434,'Sets Progress'!I:I,'Sets Progress'!I:I,"NOT YET")</f>
        <v>27</v>
      </c>
      <c r="O434" s="26" t="str">
        <f t="array" ref="O434">_xlfn.XLOOKUP(L:L,'Overall Progress'!L:L,'Overall Progress'!L:L,"NOT YET")</f>
        <v>NOT YET</v>
      </c>
      <c r="P434" s="26"/>
      <c r="Q434" s="26"/>
      <c r="R434" s="26"/>
      <c r="S434" s="26"/>
      <c r="T434" s="26"/>
      <c r="U434" s="26"/>
      <c r="V434" s="26"/>
      <c r="W434" s="26"/>
      <c r="X434" s="26"/>
      <c r="Y434" s="26"/>
      <c r="Z434" s="26"/>
    </row>
    <row r="435" hidden="1" customHeight="1" spans="1:26">
      <c r="A435" s="27">
        <v>606</v>
      </c>
      <c r="B435" s="27">
        <v>27</v>
      </c>
      <c r="C435" s="27" t="s">
        <v>950</v>
      </c>
      <c r="D435" s="27" t="s">
        <v>2946</v>
      </c>
      <c r="E435" s="27" t="s">
        <v>2896</v>
      </c>
      <c r="F435" s="27" t="str">
        <f t="shared" si="0"/>
        <v>Emotional Old French Origin</v>
      </c>
      <c r="G435" s="27">
        <f t="shared" si="1"/>
        <v>8</v>
      </c>
      <c r="H435" s="27" t="s">
        <v>3359</v>
      </c>
      <c r="I435" s="27"/>
      <c r="J435" s="27"/>
      <c r="K435" s="27"/>
      <c r="L435" s="27" t="str">
        <f t="shared" si="2"/>
        <v>F</v>
      </c>
      <c r="M435" s="27" t="str">
        <f>IFERROR(__xludf.DUMMYFUNCTION("GOOGLETRANSLATE(C435,""EN"",""KN"")"),"ಮುಖಸ್ತುತಿ")</f>
        <v>ಮುಖಸ್ತುತಿ</v>
      </c>
      <c r="N435" s="27">
        <f t="array" ref="N435">_xlfn.XLOOKUP(B435,'Sets Progress'!I:I,'Sets Progress'!I:I,"NOT YET")</f>
        <v>27</v>
      </c>
      <c r="O435" s="27" t="str">
        <f t="array" ref="O435">_xlfn.XLOOKUP(L:L,'Overall Progress'!L:L,'Overall Progress'!L:L,"NOT YET")</f>
        <v>NOT YET</v>
      </c>
      <c r="P435" s="27"/>
      <c r="Q435" s="27"/>
      <c r="R435" s="27"/>
      <c r="S435" s="27"/>
      <c r="T435" s="27"/>
      <c r="U435" s="27"/>
      <c r="V435" s="27"/>
      <c r="W435" s="27"/>
      <c r="X435" s="27"/>
      <c r="Y435" s="27"/>
      <c r="Z435" s="27"/>
    </row>
    <row r="436" hidden="1" customHeight="1" spans="1:26">
      <c r="A436" s="26">
        <v>746</v>
      </c>
      <c r="B436" s="26">
        <v>27</v>
      </c>
      <c r="C436" s="26" t="s">
        <v>1087</v>
      </c>
      <c r="D436" s="26" t="s">
        <v>1721</v>
      </c>
      <c r="E436" s="26" t="s">
        <v>2889</v>
      </c>
      <c r="F436" s="26" t="str">
        <f t="shared" si="0"/>
        <v>Temporal Latin Origin</v>
      </c>
      <c r="G436" s="26">
        <f t="shared" si="1"/>
        <v>10</v>
      </c>
      <c r="H436" s="26" t="s">
        <v>3360</v>
      </c>
      <c r="I436" s="26"/>
      <c r="J436" s="26"/>
      <c r="K436" s="26"/>
      <c r="L436" s="26" t="str">
        <f t="shared" si="2"/>
        <v>I</v>
      </c>
      <c r="M436" s="26" t="str">
        <f>IFERROR(__xludf.DUMMYFUNCTION("GOOGLETRANSLATE(C436,""EN"",""KN"")"),"ಪ್ರಾಸಂಗಿಕ")</f>
        <v>ಪ್ರಾಸಂಗಿಕ</v>
      </c>
      <c r="N436" s="26">
        <f t="array" ref="N436">_xlfn.XLOOKUP(B436,'Sets Progress'!I:I,'Sets Progress'!I:I,"NOT YET")</f>
        <v>27</v>
      </c>
      <c r="O436" s="26" t="str">
        <f t="array" ref="O436">_xlfn.XLOOKUP(L:L,'Overall Progress'!L:L,'Overall Progress'!L:L,"NOT YET")</f>
        <v>NOT YET</v>
      </c>
      <c r="P436" s="26"/>
      <c r="Q436" s="26"/>
      <c r="R436" s="26"/>
      <c r="S436" s="26"/>
      <c r="T436" s="26"/>
      <c r="U436" s="26"/>
      <c r="V436" s="26"/>
      <c r="W436" s="26"/>
      <c r="X436" s="26"/>
      <c r="Y436" s="26"/>
      <c r="Z436" s="26"/>
    </row>
    <row r="437" hidden="1" customHeight="1" spans="1:26">
      <c r="A437" s="27">
        <v>853</v>
      </c>
      <c r="B437" s="27">
        <v>27</v>
      </c>
      <c r="C437" s="27" t="s">
        <v>1193</v>
      </c>
      <c r="D437" s="27" t="s">
        <v>1721</v>
      </c>
      <c r="E437" s="27" t="s">
        <v>2889</v>
      </c>
      <c r="F437" s="27" t="str">
        <f t="shared" si="0"/>
        <v>Temporal Latin Origin</v>
      </c>
      <c r="G437" s="27">
        <f t="shared" si="1"/>
        <v>8</v>
      </c>
      <c r="H437" s="27" t="s">
        <v>3361</v>
      </c>
      <c r="I437" s="27"/>
      <c r="J437" s="27"/>
      <c r="K437" s="27"/>
      <c r="L437" s="27" t="str">
        <f t="shared" si="2"/>
        <v>L</v>
      </c>
      <c r="M437" s="27" t="str">
        <f>IFERROR(__xludf.DUMMYFUNCTION("GOOGLETRANSLATE(C437,""EN"",""KN"")"),"ಅಕ್ಷಾಂಶ")</f>
        <v>ಅಕ್ಷಾಂಶ</v>
      </c>
      <c r="N437" s="27">
        <f t="array" ref="N437">_xlfn.XLOOKUP(B437,'Sets Progress'!I:I,'Sets Progress'!I:I,"NOT YET")</f>
        <v>27</v>
      </c>
      <c r="O437" s="27" t="str">
        <f t="array" ref="O437">_xlfn.XLOOKUP(L:L,'Overall Progress'!L:L,'Overall Progress'!L:L,"NOT YET")</f>
        <v>NOT YET</v>
      </c>
      <c r="P437" s="27"/>
      <c r="Q437" s="27"/>
      <c r="R437" s="27"/>
      <c r="S437" s="27"/>
      <c r="T437" s="27"/>
      <c r="U437" s="27"/>
      <c r="V437" s="27"/>
      <c r="W437" s="27"/>
      <c r="X437" s="27"/>
      <c r="Y437" s="27"/>
      <c r="Z437" s="27"/>
    </row>
    <row r="438" hidden="1" customHeight="1" spans="1:26">
      <c r="A438" s="26">
        <v>858</v>
      </c>
      <c r="B438" s="26">
        <v>27</v>
      </c>
      <c r="C438" s="26" t="s">
        <v>1198</v>
      </c>
      <c r="D438" s="26" t="s">
        <v>1721</v>
      </c>
      <c r="E438" s="26" t="s">
        <v>2908</v>
      </c>
      <c r="F438" s="26" t="str">
        <f t="shared" si="0"/>
        <v>Temporal Old English Origin</v>
      </c>
      <c r="G438" s="26">
        <f t="shared" si="1"/>
        <v>6</v>
      </c>
      <c r="H438" s="26" t="s">
        <v>3362</v>
      </c>
      <c r="I438" s="26"/>
      <c r="J438" s="26"/>
      <c r="K438" s="26"/>
      <c r="L438" s="26" t="str">
        <f t="shared" si="2"/>
        <v>L</v>
      </c>
      <c r="M438" s="26" t="str">
        <f>IFERROR(__xludf.DUMMYFUNCTION("GOOGLETRANSLATE(C438,""EN"",""KN"")"),"ಬಿಡುವು")</f>
        <v>ಬಿಡುವು</v>
      </c>
      <c r="N438" s="26">
        <f t="array" ref="N438">_xlfn.XLOOKUP(B438,'Sets Progress'!I:I,'Sets Progress'!I:I,"NOT YET")</f>
        <v>27</v>
      </c>
      <c r="O438" s="26" t="str">
        <f t="array" ref="O438">_xlfn.XLOOKUP(L:L,'Overall Progress'!L:L,'Overall Progress'!L:L,"NOT YET")</f>
        <v>NOT YET</v>
      </c>
      <c r="P438" s="26"/>
      <c r="Q438" s="26"/>
      <c r="R438" s="26"/>
      <c r="S438" s="26"/>
      <c r="T438" s="26"/>
      <c r="U438" s="26"/>
      <c r="V438" s="26"/>
      <c r="W438" s="26"/>
      <c r="X438" s="26"/>
      <c r="Y438" s="26"/>
      <c r="Z438" s="26"/>
    </row>
    <row r="439" hidden="1" customHeight="1" spans="1:26">
      <c r="A439" s="27">
        <v>918</v>
      </c>
      <c r="B439" s="27">
        <v>27</v>
      </c>
      <c r="C439" s="27" t="s">
        <v>1254</v>
      </c>
      <c r="D439" s="27" t="s">
        <v>2716</v>
      </c>
      <c r="E439" s="27" t="s">
        <v>2908</v>
      </c>
      <c r="F439" s="27" t="str">
        <f t="shared" si="0"/>
        <v>Negative Traits Old English Origin</v>
      </c>
      <c r="G439" s="27">
        <f t="shared" si="1"/>
        <v>7</v>
      </c>
      <c r="H439" s="27" t="s">
        <v>3363</v>
      </c>
      <c r="I439" s="27"/>
      <c r="J439" s="27"/>
      <c r="K439" s="27"/>
      <c r="L439" s="27" t="str">
        <f t="shared" si="2"/>
        <v>M</v>
      </c>
      <c r="M439" s="27" t="str">
        <f>IFERROR(__xludf.DUMMYFUNCTION("GOOGLETRANSLATE(C439,""EN"",""KN"")"),"ಜಿಪುಣತನದಿಂದ")</f>
        <v>ಜಿಪುಣತನದಿಂದ</v>
      </c>
      <c r="N439" s="27">
        <f t="array" ref="N439">_xlfn.XLOOKUP(B439,'Sets Progress'!I:I,'Sets Progress'!I:I,"NOT YET")</f>
        <v>27</v>
      </c>
      <c r="O439" s="27" t="str">
        <f t="array" ref="O439">_xlfn.XLOOKUP(L:L,'Overall Progress'!L:L,'Overall Progress'!L:L,"NOT YET")</f>
        <v>NOT YET</v>
      </c>
      <c r="P439" s="27"/>
      <c r="Q439" s="27"/>
      <c r="R439" s="27"/>
      <c r="S439" s="27"/>
      <c r="T439" s="27"/>
      <c r="U439" s="27"/>
      <c r="V439" s="27"/>
      <c r="W439" s="27"/>
      <c r="X439" s="27"/>
      <c r="Y439" s="27"/>
      <c r="Z439" s="27"/>
    </row>
    <row r="440" hidden="1" customHeight="1" spans="1:26">
      <c r="A440" s="26">
        <v>1100</v>
      </c>
      <c r="B440" s="26">
        <v>27</v>
      </c>
      <c r="C440" s="26" t="s">
        <v>1434</v>
      </c>
      <c r="D440" s="26" t="s">
        <v>2717</v>
      </c>
      <c r="E440" s="26" t="s">
        <v>2889</v>
      </c>
      <c r="F440" s="26" t="str">
        <f t="shared" si="0"/>
        <v>Positive Traits Latin Origin</v>
      </c>
      <c r="G440" s="26">
        <f t="shared" si="1"/>
        <v>12</v>
      </c>
      <c r="H440" s="26" t="s">
        <v>3364</v>
      </c>
      <c r="I440" s="26"/>
      <c r="J440" s="26"/>
      <c r="K440" s="26"/>
      <c r="L440" s="26" t="str">
        <f t="shared" si="2"/>
        <v>P</v>
      </c>
      <c r="M440" s="26" t="str">
        <f>IFERROR(__xludf.DUMMYFUNCTION("GOOGLETRANSLATE(C440,""EN"",""KN"")"),"ಒಲವು")</f>
        <v>ಒಲವು</v>
      </c>
      <c r="N440" s="26">
        <f t="array" ref="N440">_xlfn.XLOOKUP(B440,'Sets Progress'!I:I,'Sets Progress'!I:I,"NOT YET")</f>
        <v>27</v>
      </c>
      <c r="O440" s="26" t="str">
        <f t="array" ref="O440">_xlfn.XLOOKUP(L:L,'Overall Progress'!L:L,'Overall Progress'!L:L,"NOT YET")</f>
        <v>NOT YET</v>
      </c>
      <c r="P440" s="26"/>
      <c r="Q440" s="26"/>
      <c r="R440" s="26"/>
      <c r="S440" s="26"/>
      <c r="T440" s="26"/>
      <c r="U440" s="26"/>
      <c r="V440" s="26"/>
      <c r="W440" s="26"/>
      <c r="X440" s="26"/>
      <c r="Y440" s="26"/>
      <c r="Z440" s="26"/>
    </row>
    <row r="441" hidden="1" customHeight="1" spans="1:26">
      <c r="A441" s="27">
        <v>1126</v>
      </c>
      <c r="B441" s="27">
        <v>27</v>
      </c>
      <c r="C441" s="27" t="s">
        <v>1459</v>
      </c>
      <c r="D441" s="27" t="s">
        <v>2717</v>
      </c>
      <c r="E441" s="27" t="s">
        <v>2889</v>
      </c>
      <c r="F441" s="27" t="str">
        <f t="shared" si="0"/>
        <v>Positive Traits Latin Origin</v>
      </c>
      <c r="G441" s="27">
        <f t="shared" si="1"/>
        <v>7</v>
      </c>
      <c r="H441" s="27" t="s">
        <v>3365</v>
      </c>
      <c r="I441" s="27"/>
      <c r="J441" s="27"/>
      <c r="K441" s="27"/>
      <c r="L441" s="27" t="str">
        <f t="shared" si="2"/>
        <v>P</v>
      </c>
      <c r="M441" s="27" t="str">
        <f>IFERROR(__xludf.DUMMYFUNCTION("GOOGLETRANSLATE(C441,""EN"",""KN"")"),"ಸಮೃದ್ಧ")</f>
        <v>ಸಮೃದ್ಧ</v>
      </c>
      <c r="N441" s="27">
        <f t="array" ref="N441">_xlfn.XLOOKUP(B441,'Sets Progress'!I:I,'Sets Progress'!I:I,"NOT YET")</f>
        <v>27</v>
      </c>
      <c r="O441" s="27" t="str">
        <f t="array" ref="O441">_xlfn.XLOOKUP(L:L,'Overall Progress'!L:L,'Overall Progress'!L:L,"NOT YET")</f>
        <v>NOT YET</v>
      </c>
      <c r="P441" s="27"/>
      <c r="Q441" s="27"/>
      <c r="R441" s="27"/>
      <c r="S441" s="27"/>
      <c r="T441" s="27"/>
      <c r="U441" s="27"/>
      <c r="V441" s="27"/>
      <c r="W441" s="27"/>
      <c r="X441" s="27"/>
      <c r="Y441" s="27"/>
      <c r="Z441" s="27"/>
    </row>
    <row r="442" hidden="1" customHeight="1" spans="1:26">
      <c r="A442" s="26">
        <v>1258</v>
      </c>
      <c r="B442" s="26">
        <v>27</v>
      </c>
      <c r="C442" s="26" t="s">
        <v>1589</v>
      </c>
      <c r="D442" s="26" t="s">
        <v>2717</v>
      </c>
      <c r="E442" s="26" t="s">
        <v>2889</v>
      </c>
      <c r="F442" s="26" t="str">
        <f t="shared" si="0"/>
        <v>Positive Traits Latin Origin</v>
      </c>
      <c r="G442" s="26">
        <f t="shared" si="1"/>
        <v>10</v>
      </c>
      <c r="H442" s="26" t="s">
        <v>3366</v>
      </c>
      <c r="I442" s="26"/>
      <c r="J442" s="26"/>
      <c r="K442" s="26"/>
      <c r="L442" s="26" t="str">
        <f t="shared" si="2"/>
        <v>S</v>
      </c>
      <c r="M442" s="26" t="str">
        <f>IFERROR(__xludf.DUMMYFUNCTION("GOOGLETRANSLATE(C442,""EN"",""KN"")"),"ನಿಷ್ಠುರ")</f>
        <v>ನಿಷ್ಠುರ</v>
      </c>
      <c r="N442" s="26">
        <f t="array" ref="N442">_xlfn.XLOOKUP(B442,'Sets Progress'!I:I,'Sets Progress'!I:I,"NOT YET")</f>
        <v>27</v>
      </c>
      <c r="O442" s="26" t="str">
        <f t="array" ref="O442">_xlfn.XLOOKUP(L:L,'Overall Progress'!L:L,'Overall Progress'!L:L,"NOT YET")</f>
        <v>NOT YET</v>
      </c>
      <c r="P442" s="26"/>
      <c r="Q442" s="26"/>
      <c r="R442" s="26"/>
      <c r="S442" s="26"/>
      <c r="T442" s="26"/>
      <c r="U442" s="26"/>
      <c r="V442" s="26"/>
      <c r="W442" s="26"/>
      <c r="X442" s="26"/>
      <c r="Y442" s="26"/>
      <c r="Z442" s="26"/>
    </row>
    <row r="443" hidden="1" customHeight="1" spans="1:26">
      <c r="A443" s="27">
        <v>1345</v>
      </c>
      <c r="B443" s="27">
        <v>27</v>
      </c>
      <c r="C443" s="27" t="s">
        <v>1676</v>
      </c>
      <c r="D443" s="27" t="s">
        <v>2717</v>
      </c>
      <c r="E443" s="27" t="s">
        <v>2896</v>
      </c>
      <c r="F443" s="27" t="str">
        <f t="shared" si="0"/>
        <v>Positive Traits Old French Origin</v>
      </c>
      <c r="G443" s="27">
        <f t="shared" si="1"/>
        <v>6</v>
      </c>
      <c r="H443" s="27" t="s">
        <v>3367</v>
      </c>
      <c r="I443" s="27"/>
      <c r="J443" s="27"/>
      <c r="K443" s="27"/>
      <c r="L443" s="27" t="str">
        <f t="shared" si="2"/>
        <v>S</v>
      </c>
      <c r="M443" s="27" t="str">
        <f>IFERROR(__xludf.DUMMYFUNCTION("GOOGLETRANSLATE(C443,""EN"",""KN"")"),"ಸೂಕ್ಷ್ಮ")</f>
        <v>ಸೂಕ್ಷ್ಮ</v>
      </c>
      <c r="N443" s="27">
        <f t="array" ref="N443">_xlfn.XLOOKUP(B443,'Sets Progress'!I:I,'Sets Progress'!I:I,"NOT YET")</f>
        <v>27</v>
      </c>
      <c r="O443" s="27" t="str">
        <f t="array" ref="O443">_xlfn.XLOOKUP(L:L,'Overall Progress'!L:L,'Overall Progress'!L:L,"NOT YET")</f>
        <v>NOT YET</v>
      </c>
      <c r="P443" s="27"/>
      <c r="Q443" s="27"/>
      <c r="R443" s="27"/>
      <c r="S443" s="27"/>
      <c r="T443" s="27"/>
      <c r="U443" s="27"/>
      <c r="V443" s="27"/>
      <c r="W443" s="27"/>
      <c r="X443" s="27"/>
      <c r="Y443" s="27"/>
      <c r="Z443" s="27"/>
    </row>
    <row r="444" hidden="1" customHeight="1" spans="1:26">
      <c r="A444" s="26">
        <v>52</v>
      </c>
      <c r="B444" s="26">
        <v>28</v>
      </c>
      <c r="C444" s="26" t="s">
        <v>406</v>
      </c>
      <c r="D444" s="26" t="s">
        <v>2717</v>
      </c>
      <c r="E444" s="26" t="s">
        <v>2889</v>
      </c>
      <c r="F444" s="26" t="str">
        <f t="shared" si="0"/>
        <v>Positive Traits Latin Origin</v>
      </c>
      <c r="G444" s="26">
        <f t="shared" si="1"/>
        <v>9</v>
      </c>
      <c r="H444" s="26" t="s">
        <v>3368</v>
      </c>
      <c r="I444" s="26"/>
      <c r="J444" s="26"/>
      <c r="K444" s="26"/>
      <c r="L444" s="26" t="str">
        <f t="shared" si="2"/>
        <v>A</v>
      </c>
      <c r="M444" s="26" t="str">
        <f>IFERROR(__xludf.DUMMYFUNCTION("GOOGLETRANSLATE(C444,""EN"",""KN"")"),"ಒಪ್ಪಬಹುದು")</f>
        <v>ಒಪ್ಪಬಹುದು</v>
      </c>
      <c r="N444" s="26">
        <f t="array" ref="N444">_xlfn.XLOOKUP(B444,'Sets Progress'!I:I,'Sets Progress'!I:I,"NOT YET")</f>
        <v>28</v>
      </c>
      <c r="O444" s="26" t="str">
        <f t="array" ref="O444">_xlfn.XLOOKUP(L:L,'Overall Progress'!L:L,'Overall Progress'!L:L,"NOT YET")</f>
        <v>NOT YET</v>
      </c>
      <c r="P444" s="26"/>
      <c r="Q444" s="26"/>
      <c r="R444" s="26"/>
      <c r="S444" s="26"/>
      <c r="T444" s="26"/>
      <c r="U444" s="26"/>
      <c r="V444" s="26"/>
      <c r="W444" s="26"/>
      <c r="X444" s="26"/>
      <c r="Y444" s="26"/>
      <c r="Z444" s="26"/>
    </row>
    <row r="445" hidden="1" customHeight="1" spans="1:26">
      <c r="A445" s="27">
        <v>114</v>
      </c>
      <c r="B445" s="27">
        <v>28</v>
      </c>
      <c r="C445" s="27" t="s">
        <v>464</v>
      </c>
      <c r="D445" s="27" t="s">
        <v>2946</v>
      </c>
      <c r="E445" s="27" t="s">
        <v>2889</v>
      </c>
      <c r="F445" s="27" t="str">
        <f t="shared" si="0"/>
        <v>Emotional Latin Origin</v>
      </c>
      <c r="G445" s="27">
        <f t="shared" si="1"/>
        <v>6</v>
      </c>
      <c r="H445" s="27" t="s">
        <v>3369</v>
      </c>
      <c r="I445" s="27"/>
      <c r="J445" s="27"/>
      <c r="K445" s="27"/>
      <c r="L445" s="27" t="str">
        <f t="shared" si="2"/>
        <v>A</v>
      </c>
      <c r="M445" s="27" t="str">
        <f>IFERROR(__xludf.DUMMYFUNCTION("GOOGLETRANSLATE(C445,""EN"",""KN"")"),"ಆಕ್ರಮಣ ಮಾಡಿ")</f>
        <v>ಆಕ್ರಮಣ ಮಾಡಿ</v>
      </c>
      <c r="N445" s="27">
        <f t="array" ref="N445">_xlfn.XLOOKUP(B445,'Sets Progress'!I:I,'Sets Progress'!I:I,"NOT YET")</f>
        <v>28</v>
      </c>
      <c r="O445" s="27" t="str">
        <f t="array" ref="O445">_xlfn.XLOOKUP(L:L,'Overall Progress'!L:L,'Overall Progress'!L:L,"NOT YET")</f>
        <v>NOT YET</v>
      </c>
      <c r="P445" s="27"/>
      <c r="Q445" s="27"/>
      <c r="R445" s="27"/>
      <c r="S445" s="27"/>
      <c r="T445" s="27"/>
      <c r="U445" s="27"/>
      <c r="V445" s="27"/>
      <c r="W445" s="27"/>
      <c r="X445" s="27"/>
      <c r="Y445" s="27"/>
      <c r="Z445" s="27"/>
    </row>
    <row r="446" hidden="1" customHeight="1" spans="1:26">
      <c r="A446" s="26">
        <v>202</v>
      </c>
      <c r="B446" s="26">
        <v>28</v>
      </c>
      <c r="C446" s="26" t="s">
        <v>552</v>
      </c>
      <c r="D446" s="26" t="s">
        <v>2717</v>
      </c>
      <c r="E446" s="26" t="s">
        <v>2889</v>
      </c>
      <c r="F446" s="26" t="str">
        <f t="shared" si="0"/>
        <v>Positive Traits Latin Origin</v>
      </c>
      <c r="G446" s="26">
        <f t="shared" si="1"/>
        <v>6</v>
      </c>
      <c r="H446" s="26" t="s">
        <v>3370</v>
      </c>
      <c r="I446" s="26"/>
      <c r="J446" s="26"/>
      <c r="K446" s="26"/>
      <c r="L446" s="26" t="str">
        <f t="shared" si="2"/>
        <v>C</v>
      </c>
      <c r="M446" s="26" t="str">
        <f>IFERROR(__xludf.DUMMYFUNCTION("GOOGLETRANSLATE(C446,""EN"",""KN"")"),"ಸೀದಾ")</f>
        <v>ಸೀದಾ</v>
      </c>
      <c r="N446" s="26">
        <f t="array" ref="N446">_xlfn.XLOOKUP(B446,'Sets Progress'!I:I,'Sets Progress'!I:I,"NOT YET")</f>
        <v>28</v>
      </c>
      <c r="O446" s="26" t="str">
        <f t="array" ref="O446">_xlfn.XLOOKUP(L:L,'Overall Progress'!L:L,'Overall Progress'!L:L,"NOT YET")</f>
        <v>NOT YET</v>
      </c>
      <c r="P446" s="26"/>
      <c r="Q446" s="26"/>
      <c r="R446" s="26"/>
      <c r="S446" s="26"/>
      <c r="T446" s="26"/>
      <c r="U446" s="26"/>
      <c r="V446" s="26"/>
      <c r="W446" s="26"/>
      <c r="X446" s="26"/>
      <c r="Y446" s="26"/>
      <c r="Z446" s="26"/>
    </row>
    <row r="447" hidden="1" customHeight="1" spans="1:26">
      <c r="A447" s="27">
        <v>217</v>
      </c>
      <c r="B447" s="27">
        <v>28</v>
      </c>
      <c r="C447" s="27" t="s">
        <v>566</v>
      </c>
      <c r="D447" s="27" t="s">
        <v>2717</v>
      </c>
      <c r="E447" s="27" t="s">
        <v>3019</v>
      </c>
      <c r="F447" s="27" t="str">
        <f t="shared" si="0"/>
        <v>Positive Traits Italian Origin</v>
      </c>
      <c r="G447" s="27">
        <f t="shared" si="1"/>
        <v>8</v>
      </c>
      <c r="H447" s="27" t="s">
        <v>3371</v>
      </c>
      <c r="I447" s="27"/>
      <c r="J447" s="27"/>
      <c r="K447" s="27"/>
      <c r="L447" s="27" t="str">
        <f t="shared" si="2"/>
        <v>C</v>
      </c>
      <c r="M447" s="27" t="str">
        <f>IFERROR(__xludf.DUMMYFUNCTION("GOOGLETRANSLATE(C447,""EN"",""KN"")"),"ಕ್ಯಾವಲಿಯರ್")</f>
        <v>ಕ್ಯಾವಲಿಯರ್</v>
      </c>
      <c r="N447" s="27">
        <f t="array" ref="N447">_xlfn.XLOOKUP(B447,'Sets Progress'!I:I,'Sets Progress'!I:I,"NOT YET")</f>
        <v>28</v>
      </c>
      <c r="O447" s="27" t="str">
        <f t="array" ref="O447">_xlfn.XLOOKUP(L:L,'Overall Progress'!L:L,'Overall Progress'!L:L,"NOT YET")</f>
        <v>NOT YET</v>
      </c>
      <c r="P447" s="27"/>
      <c r="Q447" s="27"/>
      <c r="R447" s="27"/>
      <c r="S447" s="27"/>
      <c r="T447" s="27"/>
      <c r="U447" s="27"/>
      <c r="V447" s="27"/>
      <c r="W447" s="27"/>
      <c r="X447" s="27"/>
      <c r="Y447" s="27"/>
      <c r="Z447" s="27"/>
    </row>
    <row r="448" hidden="1" customHeight="1" spans="1:26">
      <c r="A448" s="26">
        <v>378</v>
      </c>
      <c r="B448" s="26">
        <v>28</v>
      </c>
      <c r="C448" s="26" t="s">
        <v>728</v>
      </c>
      <c r="D448" s="26" t="s">
        <v>3022</v>
      </c>
      <c r="E448" s="26" t="s">
        <v>2889</v>
      </c>
      <c r="F448" s="26" t="str">
        <f t="shared" si="0"/>
        <v>Intellectual Latin Origin</v>
      </c>
      <c r="G448" s="26">
        <f t="shared" si="1"/>
        <v>10</v>
      </c>
      <c r="H448" s="26" t="s">
        <v>3372</v>
      </c>
      <c r="I448" s="26"/>
      <c r="J448" s="26"/>
      <c r="K448" s="26"/>
      <c r="L448" s="26" t="str">
        <f t="shared" si="2"/>
        <v>D</v>
      </c>
      <c r="M448" s="26" t="str">
        <f>IFERROR(__xludf.DUMMYFUNCTION("GOOGLETRANSLATE(C448,""EN"",""KN"")"),"ವ್ಯುತ್ಪನ್ನ")</f>
        <v>ವ್ಯುತ್ಪನ್ನ</v>
      </c>
      <c r="N448" s="26">
        <f t="array" ref="N448">_xlfn.XLOOKUP(B448,'Sets Progress'!I:I,'Sets Progress'!I:I,"NOT YET")</f>
        <v>28</v>
      </c>
      <c r="O448" s="26" t="str">
        <f t="array" ref="O448">_xlfn.XLOOKUP(L:L,'Overall Progress'!L:L,'Overall Progress'!L:L,"NOT YET")</f>
        <v>NOT YET</v>
      </c>
      <c r="P448" s="26"/>
      <c r="Q448" s="26"/>
      <c r="R448" s="26"/>
      <c r="S448" s="26"/>
      <c r="T448" s="26"/>
      <c r="U448" s="26"/>
      <c r="V448" s="26"/>
      <c r="W448" s="26"/>
      <c r="X448" s="26"/>
      <c r="Y448" s="26"/>
      <c r="Z448" s="26"/>
    </row>
    <row r="449" hidden="1" customHeight="1" spans="1:26">
      <c r="A449" s="27">
        <v>388</v>
      </c>
      <c r="B449" s="27">
        <v>28</v>
      </c>
      <c r="C449" s="27" t="s">
        <v>738</v>
      </c>
      <c r="D449" s="27" t="s">
        <v>1721</v>
      </c>
      <c r="E449" s="27" t="s">
        <v>2889</v>
      </c>
      <c r="F449" s="27" t="str">
        <f t="shared" si="0"/>
        <v>Temporal Latin Origin</v>
      </c>
      <c r="G449" s="27">
        <f t="shared" si="1"/>
        <v>7</v>
      </c>
      <c r="H449" s="27" t="s">
        <v>3373</v>
      </c>
      <c r="I449" s="27"/>
      <c r="J449" s="27"/>
      <c r="K449" s="27"/>
      <c r="L449" s="27" t="str">
        <f t="shared" si="2"/>
        <v>D</v>
      </c>
      <c r="M449" s="27" t="str">
        <f>IFERROR(__xludf.DUMMYFUNCTION("GOOGLETRANSLATE(C449,""EN"",""KN"")"),"ವಿಚಲನ")</f>
        <v>ವಿಚಲನ</v>
      </c>
      <c r="N449" s="27">
        <f t="array" ref="N449">_xlfn.XLOOKUP(B449,'Sets Progress'!I:I,'Sets Progress'!I:I,"NOT YET")</f>
        <v>28</v>
      </c>
      <c r="O449" s="27" t="str">
        <f t="array" ref="O449">_xlfn.XLOOKUP(L:L,'Overall Progress'!L:L,'Overall Progress'!L:L,"NOT YET")</f>
        <v>NOT YET</v>
      </c>
      <c r="P449" s="27"/>
      <c r="Q449" s="27"/>
      <c r="R449" s="27"/>
      <c r="S449" s="27"/>
      <c r="T449" s="27"/>
      <c r="U449" s="27"/>
      <c r="V449" s="27"/>
      <c r="W449" s="27"/>
      <c r="X449" s="27"/>
      <c r="Y449" s="27"/>
      <c r="Z449" s="27"/>
    </row>
    <row r="450" hidden="1" customHeight="1" spans="1:26">
      <c r="A450" s="26">
        <v>565</v>
      </c>
      <c r="B450" s="26">
        <v>28</v>
      </c>
      <c r="C450" s="26" t="s">
        <v>911</v>
      </c>
      <c r="D450" s="26" t="s">
        <v>3003</v>
      </c>
      <c r="E450" s="26" t="s">
        <v>2889</v>
      </c>
      <c r="F450" s="26" t="str">
        <f t="shared" si="0"/>
        <v>Linguistic Latin Origin</v>
      </c>
      <c r="G450" s="26">
        <f t="shared" si="1"/>
        <v>8</v>
      </c>
      <c r="H450" s="26" t="s">
        <v>3374</v>
      </c>
      <c r="I450" s="26"/>
      <c r="J450" s="26"/>
      <c r="K450" s="26"/>
      <c r="L450" s="26" t="str">
        <f t="shared" si="2"/>
        <v>E</v>
      </c>
      <c r="M450" s="26" t="str">
        <f>IFERROR(__xludf.DUMMYFUNCTION("GOOGLETRANSLATE(C450,""EN"",""KN"")"),"ಸ್ಪಷ್ಟ")</f>
        <v>ಸ್ಪಷ್ಟ</v>
      </c>
      <c r="N450" s="26">
        <f t="array" ref="N450">_xlfn.XLOOKUP(B450,'Sets Progress'!I:I,'Sets Progress'!I:I,"NOT YET")</f>
        <v>28</v>
      </c>
      <c r="O450" s="26" t="str">
        <f t="array" ref="O450">_xlfn.XLOOKUP(L:L,'Overall Progress'!L:L,'Overall Progress'!L:L,"NOT YET")</f>
        <v>NOT YET</v>
      </c>
      <c r="P450" s="26"/>
      <c r="Q450" s="26"/>
      <c r="R450" s="26"/>
      <c r="S450" s="26"/>
      <c r="T450" s="26"/>
      <c r="U450" s="26"/>
      <c r="V450" s="26"/>
      <c r="W450" s="26"/>
      <c r="X450" s="26"/>
      <c r="Y450" s="26"/>
      <c r="Z450" s="26"/>
    </row>
    <row r="451" hidden="1" customHeight="1" spans="1:26">
      <c r="A451" s="27">
        <v>567</v>
      </c>
      <c r="B451" s="27">
        <v>28</v>
      </c>
      <c r="C451" s="27" t="s">
        <v>913</v>
      </c>
      <c r="D451" s="27" t="s">
        <v>1721</v>
      </c>
      <c r="E451" s="27" t="s">
        <v>2889</v>
      </c>
      <c r="F451" s="27" t="str">
        <f t="shared" si="0"/>
        <v>Temporal Latin Origin</v>
      </c>
      <c r="G451" s="27">
        <f t="shared" si="1"/>
        <v>10</v>
      </c>
      <c r="H451" s="27" t="s">
        <v>3375</v>
      </c>
      <c r="I451" s="27"/>
      <c r="J451" s="27"/>
      <c r="K451" s="27"/>
      <c r="L451" s="27" t="str">
        <f t="shared" si="2"/>
        <v>E</v>
      </c>
      <c r="M451" s="27" t="str">
        <f>IFERROR(__xludf.DUMMYFUNCTION("GOOGLETRANSLATE(C451,""EN"",""KN"")"),"ನಿರೂಪಣೆ")</f>
        <v>ನಿರೂಪಣೆ</v>
      </c>
      <c r="N451" s="27">
        <f t="array" ref="N451">_xlfn.XLOOKUP(B451,'Sets Progress'!I:I,'Sets Progress'!I:I,"NOT YET")</f>
        <v>28</v>
      </c>
      <c r="O451" s="27" t="str">
        <f t="array" ref="O451">_xlfn.XLOOKUP(L:L,'Overall Progress'!L:L,'Overall Progress'!L:L,"NOT YET")</f>
        <v>NOT YET</v>
      </c>
      <c r="P451" s="27"/>
      <c r="Q451" s="27"/>
      <c r="R451" s="27"/>
      <c r="S451" s="27"/>
      <c r="T451" s="27"/>
      <c r="U451" s="27"/>
      <c r="V451" s="27"/>
      <c r="W451" s="27"/>
      <c r="X451" s="27"/>
      <c r="Y451" s="27"/>
      <c r="Z451" s="27"/>
    </row>
    <row r="452" hidden="1" customHeight="1" spans="1:26">
      <c r="A452" s="26">
        <v>669</v>
      </c>
      <c r="B452" s="26">
        <v>28</v>
      </c>
      <c r="C452" s="26" t="s">
        <v>1012</v>
      </c>
      <c r="D452" s="26" t="s">
        <v>1721</v>
      </c>
      <c r="E452" s="26" t="s">
        <v>2899</v>
      </c>
      <c r="F452" s="26" t="str">
        <f t="shared" si="0"/>
        <v>Temporal Middle English Origin</v>
      </c>
      <c r="G452" s="26">
        <f t="shared" si="1"/>
        <v>6</v>
      </c>
      <c r="H452" s="26" t="s">
        <v>3376</v>
      </c>
      <c r="I452" s="26"/>
      <c r="J452" s="26"/>
      <c r="K452" s="26"/>
      <c r="L452" s="26" t="str">
        <f t="shared" si="2"/>
        <v>G</v>
      </c>
      <c r="M452" s="26" t="str">
        <f>IFERROR(__xludf.DUMMYFUNCTION("GOOGLETRANSLATE(C452,""EN"",""KN"")"),"ಗ್ರೋವೆಲ್")</f>
        <v>ಗ್ರೋವೆಲ್</v>
      </c>
      <c r="N452" s="26">
        <f t="array" ref="N452">_xlfn.XLOOKUP(B452,'Sets Progress'!I:I,'Sets Progress'!I:I,"NOT YET")</f>
        <v>28</v>
      </c>
      <c r="O452" s="26" t="str">
        <f t="array" ref="O452">_xlfn.XLOOKUP(L:L,'Overall Progress'!L:L,'Overall Progress'!L:L,"NOT YET")</f>
        <v>NOT YET</v>
      </c>
      <c r="P452" s="26"/>
      <c r="Q452" s="26"/>
      <c r="R452" s="26"/>
      <c r="S452" s="26"/>
      <c r="T452" s="26"/>
      <c r="U452" s="26"/>
      <c r="V452" s="26"/>
      <c r="W452" s="26"/>
      <c r="X452" s="26"/>
      <c r="Y452" s="26"/>
      <c r="Z452" s="26"/>
    </row>
    <row r="453" hidden="1" customHeight="1" spans="1:26">
      <c r="A453" s="27">
        <v>684</v>
      </c>
      <c r="B453" s="27">
        <v>28</v>
      </c>
      <c r="C453" s="27" t="s">
        <v>1026</v>
      </c>
      <c r="D453" s="27" t="s">
        <v>1721</v>
      </c>
      <c r="E453" s="27" t="s">
        <v>2908</v>
      </c>
      <c r="F453" s="27" t="str">
        <f t="shared" si="0"/>
        <v>Temporal Old English Origin</v>
      </c>
      <c r="G453" s="27">
        <f t="shared" si="1"/>
        <v>6</v>
      </c>
      <c r="H453" s="27" t="s">
        <v>3377</v>
      </c>
      <c r="I453" s="27"/>
      <c r="J453" s="27"/>
      <c r="K453" s="27"/>
      <c r="L453" s="27" t="str">
        <f t="shared" si="2"/>
        <v>H</v>
      </c>
      <c r="M453" s="27" t="str">
        <f>IFERROR(__xludf.DUMMYFUNCTION("GOOGLETRANSLATE(C453,""EN"",""KN"")"),"ಹೆರಾಲ್ಡ್")</f>
        <v>ಹೆರಾಲ್ಡ್</v>
      </c>
      <c r="N453" s="27">
        <f t="array" ref="N453">_xlfn.XLOOKUP(B453,'Sets Progress'!I:I,'Sets Progress'!I:I,"NOT YET")</f>
        <v>28</v>
      </c>
      <c r="O453" s="27" t="str">
        <f t="array" ref="O453">_xlfn.XLOOKUP(L:L,'Overall Progress'!L:L,'Overall Progress'!L:L,"NOT YET")</f>
        <v>NOT YET</v>
      </c>
      <c r="P453" s="27"/>
      <c r="Q453" s="27"/>
      <c r="R453" s="27"/>
      <c r="S453" s="27"/>
      <c r="T453" s="27"/>
      <c r="U453" s="27"/>
      <c r="V453" s="27"/>
      <c r="W453" s="27"/>
      <c r="X453" s="27"/>
      <c r="Y453" s="27"/>
      <c r="Z453" s="27"/>
    </row>
    <row r="454" hidden="1" customHeight="1" spans="1:26">
      <c r="A454" s="26">
        <v>715</v>
      </c>
      <c r="B454" s="26">
        <v>28</v>
      </c>
      <c r="C454" s="26" t="s">
        <v>1057</v>
      </c>
      <c r="D454" s="26" t="s">
        <v>1721</v>
      </c>
      <c r="E454" s="26" t="s">
        <v>2889</v>
      </c>
      <c r="F454" s="26" t="str">
        <f t="shared" si="0"/>
        <v>Temporal Latin Origin</v>
      </c>
      <c r="G454" s="26">
        <f t="shared" si="1"/>
        <v>6</v>
      </c>
      <c r="H454" s="26" t="s">
        <v>3378</v>
      </c>
      <c r="I454" s="26"/>
      <c r="J454" s="26"/>
      <c r="K454" s="26"/>
      <c r="L454" s="26" t="str">
        <f t="shared" si="2"/>
        <v>I</v>
      </c>
      <c r="M454" s="26" t="str">
        <f>IFERROR(__xludf.DUMMYFUNCTION("GOOGLETRANSLATE(C454,""EN"",""KN"")"),"ಅಶುದ್ಧ")</f>
        <v>ಅಶುದ್ಧ</v>
      </c>
      <c r="N454" s="26">
        <f t="array" ref="N454">_xlfn.XLOOKUP(B454,'Sets Progress'!I:I,'Sets Progress'!I:I,"NOT YET")</f>
        <v>28</v>
      </c>
      <c r="O454" s="26" t="str">
        <f t="array" ref="O454">_xlfn.XLOOKUP(L:L,'Overall Progress'!L:L,'Overall Progress'!L:L,"NOT YET")</f>
        <v>NOT YET</v>
      </c>
      <c r="P454" s="26"/>
      <c r="Q454" s="26"/>
      <c r="R454" s="26"/>
      <c r="S454" s="26"/>
      <c r="T454" s="26"/>
      <c r="U454" s="26"/>
      <c r="V454" s="26"/>
      <c r="W454" s="26"/>
      <c r="X454" s="26"/>
      <c r="Y454" s="26"/>
      <c r="Z454" s="26"/>
    </row>
    <row r="455" hidden="1" customHeight="1" spans="1:26">
      <c r="A455" s="27">
        <v>802</v>
      </c>
      <c r="B455" s="27">
        <v>28</v>
      </c>
      <c r="C455" s="27" t="s">
        <v>1142</v>
      </c>
      <c r="D455" s="27" t="s">
        <v>1721</v>
      </c>
      <c r="E455" s="27" t="s">
        <v>2889</v>
      </c>
      <c r="F455" s="27" t="str">
        <f t="shared" si="0"/>
        <v>Temporal Latin Origin</v>
      </c>
      <c r="G455" s="27">
        <f t="shared" si="1"/>
        <v>15</v>
      </c>
      <c r="H455" s="27" t="s">
        <v>3379</v>
      </c>
      <c r="I455" s="27"/>
      <c r="J455" s="27"/>
      <c r="K455" s="27"/>
      <c r="L455" s="27" t="str">
        <f t="shared" si="2"/>
        <v>I</v>
      </c>
      <c r="M455" s="27" t="str">
        <f>IFERROR(__xludf.DUMMYFUNCTION("GOOGLETRANSLATE(C455,""EN"",""KN"")"),"ಪರಸ್ಪರ ಬದಲಾಯಿಸಬಹುದಾದ")</f>
        <v>ಪರಸ್ಪರ ಬದಲಾಯಿಸಬಹುದಾದ</v>
      </c>
      <c r="N455" s="27">
        <f t="array" ref="N455">_xlfn.XLOOKUP(B455,'Sets Progress'!I:I,'Sets Progress'!I:I,"NOT YET")</f>
        <v>28</v>
      </c>
      <c r="O455" s="27" t="str">
        <f t="array" ref="O455">_xlfn.XLOOKUP(L:L,'Overall Progress'!L:L,'Overall Progress'!L:L,"NOT YET")</f>
        <v>NOT YET</v>
      </c>
      <c r="P455" s="27"/>
      <c r="Q455" s="27"/>
      <c r="R455" s="27"/>
      <c r="S455" s="27"/>
      <c r="T455" s="27"/>
      <c r="U455" s="27"/>
      <c r="V455" s="27"/>
      <c r="W455" s="27"/>
      <c r="X455" s="27"/>
      <c r="Y455" s="27"/>
      <c r="Z455" s="27"/>
    </row>
    <row r="456" hidden="1" customHeight="1" spans="1:26">
      <c r="A456" s="26">
        <v>804</v>
      </c>
      <c r="B456" s="26">
        <v>28</v>
      </c>
      <c r="C456" s="26" t="s">
        <v>1144</v>
      </c>
      <c r="D456" s="26" t="s">
        <v>1721</v>
      </c>
      <c r="E456" s="26" t="s">
        <v>2889</v>
      </c>
      <c r="F456" s="26" t="str">
        <f t="shared" si="0"/>
        <v>Temporal Latin Origin</v>
      </c>
      <c r="G456" s="26">
        <f t="shared" si="1"/>
        <v>12</v>
      </c>
      <c r="H456" s="26" t="s">
        <v>3380</v>
      </c>
      <c r="I456" s="26"/>
      <c r="J456" s="26"/>
      <c r="K456" s="26"/>
      <c r="L456" s="26" t="str">
        <f t="shared" si="2"/>
        <v>I</v>
      </c>
      <c r="M456" s="26" t="str">
        <f>IFERROR(__xludf.DUMMYFUNCTION("GOOGLETRANSLATE(C456,""EN"",""KN"")"),"ಮಧ್ಯಂತರ")</f>
        <v>ಮಧ್ಯಂತರ</v>
      </c>
      <c r="N456" s="26">
        <f t="array" ref="N456">_xlfn.XLOOKUP(B456,'Sets Progress'!I:I,'Sets Progress'!I:I,"NOT YET")</f>
        <v>28</v>
      </c>
      <c r="O456" s="26" t="str">
        <f t="array" ref="O456">_xlfn.XLOOKUP(L:L,'Overall Progress'!L:L,'Overall Progress'!L:L,"NOT YET")</f>
        <v>NOT YET</v>
      </c>
      <c r="P456" s="26"/>
      <c r="Q456" s="26"/>
      <c r="R456" s="26"/>
      <c r="S456" s="26"/>
      <c r="T456" s="26"/>
      <c r="U456" s="26"/>
      <c r="V456" s="26"/>
      <c r="W456" s="26"/>
      <c r="X456" s="26"/>
      <c r="Y456" s="26"/>
      <c r="Z456" s="26"/>
    </row>
    <row r="457" hidden="1" customHeight="1" spans="1:26">
      <c r="A457" s="27">
        <v>1094</v>
      </c>
      <c r="B457" s="27">
        <v>28</v>
      </c>
      <c r="C457" s="27" t="s">
        <v>1429</v>
      </c>
      <c r="D457" s="27" t="s">
        <v>1721</v>
      </c>
      <c r="E457" s="27" t="s">
        <v>2889</v>
      </c>
      <c r="F457" s="27" t="str">
        <f t="shared" si="0"/>
        <v>Temporal Latin Origin</v>
      </c>
      <c r="G457" s="27">
        <f t="shared" si="1"/>
        <v>10</v>
      </c>
      <c r="H457" s="27" t="s">
        <v>3381</v>
      </c>
      <c r="I457" s="27"/>
      <c r="J457" s="27"/>
      <c r="K457" s="27"/>
      <c r="L457" s="27" t="str">
        <f t="shared" si="2"/>
        <v>P</v>
      </c>
      <c r="M457" s="27" t="str">
        <f>IFERROR(__xludf.DUMMYFUNCTION("GOOGLETRANSLATE(C457,""EN"",""KN"")"),"ಪ್ರಾಶಸ್ತ್ಯ")</f>
        <v>ಪ್ರಾಶಸ್ತ್ಯ</v>
      </c>
      <c r="N457" s="27">
        <f t="array" ref="N457">_xlfn.XLOOKUP(B457,'Sets Progress'!I:I,'Sets Progress'!I:I,"NOT YET")</f>
        <v>28</v>
      </c>
      <c r="O457" s="27" t="str">
        <f t="array" ref="O457">_xlfn.XLOOKUP(L:L,'Overall Progress'!L:L,'Overall Progress'!L:L,"NOT YET")</f>
        <v>NOT YET</v>
      </c>
      <c r="P457" s="27"/>
      <c r="Q457" s="27"/>
      <c r="R457" s="27"/>
      <c r="S457" s="27"/>
      <c r="T457" s="27"/>
      <c r="U457" s="27"/>
      <c r="V457" s="27"/>
      <c r="W457" s="27"/>
      <c r="X457" s="27"/>
      <c r="Y457" s="27"/>
      <c r="Z457" s="27"/>
    </row>
    <row r="458" hidden="1" customHeight="1" spans="1:26">
      <c r="A458" s="26">
        <v>1114</v>
      </c>
      <c r="B458" s="26">
        <v>28</v>
      </c>
      <c r="C458" s="26" t="s">
        <v>1448</v>
      </c>
      <c r="D458" s="26" t="s">
        <v>1721</v>
      </c>
      <c r="E458" s="26" t="s">
        <v>2889</v>
      </c>
      <c r="F458" s="26" t="str">
        <f t="shared" si="0"/>
        <v>Temporal Latin Origin</v>
      </c>
      <c r="G458" s="26">
        <f t="shared" si="1"/>
        <v>9</v>
      </c>
      <c r="H458" s="26" t="s">
        <v>3382</v>
      </c>
      <c r="I458" s="26"/>
      <c r="J458" s="26"/>
      <c r="K458" s="26"/>
      <c r="L458" s="26" t="str">
        <f t="shared" si="2"/>
        <v>P</v>
      </c>
      <c r="M458" s="26" t="str">
        <f>IFERROR(__xludf.DUMMYFUNCTION("GOOGLETRANSLATE(C458,""EN"",""KN"")"),"ಪ್ರಚಲಿತವಾಗಿದೆ")</f>
        <v>ಪ್ರಚಲಿತವಾಗಿದೆ</v>
      </c>
      <c r="N458" s="26">
        <f t="array" ref="N458">_xlfn.XLOOKUP(B458,'Sets Progress'!I:I,'Sets Progress'!I:I,"NOT YET")</f>
        <v>28</v>
      </c>
      <c r="O458" s="26" t="str">
        <f t="array" ref="O458">_xlfn.XLOOKUP(L:L,'Overall Progress'!L:L,'Overall Progress'!L:L,"NOT YET")</f>
        <v>NOT YET</v>
      </c>
      <c r="P458" s="26"/>
      <c r="Q458" s="26"/>
      <c r="R458" s="26"/>
      <c r="S458" s="26"/>
      <c r="T458" s="26"/>
      <c r="U458" s="26"/>
      <c r="V458" s="26"/>
      <c r="W458" s="26"/>
      <c r="X458" s="26"/>
      <c r="Y458" s="26"/>
      <c r="Z458" s="26"/>
    </row>
    <row r="459" hidden="1" customHeight="1" spans="1:26">
      <c r="A459" s="27">
        <v>1151</v>
      </c>
      <c r="B459" s="27">
        <v>28</v>
      </c>
      <c r="C459" s="27" t="s">
        <v>1482</v>
      </c>
      <c r="D459" s="27" t="s">
        <v>2717</v>
      </c>
      <c r="E459" s="27" t="s">
        <v>2889</v>
      </c>
      <c r="F459" s="27" t="str">
        <f t="shared" si="0"/>
        <v>Positive Traits Latin Origin</v>
      </c>
      <c r="G459" s="27">
        <f t="shared" si="1"/>
        <v>11</v>
      </c>
      <c r="H459" s="27" t="s">
        <v>3383</v>
      </c>
      <c r="I459" s="27"/>
      <c r="J459" s="27"/>
      <c r="K459" s="27"/>
      <c r="L459" s="27" t="str">
        <f t="shared" si="2"/>
        <v>P</v>
      </c>
      <c r="M459" s="27" t="str">
        <f>IFERROR(__xludf.DUMMYFUNCTION("GOOGLETRANSLATE(C459,""EN"",""KN"")"),"ಪಂಕ್ಟಿಯಸ್")</f>
        <v>ಪಂಕ್ಟಿಯಸ್</v>
      </c>
      <c r="N459" s="27">
        <f t="array" ref="N459">_xlfn.XLOOKUP(B459,'Sets Progress'!I:I,'Sets Progress'!I:I,"NOT YET")</f>
        <v>28</v>
      </c>
      <c r="O459" s="27" t="str">
        <f t="array" ref="O459">_xlfn.XLOOKUP(L:L,'Overall Progress'!L:L,'Overall Progress'!L:L,"NOT YET")</f>
        <v>NOT YET</v>
      </c>
      <c r="P459" s="27"/>
      <c r="Q459" s="27"/>
      <c r="R459" s="27"/>
      <c r="S459" s="27"/>
      <c r="T459" s="27"/>
      <c r="U459" s="27"/>
      <c r="V459" s="27"/>
      <c r="W459" s="27"/>
      <c r="X459" s="27"/>
      <c r="Y459" s="27"/>
      <c r="Z459" s="27"/>
    </row>
    <row r="460" hidden="1" customHeight="1" spans="1:26">
      <c r="A460" s="26">
        <v>1288</v>
      </c>
      <c r="B460" s="26">
        <v>28</v>
      </c>
      <c r="C460" s="26" t="s">
        <v>1619</v>
      </c>
      <c r="D460" s="26" t="s">
        <v>2716</v>
      </c>
      <c r="E460" s="26" t="s">
        <v>2893</v>
      </c>
      <c r="F460" s="26" t="str">
        <f t="shared" si="0"/>
        <v>Negative Traits Greek Origin</v>
      </c>
      <c r="G460" s="26">
        <f t="shared" si="1"/>
        <v>7</v>
      </c>
      <c r="H460" s="26" t="s">
        <v>3384</v>
      </c>
      <c r="I460" s="26"/>
      <c r="J460" s="26"/>
      <c r="K460" s="26"/>
      <c r="L460" s="26" t="str">
        <f t="shared" si="2"/>
        <v>S</v>
      </c>
      <c r="M460" s="26" t="str">
        <f>IFERROR(__xludf.DUMMYFUNCTION("GOOGLETRANSLATE(C460,""EN"",""KN"")"),"ಸಂದೇಹವಾದಿ")</f>
        <v>ಸಂದೇಹವಾದಿ</v>
      </c>
      <c r="N460" s="26">
        <f t="array" ref="N460">_xlfn.XLOOKUP(B460,'Sets Progress'!I:I,'Sets Progress'!I:I,"NOT YET")</f>
        <v>28</v>
      </c>
      <c r="O460" s="26" t="str">
        <f t="array" ref="O460">_xlfn.XLOOKUP(L:L,'Overall Progress'!L:L,'Overall Progress'!L:L,"NOT YET")</f>
        <v>NOT YET</v>
      </c>
      <c r="P460" s="26"/>
      <c r="Q460" s="26"/>
      <c r="R460" s="26"/>
      <c r="S460" s="26"/>
      <c r="T460" s="26"/>
      <c r="U460" s="26"/>
      <c r="V460" s="26"/>
      <c r="W460" s="26"/>
      <c r="X460" s="26"/>
      <c r="Y460" s="26"/>
      <c r="Z460" s="26"/>
    </row>
    <row r="461" hidden="1" customHeight="1" spans="1:26">
      <c r="A461" s="27">
        <v>1301</v>
      </c>
      <c r="B461" s="27">
        <v>28</v>
      </c>
      <c r="C461" s="27" t="s">
        <v>1632</v>
      </c>
      <c r="D461" s="27" t="s">
        <v>2717</v>
      </c>
      <c r="E461" s="27" t="s">
        <v>2889</v>
      </c>
      <c r="F461" s="27" t="str">
        <f t="shared" si="0"/>
        <v>Positive Traits Latin Origin</v>
      </c>
      <c r="G461" s="27">
        <f t="shared" si="1"/>
        <v>10</v>
      </c>
      <c r="H461" s="27" t="s">
        <v>3385</v>
      </c>
      <c r="I461" s="27"/>
      <c r="J461" s="27"/>
      <c r="K461" s="27"/>
      <c r="L461" s="27" t="str">
        <f t="shared" si="2"/>
        <v>S</v>
      </c>
      <c r="M461" s="27" t="str">
        <f>IFERROR(__xludf.DUMMYFUNCTION("GOOGLETRANSLATE(C461,""EN"",""KN"")"),"ಬೇಡುವ")</f>
        <v>ಬೇಡುವ</v>
      </c>
      <c r="N461" s="27">
        <f t="array" ref="N461">_xlfn.XLOOKUP(B461,'Sets Progress'!I:I,'Sets Progress'!I:I,"NOT YET")</f>
        <v>28</v>
      </c>
      <c r="O461" s="27" t="str">
        <f t="array" ref="O461">_xlfn.XLOOKUP(L:L,'Overall Progress'!L:L,'Overall Progress'!L:L,"NOT YET")</f>
        <v>NOT YET</v>
      </c>
      <c r="P461" s="27"/>
      <c r="Q461" s="27"/>
      <c r="R461" s="27"/>
      <c r="S461" s="27"/>
      <c r="T461" s="27"/>
      <c r="U461" s="27"/>
      <c r="V461" s="27"/>
      <c r="W461" s="27"/>
      <c r="X461" s="27"/>
      <c r="Y461" s="27"/>
      <c r="Z461" s="27"/>
    </row>
    <row r="462" hidden="1" customHeight="1" spans="1:26">
      <c r="A462" s="26">
        <v>1461</v>
      </c>
      <c r="B462" s="26">
        <v>28</v>
      </c>
      <c r="C462" s="26" t="s">
        <v>1789</v>
      </c>
      <c r="D462" s="26" t="s">
        <v>1721</v>
      </c>
      <c r="E462" s="26" t="s">
        <v>2896</v>
      </c>
      <c r="F462" s="26" t="str">
        <f t="shared" si="0"/>
        <v>Temporal Old French Origin</v>
      </c>
      <c r="G462" s="26">
        <f t="shared" si="1"/>
        <v>13</v>
      </c>
      <c r="H462" s="26" t="s">
        <v>3386</v>
      </c>
      <c r="I462" s="26"/>
      <c r="J462" s="26"/>
      <c r="K462" s="26"/>
      <c r="L462" s="26" t="str">
        <f t="shared" si="2"/>
        <v>U</v>
      </c>
      <c r="M462" s="26" t="str">
        <f>IFERROR(__xludf.DUMMYFUNCTION("GOOGLETRANSLATE(C462,""EN"",""KN"")"),"ಅಸಾಧಾರಣ")</f>
        <v>ಅಸಾಧಾರಣ</v>
      </c>
      <c r="N462" s="26">
        <f t="array" ref="N462">_xlfn.XLOOKUP(B462,'Sets Progress'!I:I,'Sets Progress'!I:I,"NOT YET")</f>
        <v>28</v>
      </c>
      <c r="O462" s="26" t="str">
        <f t="array" ref="O462">_xlfn.XLOOKUP(L:L,'Overall Progress'!L:L,'Overall Progress'!L:L,"NOT YET")</f>
        <v>NOT YET</v>
      </c>
      <c r="P462" s="26"/>
      <c r="Q462" s="26"/>
      <c r="R462" s="26"/>
      <c r="S462" s="26"/>
      <c r="T462" s="26"/>
      <c r="U462" s="26"/>
      <c r="V462" s="26"/>
      <c r="W462" s="26"/>
      <c r="X462" s="26"/>
      <c r="Y462" s="26"/>
      <c r="Z462" s="26"/>
    </row>
    <row r="463" hidden="1" customHeight="1" spans="1:26">
      <c r="A463" s="27">
        <v>1469</v>
      </c>
      <c r="B463" s="27">
        <v>28</v>
      </c>
      <c r="C463" s="27" t="s">
        <v>1797</v>
      </c>
      <c r="D463" s="27" t="s">
        <v>1721</v>
      </c>
      <c r="E463" s="27" t="s">
        <v>2896</v>
      </c>
      <c r="F463" s="27" t="str">
        <f t="shared" si="0"/>
        <v>Temporal Old French Origin</v>
      </c>
      <c r="G463" s="27">
        <f t="shared" si="1"/>
        <v>15</v>
      </c>
      <c r="H463" s="27" t="s">
        <v>3387</v>
      </c>
      <c r="I463" s="27"/>
      <c r="J463" s="27"/>
      <c r="K463" s="27"/>
      <c r="L463" s="27" t="str">
        <f t="shared" si="2"/>
        <v>U</v>
      </c>
      <c r="M463" s="27" t="str">
        <f>IFERROR(__xludf.DUMMYFUNCTION("GOOGLETRANSLATE(C463,""EN"",""KN"")"),"ಆಕ್ಷೇಪಿಸಲಾಗದು")</f>
        <v>ಆಕ್ಷೇಪಿಸಲಾಗದು</v>
      </c>
      <c r="N463" s="27">
        <f t="array" ref="N463">_xlfn.XLOOKUP(B463,'Sets Progress'!I:I,'Sets Progress'!I:I,"NOT YET")</f>
        <v>28</v>
      </c>
      <c r="O463" s="27" t="str">
        <f t="array" ref="O463">_xlfn.XLOOKUP(L:L,'Overall Progress'!L:L,'Overall Progress'!L:L,"NOT YET")</f>
        <v>NOT YET</v>
      </c>
      <c r="P463" s="27"/>
      <c r="Q463" s="27"/>
      <c r="R463" s="27"/>
      <c r="S463" s="27"/>
      <c r="T463" s="27"/>
      <c r="U463" s="27"/>
      <c r="V463" s="27"/>
      <c r="W463" s="27"/>
      <c r="X463" s="27"/>
      <c r="Y463" s="27"/>
      <c r="Z463" s="27"/>
    </row>
    <row r="464" hidden="1" customHeight="1" spans="1:26">
      <c r="A464" s="26">
        <v>1494</v>
      </c>
      <c r="B464" s="26">
        <v>28</v>
      </c>
      <c r="C464" s="26" t="s">
        <v>1822</v>
      </c>
      <c r="D464" s="26" t="s">
        <v>1721</v>
      </c>
      <c r="E464" s="26" t="s">
        <v>2908</v>
      </c>
      <c r="F464" s="26" t="str">
        <f t="shared" si="0"/>
        <v>Temporal Old English Origin</v>
      </c>
      <c r="G464" s="26">
        <f t="shared" si="1"/>
        <v>8</v>
      </c>
      <c r="H464" s="26" t="s">
        <v>3388</v>
      </c>
      <c r="I464" s="26"/>
      <c r="J464" s="26"/>
      <c r="K464" s="26"/>
      <c r="L464" s="26" t="str">
        <f t="shared" si="2"/>
        <v>V</v>
      </c>
      <c r="M464" s="26" t="str">
        <f>IFERROR(__xludf.DUMMYFUNCTION("GOOGLETRANSLATE(C464,""EN"",""KN"")"),"ವ್ಯಾಂಕ್ವಿಶ್")</f>
        <v>ವ್ಯಾಂಕ್ವಿಶ್</v>
      </c>
      <c r="N464" s="26">
        <f t="array" ref="N464">_xlfn.XLOOKUP(B464,'Sets Progress'!I:I,'Sets Progress'!I:I,"NOT YET")</f>
        <v>28</v>
      </c>
      <c r="O464" s="26" t="str">
        <f t="array" ref="O464">_xlfn.XLOOKUP(L:L,'Overall Progress'!L:L,'Overall Progress'!L:L,"NOT YET")</f>
        <v>NOT YET</v>
      </c>
      <c r="P464" s="26"/>
      <c r="Q464" s="26"/>
      <c r="R464" s="26"/>
      <c r="S464" s="26"/>
      <c r="T464" s="26"/>
      <c r="U464" s="26"/>
      <c r="V464" s="26"/>
      <c r="W464" s="26"/>
      <c r="X464" s="26"/>
      <c r="Y464" s="26"/>
      <c r="Z464" s="26"/>
    </row>
    <row r="465" hidden="1" customHeight="1" spans="1:26">
      <c r="A465" s="27">
        <v>156</v>
      </c>
      <c r="B465" s="27">
        <v>29</v>
      </c>
      <c r="C465" s="27" t="s">
        <v>505</v>
      </c>
      <c r="D465" s="27" t="s">
        <v>2946</v>
      </c>
      <c r="E465" s="27" t="s">
        <v>2899</v>
      </c>
      <c r="F465" s="27" t="str">
        <f t="shared" si="0"/>
        <v>Emotional Middle English Origin</v>
      </c>
      <c r="G465" s="27">
        <f t="shared" si="1"/>
        <v>7</v>
      </c>
      <c r="H465" s="27" t="s">
        <v>3389</v>
      </c>
      <c r="I465" s="27"/>
      <c r="J465" s="27"/>
      <c r="K465" s="27"/>
      <c r="L465" s="27" t="str">
        <f t="shared" si="2"/>
        <v>B</v>
      </c>
      <c r="M465" s="27" t="str">
        <f>IFERROR(__xludf.DUMMYFUNCTION("GOOGLETRANSLATE(C465,""EN"",""KN"")"),"ಮೋಸಮಾಡು")</f>
        <v>ಮೋಸಮಾಡು</v>
      </c>
      <c r="N465" s="27">
        <f t="array" ref="N465">_xlfn.XLOOKUP(B465,'Sets Progress'!I:I,'Sets Progress'!I:I,"NOT YET")</f>
        <v>29</v>
      </c>
      <c r="O465" s="27" t="str">
        <f t="array" ref="O465">_xlfn.XLOOKUP(L:L,'Overall Progress'!L:L,'Overall Progress'!L:L,"NOT YET")</f>
        <v>NOT YET</v>
      </c>
      <c r="P465" s="27"/>
      <c r="Q465" s="27"/>
      <c r="R465" s="27"/>
      <c r="S465" s="27"/>
      <c r="T465" s="27"/>
      <c r="U465" s="27"/>
      <c r="V465" s="27"/>
      <c r="W465" s="27"/>
      <c r="X465" s="27"/>
      <c r="Y465" s="27"/>
      <c r="Z465" s="27"/>
    </row>
    <row r="466" hidden="1" customHeight="1" spans="1:26">
      <c r="A466" s="26">
        <v>171</v>
      </c>
      <c r="B466" s="26">
        <v>29</v>
      </c>
      <c r="C466" s="26" t="s">
        <v>520</v>
      </c>
      <c r="D466" s="26" t="s">
        <v>2717</v>
      </c>
      <c r="E466" s="26" t="s">
        <v>2908</v>
      </c>
      <c r="F466" s="26" t="str">
        <f t="shared" si="0"/>
        <v>Positive Traits Old English Origin</v>
      </c>
      <c r="G466" s="26">
        <f t="shared" si="1"/>
        <v>6</v>
      </c>
      <c r="H466" s="26" t="s">
        <v>3390</v>
      </c>
      <c r="I466" s="26"/>
      <c r="J466" s="26"/>
      <c r="K466" s="26"/>
      <c r="L466" s="26" t="str">
        <f t="shared" si="2"/>
        <v>B</v>
      </c>
      <c r="M466" s="26" t="str">
        <f>IFERROR(__xludf.DUMMYFUNCTION("GOOGLETRANSLATE(C466,""EN"",""KN"")"),"ಬ್ಲಿತ್")</f>
        <v>ಬ್ಲಿತ್</v>
      </c>
      <c r="N466" s="26">
        <f t="array" ref="N466">_xlfn.XLOOKUP(B466,'Sets Progress'!I:I,'Sets Progress'!I:I,"NOT YET")</f>
        <v>29</v>
      </c>
      <c r="O466" s="26" t="str">
        <f t="array" ref="O466">_xlfn.XLOOKUP(L:L,'Overall Progress'!L:L,'Overall Progress'!L:L,"NOT YET")</f>
        <v>NOT YET</v>
      </c>
      <c r="P466" s="26"/>
      <c r="Q466" s="26"/>
      <c r="R466" s="26"/>
      <c r="S466" s="26"/>
      <c r="T466" s="26"/>
      <c r="U466" s="26"/>
      <c r="V466" s="26"/>
      <c r="W466" s="26"/>
      <c r="X466" s="26"/>
      <c r="Y466" s="26"/>
      <c r="Z466" s="26"/>
    </row>
    <row r="467" hidden="1" customHeight="1" spans="1:26">
      <c r="A467" s="27">
        <v>349</v>
      </c>
      <c r="B467" s="27">
        <v>29</v>
      </c>
      <c r="C467" s="27" t="s">
        <v>699</v>
      </c>
      <c r="D467" s="27" t="s">
        <v>2928</v>
      </c>
      <c r="E467" s="27" t="s">
        <v>3391</v>
      </c>
      <c r="F467" s="27" t="str">
        <f t="shared" si="0"/>
        <v>Philosophical American English Origin</v>
      </c>
      <c r="G467" s="27">
        <f t="shared" si="1"/>
        <v>6</v>
      </c>
      <c r="H467" s="27" t="s">
        <v>3392</v>
      </c>
      <c r="I467" s="27"/>
      <c r="J467" s="27"/>
      <c r="K467" s="27"/>
      <c r="L467" s="27" t="str">
        <f t="shared" si="2"/>
        <v>D</v>
      </c>
      <c r="M467" s="27" t="str">
        <f>IFERROR(__xludf.DUMMYFUNCTION("GOOGLETRANSLATE(C467,""EN"",""KN"")"),"ಡಿಬಂಕ್")</f>
        <v>ಡಿಬಂಕ್</v>
      </c>
      <c r="N467" s="27">
        <f t="array" ref="N467">_xlfn.XLOOKUP(B467,'Sets Progress'!I:I,'Sets Progress'!I:I,"NOT YET")</f>
        <v>29</v>
      </c>
      <c r="O467" s="27" t="str">
        <f t="array" ref="O467">_xlfn.XLOOKUP(L:L,'Overall Progress'!L:L,'Overall Progress'!L:L,"NOT YET")</f>
        <v>NOT YET</v>
      </c>
      <c r="P467" s="27"/>
      <c r="Q467" s="27"/>
      <c r="R467" s="27"/>
      <c r="S467" s="27"/>
      <c r="T467" s="27"/>
      <c r="U467" s="27"/>
      <c r="V467" s="27"/>
      <c r="W467" s="27"/>
      <c r="X467" s="27"/>
      <c r="Y467" s="27"/>
      <c r="Z467" s="27"/>
    </row>
    <row r="468" hidden="1" customHeight="1" spans="1:26">
      <c r="A468" s="26">
        <v>405</v>
      </c>
      <c r="B468" s="26">
        <v>29</v>
      </c>
      <c r="C468" s="26" t="s">
        <v>754</v>
      </c>
      <c r="D468" s="26" t="s">
        <v>1638</v>
      </c>
      <c r="E468" s="26" t="s">
        <v>2889</v>
      </c>
      <c r="F468" s="26" t="str">
        <f t="shared" si="0"/>
        <v>Sound Latin Origin</v>
      </c>
      <c r="G468" s="26">
        <f t="shared" si="1"/>
        <v>5</v>
      </c>
      <c r="H468" s="26" t="s">
        <v>3393</v>
      </c>
      <c r="I468" s="26"/>
      <c r="J468" s="26"/>
      <c r="K468" s="26"/>
      <c r="L468" s="26" t="str">
        <f t="shared" si="2"/>
        <v>D</v>
      </c>
      <c r="M468" s="26" t="str">
        <f>IFERROR(__xludf.DUMMYFUNCTION("GOOGLETRANSLATE(C468,""EN"",""KN"")"),"ಡಿರ್ಜ್")</f>
        <v>ಡಿರ್ಜ್</v>
      </c>
      <c r="N468" s="26">
        <f t="array" ref="N468">_xlfn.XLOOKUP(B468,'Sets Progress'!I:I,'Sets Progress'!I:I,"NOT YET")</f>
        <v>29</v>
      </c>
      <c r="O468" s="26" t="str">
        <f t="array" ref="O468">_xlfn.XLOOKUP(L:L,'Overall Progress'!L:L,'Overall Progress'!L:L,"NOT YET")</f>
        <v>NOT YET</v>
      </c>
      <c r="P468" s="26"/>
      <c r="Q468" s="26"/>
      <c r="R468" s="26"/>
      <c r="S468" s="26"/>
      <c r="T468" s="26"/>
      <c r="U468" s="26"/>
      <c r="V468" s="26"/>
      <c r="W468" s="26"/>
      <c r="X468" s="26"/>
      <c r="Y468" s="26"/>
      <c r="Z468" s="26"/>
    </row>
    <row r="469" hidden="1" customHeight="1" spans="1:26">
      <c r="A469" s="27">
        <v>525</v>
      </c>
      <c r="B469" s="27">
        <v>29</v>
      </c>
      <c r="C469" s="27" t="s">
        <v>138</v>
      </c>
      <c r="D469" s="27" t="s">
        <v>1721</v>
      </c>
      <c r="E469" s="27" t="s">
        <v>2889</v>
      </c>
      <c r="F469" s="27" t="str">
        <f t="shared" si="0"/>
        <v>Temporal Latin Origin</v>
      </c>
      <c r="G469" s="27">
        <f t="shared" si="1"/>
        <v>9</v>
      </c>
      <c r="H469" s="27" t="s">
        <v>3394</v>
      </c>
      <c r="I469" s="27"/>
      <c r="J469" s="27"/>
      <c r="K469" s="27"/>
      <c r="L469" s="27" t="str">
        <f t="shared" si="2"/>
        <v>E</v>
      </c>
      <c r="M469" s="27" t="str">
        <f>IFERROR(__xludf.DUMMYFUNCTION("GOOGLETRANSLATE(C469,""EN"",""KN"")"),"ಇಕ್ವಿವೋಕಲ್")</f>
        <v>ಇಕ್ವಿವೋಕಲ್</v>
      </c>
      <c r="N469" s="27">
        <f t="array" ref="N469">_xlfn.XLOOKUP(B469,'Sets Progress'!I:I,'Sets Progress'!I:I,"NOT YET")</f>
        <v>29</v>
      </c>
      <c r="O469" s="27" t="str">
        <f t="array" ref="O469">_xlfn.XLOOKUP(L:L,'Overall Progress'!L:L,'Overall Progress'!L:L,"NOT YET")</f>
        <v>NOT YET</v>
      </c>
      <c r="P469" s="27"/>
      <c r="Q469" s="27"/>
      <c r="R469" s="27"/>
      <c r="S469" s="27"/>
      <c r="T469" s="27"/>
      <c r="U469" s="27"/>
      <c r="V469" s="27"/>
      <c r="W469" s="27"/>
      <c r="X469" s="27"/>
      <c r="Y469" s="27"/>
      <c r="Z469" s="27"/>
    </row>
    <row r="470" hidden="1" customHeight="1" spans="1:26">
      <c r="A470" s="26">
        <v>637</v>
      </c>
      <c r="B470" s="26">
        <v>29</v>
      </c>
      <c r="C470" s="26" t="s">
        <v>981</v>
      </c>
      <c r="D470" s="26" t="s">
        <v>1721</v>
      </c>
      <c r="E470" s="26" t="s">
        <v>2889</v>
      </c>
      <c r="F470" s="26" t="str">
        <f t="shared" si="0"/>
        <v>Temporal Latin Origin</v>
      </c>
      <c r="G470" s="26">
        <f t="shared" si="1"/>
        <v>9</v>
      </c>
      <c r="H470" s="26" t="s">
        <v>3395</v>
      </c>
      <c r="I470" s="26"/>
      <c r="J470" s="26"/>
      <c r="K470" s="26"/>
      <c r="L470" s="26" t="str">
        <f t="shared" si="2"/>
        <v>F</v>
      </c>
      <c r="M470" s="26" t="str">
        <f>IFERROR(__xludf.DUMMYFUNCTION("GOOGLETRANSLATE(C470,""EN"",""KN"")"),"ಮಿತವ್ಯಯ")</f>
        <v>ಮಿತವ್ಯಯ</v>
      </c>
      <c r="N470" s="26">
        <f t="array" ref="N470">_xlfn.XLOOKUP(B470,'Sets Progress'!I:I,'Sets Progress'!I:I,"NOT YET")</f>
        <v>29</v>
      </c>
      <c r="O470" s="26" t="str">
        <f t="array" ref="O470">_xlfn.XLOOKUP(L:L,'Overall Progress'!L:L,'Overall Progress'!L:L,"NOT YET")</f>
        <v>NOT YET</v>
      </c>
      <c r="P470" s="26"/>
      <c r="Q470" s="26"/>
      <c r="R470" s="26"/>
      <c r="S470" s="26"/>
      <c r="T470" s="26"/>
      <c r="U470" s="26"/>
      <c r="V470" s="26"/>
      <c r="W470" s="26"/>
      <c r="X470" s="26"/>
      <c r="Y470" s="26"/>
      <c r="Z470" s="26"/>
    </row>
    <row r="471" hidden="1" customHeight="1" spans="1:26">
      <c r="A471" s="27">
        <v>748</v>
      </c>
      <c r="B471" s="27">
        <v>29</v>
      </c>
      <c r="C471" s="27" t="s">
        <v>1089</v>
      </c>
      <c r="D471" s="27" t="s">
        <v>1721</v>
      </c>
      <c r="E471" s="27" t="s">
        <v>2889</v>
      </c>
      <c r="F471" s="27" t="str">
        <f t="shared" si="0"/>
        <v>Temporal Latin Origin</v>
      </c>
      <c r="G471" s="27">
        <f t="shared" si="1"/>
        <v>8</v>
      </c>
      <c r="H471" s="27" t="s">
        <v>3396</v>
      </c>
      <c r="I471" s="27"/>
      <c r="J471" s="27"/>
      <c r="K471" s="27"/>
      <c r="L471" s="27" t="str">
        <f t="shared" si="2"/>
        <v>I</v>
      </c>
      <c r="M471" s="27" t="str">
        <f>IFERROR(__xludf.DUMMYFUNCTION("GOOGLETRANSLATE(C471,""EN"",""KN"")"),"ಒಲವು")</f>
        <v>ಒಲವು</v>
      </c>
      <c r="N471" s="27">
        <f t="array" ref="N471">_xlfn.XLOOKUP(B471,'Sets Progress'!I:I,'Sets Progress'!I:I,"NOT YET")</f>
        <v>29</v>
      </c>
      <c r="O471" s="27" t="str">
        <f t="array" ref="O471">_xlfn.XLOOKUP(L:L,'Overall Progress'!L:L,'Overall Progress'!L:L,"NOT YET")</f>
        <v>NOT YET</v>
      </c>
      <c r="P471" s="27"/>
      <c r="Q471" s="27"/>
      <c r="R471" s="27"/>
      <c r="S471" s="27"/>
      <c r="T471" s="27"/>
      <c r="U471" s="27"/>
      <c r="V471" s="27"/>
      <c r="W471" s="27"/>
      <c r="X471" s="27"/>
      <c r="Y471" s="27"/>
      <c r="Z471" s="27"/>
    </row>
    <row r="472" hidden="1" customHeight="1" spans="1:26">
      <c r="A472" s="26">
        <v>927</v>
      </c>
      <c r="B472" s="26">
        <v>29</v>
      </c>
      <c r="C472" s="26" t="s">
        <v>1263</v>
      </c>
      <c r="D472" s="26" t="s">
        <v>2716</v>
      </c>
      <c r="E472" s="26" t="s">
        <v>2889</v>
      </c>
      <c r="F472" s="26" t="str">
        <f t="shared" si="0"/>
        <v>Negative Traits Latin Origin</v>
      </c>
      <c r="G472" s="26">
        <f t="shared" si="1"/>
        <v>6</v>
      </c>
      <c r="H472" s="26" t="s">
        <v>3397</v>
      </c>
      <c r="I472" s="26"/>
      <c r="J472" s="26"/>
      <c r="K472" s="26"/>
      <c r="L472" s="26" t="str">
        <f t="shared" si="2"/>
        <v>M</v>
      </c>
      <c r="M472" s="26" t="str">
        <f>IFERROR(__xludf.DUMMYFUNCTION("GOOGLETRANSLATE(C472,""EN"",""KN"")"),"ರೋಗಗ್ರಸ್ತ")</f>
        <v>ರೋಗಗ್ರಸ್ತ</v>
      </c>
      <c r="N472" s="26">
        <f t="array" ref="N472">_xlfn.XLOOKUP(B472,'Sets Progress'!I:I,'Sets Progress'!I:I,"NOT YET")</f>
        <v>29</v>
      </c>
      <c r="O472" s="26" t="str">
        <f t="array" ref="O472">_xlfn.XLOOKUP(L:L,'Overall Progress'!L:L,'Overall Progress'!L:L,"NOT YET")</f>
        <v>NOT YET</v>
      </c>
      <c r="P472" s="26"/>
      <c r="Q472" s="26"/>
      <c r="R472" s="26"/>
      <c r="S472" s="26"/>
      <c r="T472" s="26"/>
      <c r="U472" s="26"/>
      <c r="V472" s="26"/>
      <c r="W472" s="26"/>
      <c r="X472" s="26"/>
      <c r="Y472" s="26"/>
      <c r="Z472" s="26"/>
    </row>
    <row r="473" hidden="1" customHeight="1" spans="1:26">
      <c r="A473" s="27">
        <v>954</v>
      </c>
      <c r="B473" s="27">
        <v>29</v>
      </c>
      <c r="C473" s="27" t="s">
        <v>1290</v>
      </c>
      <c r="D473" s="27" t="s">
        <v>1721</v>
      </c>
      <c r="E473" s="27" t="s">
        <v>2889</v>
      </c>
      <c r="F473" s="27" t="str">
        <f t="shared" si="0"/>
        <v>Temporal Latin Origin</v>
      </c>
      <c r="G473" s="27">
        <f t="shared" si="1"/>
        <v>7</v>
      </c>
      <c r="H473" s="27" t="s">
        <v>3398</v>
      </c>
      <c r="I473" s="27"/>
      <c r="J473" s="27"/>
      <c r="K473" s="27"/>
      <c r="L473" s="27" t="str">
        <f t="shared" si="2"/>
        <v>N</v>
      </c>
      <c r="M473" s="27" t="str">
        <f>IFERROR(__xludf.DUMMYFUNCTION("GOOGLETRANSLATE(C473,""EN"",""KN"")"),"ನಾಮಮಾತ್ರ")</f>
        <v>ನಾಮಮಾತ್ರ</v>
      </c>
      <c r="N473" s="27">
        <f t="array" ref="N473">_xlfn.XLOOKUP(B473,'Sets Progress'!I:I,'Sets Progress'!I:I,"NOT YET")</f>
        <v>29</v>
      </c>
      <c r="O473" s="27" t="str">
        <f t="array" ref="O473">_xlfn.XLOOKUP(L:L,'Overall Progress'!L:L,'Overall Progress'!L:L,"NOT YET")</f>
        <v>NOT YET</v>
      </c>
      <c r="P473" s="27"/>
      <c r="Q473" s="27"/>
      <c r="R473" s="27"/>
      <c r="S473" s="27"/>
      <c r="T473" s="27"/>
      <c r="U473" s="27"/>
      <c r="V473" s="27"/>
      <c r="W473" s="27"/>
      <c r="X473" s="27"/>
      <c r="Y473" s="27"/>
      <c r="Z473" s="27"/>
    </row>
    <row r="474" hidden="1" customHeight="1" spans="1:26">
      <c r="A474" s="26">
        <v>1059</v>
      </c>
      <c r="B474" s="26">
        <v>29</v>
      </c>
      <c r="C474" s="26" t="s">
        <v>1394</v>
      </c>
      <c r="D474" s="26" t="s">
        <v>2716</v>
      </c>
      <c r="E474" s="26" t="s">
        <v>2889</v>
      </c>
      <c r="F474" s="26" t="str">
        <f t="shared" si="0"/>
        <v>Negative Traits Latin Origin</v>
      </c>
      <c r="G474" s="26">
        <f t="shared" si="1"/>
        <v>9</v>
      </c>
      <c r="H474" s="26" t="s">
        <v>3399</v>
      </c>
      <c r="I474" s="26"/>
      <c r="J474" s="26"/>
      <c r="K474" s="26"/>
      <c r="L474" s="26" t="str">
        <f t="shared" si="2"/>
        <v>P</v>
      </c>
      <c r="M474" s="26" t="str">
        <f>IFERROR(__xludf.DUMMYFUNCTION("GOOGLETRANSLATE(C474,""EN"",""KN"")"),"ನಿರಾಶಾವಾದ")</f>
        <v>ನಿರಾಶಾವಾದ</v>
      </c>
      <c r="N474" s="26">
        <f t="array" ref="N474">_xlfn.XLOOKUP(B474,'Sets Progress'!I:I,'Sets Progress'!I:I,"NOT YET")</f>
        <v>29</v>
      </c>
      <c r="O474" s="26" t="str">
        <f t="array" ref="O474">_xlfn.XLOOKUP(L:L,'Overall Progress'!L:L,'Overall Progress'!L:L,"NOT YET")</f>
        <v>NOT YET</v>
      </c>
      <c r="P474" s="26"/>
      <c r="Q474" s="26"/>
      <c r="R474" s="26"/>
      <c r="S474" s="26"/>
      <c r="T474" s="26"/>
      <c r="U474" s="26"/>
      <c r="V474" s="26"/>
      <c r="W474" s="26"/>
      <c r="X474" s="26"/>
      <c r="Y474" s="26"/>
      <c r="Z474" s="26"/>
    </row>
    <row r="475" hidden="1" customHeight="1" spans="1:26">
      <c r="A475" s="27">
        <v>1070</v>
      </c>
      <c r="B475" s="27">
        <v>29</v>
      </c>
      <c r="C475" s="27" t="s">
        <v>1405</v>
      </c>
      <c r="D475" s="27" t="s">
        <v>2717</v>
      </c>
      <c r="E475" s="27" t="s">
        <v>2889</v>
      </c>
      <c r="F475" s="27" t="str">
        <f t="shared" si="0"/>
        <v>Positive Traits Latin Origin</v>
      </c>
      <c r="G475" s="27">
        <f t="shared" si="1"/>
        <v>6</v>
      </c>
      <c r="H475" s="27" t="s">
        <v>3400</v>
      </c>
      <c r="I475" s="27"/>
      <c r="J475" s="27" t="s">
        <v>3401</v>
      </c>
      <c r="K475" s="27"/>
      <c r="L475" s="27" t="str">
        <f t="shared" si="2"/>
        <v>P</v>
      </c>
      <c r="M475" s="27" t="str">
        <f>IFERROR(__xludf.DUMMYFUNCTION("GOOGLETRANSLATE(C475,""EN"",""KN"")"),"ಪ್ರಶಾಂತ")</f>
        <v>ಪ್ರಶಾಂತ</v>
      </c>
      <c r="N475" s="27">
        <f t="array" ref="N475">_xlfn.XLOOKUP(B475,'Sets Progress'!I:I,'Sets Progress'!I:I,"NOT YET")</f>
        <v>29</v>
      </c>
      <c r="O475" s="27" t="str">
        <f t="array" ref="O475">_xlfn.XLOOKUP(L:L,'Overall Progress'!L:L,'Overall Progress'!L:L,"NOT YET")</f>
        <v>NOT YET</v>
      </c>
      <c r="P475" s="27"/>
      <c r="Q475" s="27"/>
      <c r="R475" s="27"/>
      <c r="S475" s="27"/>
      <c r="T475" s="27"/>
      <c r="U475" s="27"/>
      <c r="V475" s="27"/>
      <c r="W475" s="27"/>
      <c r="X475" s="27"/>
      <c r="Y475" s="27"/>
      <c r="Z475" s="27"/>
    </row>
    <row r="476" hidden="1" customHeight="1" spans="1:26">
      <c r="A476" s="26">
        <v>1315</v>
      </c>
      <c r="B476" s="26">
        <v>29</v>
      </c>
      <c r="C476" s="26" t="s">
        <v>1646</v>
      </c>
      <c r="D476" s="26" t="s">
        <v>1721</v>
      </c>
      <c r="E476" s="26" t="s">
        <v>2889</v>
      </c>
      <c r="F476" s="26" t="str">
        <f t="shared" si="0"/>
        <v>Temporal Latin Origin</v>
      </c>
      <c r="G476" s="26">
        <f t="shared" si="1"/>
        <v>8</v>
      </c>
      <c r="H476" s="26" t="s">
        <v>3402</v>
      </c>
      <c r="I476" s="26"/>
      <c r="J476" s="26"/>
      <c r="K476" s="26"/>
      <c r="L476" s="26" t="str">
        <f t="shared" si="2"/>
        <v>S</v>
      </c>
      <c r="M476" s="26" t="str">
        <f>IFERROR(__xludf.DUMMYFUNCTION("GOOGLETRANSLATE(C476,""EN"",""KN"")"),"ವಿರಳ")</f>
        <v>ವಿರಳ</v>
      </c>
      <c r="N476" s="26">
        <f t="array" ref="N476">_xlfn.XLOOKUP(B476,'Sets Progress'!I:I,'Sets Progress'!I:I,"NOT YET")</f>
        <v>29</v>
      </c>
      <c r="O476" s="26" t="str">
        <f t="array" ref="O476">_xlfn.XLOOKUP(L:L,'Overall Progress'!L:L,'Overall Progress'!L:L,"NOT YET")</f>
        <v>NOT YET</v>
      </c>
      <c r="P476" s="26"/>
      <c r="Q476" s="26"/>
      <c r="R476" s="26"/>
      <c r="S476" s="26"/>
      <c r="T476" s="26"/>
      <c r="U476" s="26"/>
      <c r="V476" s="26"/>
      <c r="W476" s="26"/>
      <c r="X476" s="26"/>
      <c r="Y476" s="26"/>
      <c r="Z476" s="26"/>
    </row>
    <row r="477" hidden="1" customHeight="1" spans="1:26">
      <c r="A477" s="27">
        <v>1347</v>
      </c>
      <c r="B477" s="27">
        <v>29</v>
      </c>
      <c r="C477" s="27" t="s">
        <v>1678</v>
      </c>
      <c r="D477" s="27" t="s">
        <v>2716</v>
      </c>
      <c r="E477" s="27" t="s">
        <v>2889</v>
      </c>
      <c r="F477" s="27" t="str">
        <f t="shared" si="0"/>
        <v>Negative Traits Latin Origin</v>
      </c>
      <c r="G477" s="27">
        <f t="shared" si="1"/>
        <v>7</v>
      </c>
      <c r="H477" s="27" t="s">
        <v>3403</v>
      </c>
      <c r="I477" s="27"/>
      <c r="J477" s="27"/>
      <c r="K477" s="27"/>
      <c r="L477" s="27" t="str">
        <f t="shared" si="2"/>
        <v>S</v>
      </c>
      <c r="M477" s="27" t="str">
        <f>IFERROR(__xludf.DUMMYFUNCTION("GOOGLETRANSLATE(C477,""EN"",""KN"")"),"ಸಬ್ವರ್ಟ್")</f>
        <v>ಸಬ್ವರ್ಟ್</v>
      </c>
      <c r="N477" s="27">
        <f t="array" ref="N477">_xlfn.XLOOKUP(B477,'Sets Progress'!I:I,'Sets Progress'!I:I,"NOT YET")</f>
        <v>29</v>
      </c>
      <c r="O477" s="27" t="str">
        <f t="array" ref="O477">_xlfn.XLOOKUP(L:L,'Overall Progress'!L:L,'Overall Progress'!L:L,"NOT YET")</f>
        <v>NOT YET</v>
      </c>
      <c r="P477" s="27"/>
      <c r="Q477" s="27"/>
      <c r="R477" s="27"/>
      <c r="S477" s="27"/>
      <c r="T477" s="27"/>
      <c r="U477" s="27"/>
      <c r="V477" s="27"/>
      <c r="W477" s="27"/>
      <c r="X477" s="27"/>
      <c r="Y477" s="27"/>
      <c r="Z477" s="27"/>
    </row>
    <row r="478" hidden="1" customHeight="1" spans="1:26">
      <c r="A478" s="26">
        <v>1364</v>
      </c>
      <c r="B478" s="26">
        <v>29</v>
      </c>
      <c r="C478" s="26" t="s">
        <v>1695</v>
      </c>
      <c r="D478" s="26" t="s">
        <v>2716</v>
      </c>
      <c r="E478" s="26" t="s">
        <v>2889</v>
      </c>
      <c r="F478" s="26" t="str">
        <f t="shared" si="0"/>
        <v>Negative Traits Latin Origin</v>
      </c>
      <c r="G478" s="26">
        <f t="shared" si="1"/>
        <v>11</v>
      </c>
      <c r="H478" s="26" t="s">
        <v>3404</v>
      </c>
      <c r="I478" s="26"/>
      <c r="J478" s="26"/>
      <c r="K478" s="26"/>
      <c r="L478" s="26" t="str">
        <f t="shared" si="2"/>
        <v>S</v>
      </c>
      <c r="M478" s="26" t="str">
        <f>IFERROR(__xludf.DUMMYFUNCTION("GOOGLETRANSLATE(C478,""EN"",""KN"")"),"ಒಳಗಾಗುವ")</f>
        <v>ಒಳಗಾಗುವ</v>
      </c>
      <c r="N478" s="26">
        <f t="array" ref="N478">_xlfn.XLOOKUP(B478,'Sets Progress'!I:I,'Sets Progress'!I:I,"NOT YET")</f>
        <v>29</v>
      </c>
      <c r="O478" s="26" t="str">
        <f t="array" ref="O478">_xlfn.XLOOKUP(L:L,'Overall Progress'!L:L,'Overall Progress'!L:L,"NOT YET")</f>
        <v>NOT YET</v>
      </c>
      <c r="P478" s="26"/>
      <c r="Q478" s="26"/>
      <c r="R478" s="26"/>
      <c r="S478" s="26"/>
      <c r="T478" s="26"/>
      <c r="U478" s="26"/>
      <c r="V478" s="26"/>
      <c r="W478" s="26"/>
      <c r="X478" s="26"/>
      <c r="Y478" s="26"/>
      <c r="Z478" s="26"/>
    </row>
    <row r="479" hidden="1" customHeight="1" spans="1:26">
      <c r="A479" s="27">
        <v>7</v>
      </c>
      <c r="B479" s="27">
        <v>30</v>
      </c>
      <c r="C479" s="27" t="s">
        <v>376</v>
      </c>
      <c r="D479" s="27" t="s">
        <v>2928</v>
      </c>
      <c r="E479" s="27" t="s">
        <v>2908</v>
      </c>
      <c r="F479" s="27" t="str">
        <f t="shared" si="0"/>
        <v>Philosophical Old English Origin</v>
      </c>
      <c r="G479" s="27">
        <f t="shared" si="1"/>
        <v>5</v>
      </c>
      <c r="H479" s="27" t="s">
        <v>3405</v>
      </c>
      <c r="I479" s="27"/>
      <c r="J479" s="27"/>
      <c r="K479" s="27"/>
      <c r="L479" s="27" t="str">
        <f t="shared" si="2"/>
        <v>A</v>
      </c>
      <c r="M479" s="27" t="str">
        <f>IFERROR(__xludf.DUMMYFUNCTION("GOOGLETRANSLATE(C479,""EN"",""KN"")"),"ಪಾಲಿಸು")</f>
        <v>ಪಾಲಿಸು</v>
      </c>
      <c r="N479" s="27">
        <f t="array" ref="N479">_xlfn.XLOOKUP(B479,'Sets Progress'!I:I,'Sets Progress'!I:I,"NOT YET")</f>
        <v>30</v>
      </c>
      <c r="O479" s="27" t="str">
        <f t="array" ref="O479">_xlfn.XLOOKUP(L:L,'Overall Progress'!L:L,'Overall Progress'!L:L,"NOT YET")</f>
        <v>NOT YET</v>
      </c>
      <c r="P479" s="27"/>
      <c r="Q479" s="27"/>
      <c r="R479" s="27"/>
      <c r="S479" s="27"/>
      <c r="T479" s="27"/>
      <c r="U479" s="27"/>
      <c r="V479" s="27"/>
      <c r="W479" s="27"/>
      <c r="X479" s="27"/>
      <c r="Y479" s="27"/>
      <c r="Z479" s="27"/>
    </row>
    <row r="480" hidden="1" customHeight="1" spans="1:26">
      <c r="A480" s="26">
        <v>208</v>
      </c>
      <c r="B480" s="26">
        <v>30</v>
      </c>
      <c r="C480" s="26" t="s">
        <v>96</v>
      </c>
      <c r="D480" s="26" t="s">
        <v>2946</v>
      </c>
      <c r="E480" s="26" t="s">
        <v>3019</v>
      </c>
      <c r="F480" s="26" t="str">
        <f t="shared" si="0"/>
        <v>Emotional Italian Origin</v>
      </c>
      <c r="G480" s="26">
        <f t="shared" si="1"/>
        <v>10</v>
      </c>
      <c r="H480" s="26" t="s">
        <v>3406</v>
      </c>
      <c r="I480" s="26"/>
      <c r="J480" s="26"/>
      <c r="K480" s="26"/>
      <c r="L480" s="26" t="str">
        <f t="shared" si="2"/>
        <v>C</v>
      </c>
      <c r="M480" s="26" t="str">
        <f>IFERROR(__xludf.DUMMYFUNCTION("GOOGLETRANSLATE(C480,""EN"",""KN"")"),"ವಿಚಿತ್ರವಾದ")</f>
        <v>ವಿಚಿತ್ರವಾದ</v>
      </c>
      <c r="N480" s="26">
        <f t="array" ref="N480">_xlfn.XLOOKUP(B480,'Sets Progress'!I:I,'Sets Progress'!I:I,"NOT YET")</f>
        <v>30</v>
      </c>
      <c r="O480" s="26" t="str">
        <f t="array" ref="O480">_xlfn.XLOOKUP(L:L,'Overall Progress'!L:L,'Overall Progress'!L:L,"NOT YET")</f>
        <v>NOT YET</v>
      </c>
      <c r="P480" s="26"/>
      <c r="Q480" s="26"/>
      <c r="R480" s="26"/>
      <c r="S480" s="26"/>
      <c r="T480" s="26"/>
      <c r="U480" s="26"/>
      <c r="V480" s="26"/>
      <c r="W480" s="26"/>
      <c r="X480" s="26"/>
      <c r="Y480" s="26"/>
      <c r="Z480" s="26"/>
    </row>
    <row r="481" hidden="1" customHeight="1" spans="1:26">
      <c r="A481" s="27">
        <v>450</v>
      </c>
      <c r="B481" s="27">
        <v>30</v>
      </c>
      <c r="C481" s="27" t="s">
        <v>799</v>
      </c>
      <c r="D481" s="27" t="s">
        <v>1721</v>
      </c>
      <c r="E481" s="27" t="s">
        <v>2889</v>
      </c>
      <c r="F481" s="27" t="str">
        <f t="shared" si="0"/>
        <v>Temporal Latin Origin</v>
      </c>
      <c r="G481" s="27">
        <f t="shared" si="1"/>
        <v>11</v>
      </c>
      <c r="H481" s="27" t="s">
        <v>3407</v>
      </c>
      <c r="I481" s="27"/>
      <c r="J481" s="27"/>
      <c r="K481" s="27"/>
      <c r="L481" s="27" t="str">
        <f t="shared" si="2"/>
        <v>D</v>
      </c>
      <c r="M481" s="27" t="str">
        <f>IFERROR(__xludf.DUMMYFUNCTION("GOOGLETRANSLATE(C481,""EN"",""KN"")"),"ಸಾಕ್ಷ್ಯಚಿತ್ರ")</f>
        <v>ಸಾಕ್ಷ್ಯಚಿತ್ರ</v>
      </c>
      <c r="N481" s="27">
        <f t="array" ref="N481">_xlfn.XLOOKUP(B481,'Sets Progress'!I:I,'Sets Progress'!I:I,"NOT YET")</f>
        <v>30</v>
      </c>
      <c r="O481" s="27" t="str">
        <f t="array" ref="O481">_xlfn.XLOOKUP(L:L,'Overall Progress'!L:L,'Overall Progress'!L:L,"NOT YET")</f>
        <v>NOT YET</v>
      </c>
      <c r="P481" s="27"/>
      <c r="Q481" s="27"/>
      <c r="R481" s="27"/>
      <c r="S481" s="27"/>
      <c r="T481" s="27"/>
      <c r="U481" s="27"/>
      <c r="V481" s="27"/>
      <c r="W481" s="27"/>
      <c r="X481" s="27"/>
      <c r="Y481" s="27"/>
      <c r="Z481" s="27"/>
    </row>
    <row r="482" hidden="1" customHeight="1" spans="1:26">
      <c r="A482" s="26">
        <v>467</v>
      </c>
      <c r="B482" s="26">
        <v>30</v>
      </c>
      <c r="C482" s="26" t="s">
        <v>816</v>
      </c>
      <c r="D482" s="26" t="s">
        <v>2892</v>
      </c>
      <c r="E482" s="26" t="s">
        <v>2911</v>
      </c>
      <c r="F482" s="26" t="str">
        <f t="shared" si="0"/>
        <v>Spatial French Origin</v>
      </c>
      <c r="G482" s="26">
        <f t="shared" si="1"/>
        <v>7</v>
      </c>
      <c r="H482" s="26" t="s">
        <v>3408</v>
      </c>
      <c r="I482" s="26"/>
      <c r="J482" s="26"/>
      <c r="K482" s="26"/>
      <c r="L482" s="26" t="str">
        <f t="shared" si="2"/>
        <v>E</v>
      </c>
      <c r="M482" s="26" t="str">
        <f>IFERROR(__xludf.DUMMYFUNCTION("GOOGLETRANSLATE(C482,""EN"",""KN"")"),"ಎಚೆಲಾನ್")</f>
        <v>ಎಚೆಲಾನ್</v>
      </c>
      <c r="N482" s="26">
        <f t="array" ref="N482">_xlfn.XLOOKUP(B482,'Sets Progress'!I:I,'Sets Progress'!I:I,"NOT YET")</f>
        <v>30</v>
      </c>
      <c r="O482" s="26" t="str">
        <f t="array" ref="O482">_xlfn.XLOOKUP(L:L,'Overall Progress'!L:L,'Overall Progress'!L:L,"NOT YET")</f>
        <v>NOT YET</v>
      </c>
      <c r="P482" s="26"/>
      <c r="Q482" s="26"/>
      <c r="R482" s="26"/>
      <c r="S482" s="26"/>
      <c r="T482" s="26"/>
      <c r="U482" s="26"/>
      <c r="V482" s="26"/>
      <c r="W482" s="26"/>
      <c r="X482" s="26"/>
      <c r="Y482" s="26"/>
      <c r="Z482" s="26"/>
    </row>
    <row r="483" hidden="1" customHeight="1" spans="1:26">
      <c r="A483" s="27">
        <v>770</v>
      </c>
      <c r="B483" s="27">
        <v>30</v>
      </c>
      <c r="C483" s="27" t="s">
        <v>1111</v>
      </c>
      <c r="D483" s="27" t="s">
        <v>1721</v>
      </c>
      <c r="E483" s="27" t="s">
        <v>2889</v>
      </c>
      <c r="F483" s="27" t="str">
        <f t="shared" si="0"/>
        <v>Temporal Latin Origin</v>
      </c>
      <c r="G483" s="27">
        <f t="shared" si="1"/>
        <v>9</v>
      </c>
      <c r="H483" s="27" t="s">
        <v>3409</v>
      </c>
      <c r="I483" s="27"/>
      <c r="J483" s="27"/>
      <c r="K483" s="27"/>
      <c r="L483" s="27" t="str">
        <f t="shared" si="2"/>
        <v>I</v>
      </c>
      <c r="M483" s="27" t="str">
        <f>IFERROR(__xludf.DUMMYFUNCTION("GOOGLETRANSLATE(C483,""EN"",""KN"")"),"ಅನುಗಮನದ")</f>
        <v>ಅನುಗಮನದ</v>
      </c>
      <c r="N483" s="27">
        <f t="array" ref="N483">_xlfn.XLOOKUP(B483,'Sets Progress'!I:I,'Sets Progress'!I:I,"NOT YET")</f>
        <v>30</v>
      </c>
      <c r="O483" s="27" t="str">
        <f t="array" ref="O483">_xlfn.XLOOKUP(L:L,'Overall Progress'!L:L,'Overall Progress'!L:L,"NOT YET")</f>
        <v>NOT YET</v>
      </c>
      <c r="P483" s="27"/>
      <c r="Q483" s="27"/>
      <c r="R483" s="27"/>
      <c r="S483" s="27"/>
      <c r="T483" s="27"/>
      <c r="U483" s="27"/>
      <c r="V483" s="27"/>
      <c r="W483" s="27"/>
      <c r="X483" s="27"/>
      <c r="Y483" s="27"/>
      <c r="Z483" s="27"/>
    </row>
    <row r="484" hidden="1" customHeight="1" spans="1:26">
      <c r="A484" s="26">
        <v>787</v>
      </c>
      <c r="B484" s="26">
        <v>30</v>
      </c>
      <c r="C484" s="26" t="s">
        <v>1128</v>
      </c>
      <c r="D484" s="26" t="s">
        <v>2717</v>
      </c>
      <c r="E484" s="26" t="s">
        <v>2889</v>
      </c>
      <c r="F484" s="26" t="str">
        <f t="shared" si="0"/>
        <v>Positive Traits Latin Origin</v>
      </c>
      <c r="G484" s="26">
        <f t="shared" si="1"/>
        <v>9</v>
      </c>
      <c r="H484" s="26" t="s">
        <v>3410</v>
      </c>
      <c r="I484" s="26"/>
      <c r="J484" s="26"/>
      <c r="K484" s="26"/>
      <c r="L484" s="26" t="str">
        <f t="shared" si="2"/>
        <v>I</v>
      </c>
      <c r="M484" s="26" t="str">
        <f>IFERROR(__xludf.DUMMYFUNCTION("GOOGLETRANSLATE(C484,""EN"",""KN"")"),"ನಿರುಪದ್ರವಿ")</f>
        <v>ನಿರುಪದ್ರವಿ</v>
      </c>
      <c r="N484" s="26">
        <f t="array" ref="N484">_xlfn.XLOOKUP(B484,'Sets Progress'!I:I,'Sets Progress'!I:I,"NOT YET")</f>
        <v>30</v>
      </c>
      <c r="O484" s="26" t="str">
        <f t="array" ref="O484">_xlfn.XLOOKUP(L:L,'Overall Progress'!L:L,'Overall Progress'!L:L,"NOT YET")</f>
        <v>NOT YET</v>
      </c>
      <c r="P484" s="26"/>
      <c r="Q484" s="26"/>
      <c r="R484" s="26"/>
      <c r="S484" s="26"/>
      <c r="T484" s="26"/>
      <c r="U484" s="26"/>
      <c r="V484" s="26"/>
      <c r="W484" s="26"/>
      <c r="X484" s="26"/>
      <c r="Y484" s="26"/>
      <c r="Z484" s="26"/>
    </row>
    <row r="485" hidden="1" customHeight="1" spans="1:26">
      <c r="A485" s="27">
        <v>860</v>
      </c>
      <c r="B485" s="27">
        <v>30</v>
      </c>
      <c r="C485" s="27" t="s">
        <v>1200</v>
      </c>
      <c r="D485" s="27" t="s">
        <v>2717</v>
      </c>
      <c r="E485" s="27" t="s">
        <v>2889</v>
      </c>
      <c r="F485" s="27" t="str">
        <f t="shared" si="0"/>
        <v>Positive Traits Latin Origin</v>
      </c>
      <c r="G485" s="27">
        <f t="shared" si="1"/>
        <v>6</v>
      </c>
      <c r="H485" s="27" t="s">
        <v>3411</v>
      </c>
      <c r="I485" s="27"/>
      <c r="J485" s="27"/>
      <c r="K485" s="27"/>
      <c r="L485" s="27" t="str">
        <f t="shared" si="2"/>
        <v>L</v>
      </c>
      <c r="M485" s="27" t="str">
        <f>IFERROR(__xludf.DUMMYFUNCTION("GOOGLETRANSLATE(C485,""EN"",""KN"")"),"ಲೆವಿಟಿ")</f>
        <v>ಲೆವಿಟಿ</v>
      </c>
      <c r="N485" s="27">
        <f t="array" ref="N485">_xlfn.XLOOKUP(B485,'Sets Progress'!I:I,'Sets Progress'!I:I,"NOT YET")</f>
        <v>30</v>
      </c>
      <c r="O485" s="27" t="str">
        <f t="array" ref="O485">_xlfn.XLOOKUP(L:L,'Overall Progress'!L:L,'Overall Progress'!L:L,"NOT YET")</f>
        <v>NOT YET</v>
      </c>
      <c r="P485" s="27"/>
      <c r="Q485" s="27"/>
      <c r="R485" s="27"/>
      <c r="S485" s="27"/>
      <c r="T485" s="27"/>
      <c r="U485" s="27"/>
      <c r="V485" s="27"/>
      <c r="W485" s="27"/>
      <c r="X485" s="27"/>
      <c r="Y485" s="27"/>
      <c r="Z485" s="27"/>
    </row>
    <row r="486" hidden="1" customHeight="1" spans="1:26">
      <c r="A486" s="26">
        <v>1107</v>
      </c>
      <c r="B486" s="26">
        <v>30</v>
      </c>
      <c r="C486" s="26" t="s">
        <v>1441</v>
      </c>
      <c r="D486" s="26" t="s">
        <v>2717</v>
      </c>
      <c r="E486" s="26" t="s">
        <v>2889</v>
      </c>
      <c r="F486" s="26" t="str">
        <f t="shared" si="0"/>
        <v>Positive Traits Latin Origin</v>
      </c>
      <c r="G486" s="26">
        <f t="shared" si="1"/>
        <v>9</v>
      </c>
      <c r="H486" s="26" t="s">
        <v>3412</v>
      </c>
      <c r="I486" s="26"/>
      <c r="J486" s="26"/>
      <c r="K486" s="26"/>
      <c r="L486" s="26" t="str">
        <f t="shared" si="2"/>
        <v>P</v>
      </c>
      <c r="M486" s="26" t="str">
        <f>IFERROR(__xludf.DUMMYFUNCTION("GOOGLETRANSLATE(C486,""EN"",""KN"")"),"ಪ್ರಜ್ಞಾವಂತ")</f>
        <v>ಪ್ರಜ್ಞಾವಂತ</v>
      </c>
      <c r="N486" s="26">
        <f t="array" ref="N486">_xlfn.XLOOKUP(B486,'Sets Progress'!I:I,'Sets Progress'!I:I,"NOT YET")</f>
        <v>30</v>
      </c>
      <c r="O486" s="26" t="str">
        <f t="array" ref="O486">_xlfn.XLOOKUP(L:L,'Overall Progress'!L:L,'Overall Progress'!L:L,"NOT YET")</f>
        <v>NOT YET</v>
      </c>
      <c r="P486" s="26"/>
      <c r="Q486" s="26"/>
      <c r="R486" s="26"/>
      <c r="S486" s="26"/>
      <c r="T486" s="26"/>
      <c r="U486" s="26"/>
      <c r="V486" s="26"/>
      <c r="W486" s="26"/>
      <c r="X486" s="26"/>
      <c r="Y486" s="26"/>
      <c r="Z486" s="26"/>
    </row>
    <row r="487" hidden="1" customHeight="1" spans="1:26">
      <c r="A487" s="27">
        <v>1108</v>
      </c>
      <c r="B487" s="27">
        <v>30</v>
      </c>
      <c r="C487" s="27" t="s">
        <v>1442</v>
      </c>
      <c r="D487" s="27" t="s">
        <v>1721</v>
      </c>
      <c r="E487" s="27" t="s">
        <v>2889</v>
      </c>
      <c r="F487" s="27" t="str">
        <f t="shared" si="0"/>
        <v>Temporal Latin Origin</v>
      </c>
      <c r="G487" s="27">
        <f t="shared" si="1"/>
        <v>9</v>
      </c>
      <c r="H487" s="27" t="s">
        <v>3413</v>
      </c>
      <c r="I487" s="27"/>
      <c r="J487" s="27"/>
      <c r="K487" s="27"/>
      <c r="L487" s="27" t="str">
        <f t="shared" si="2"/>
        <v>P</v>
      </c>
      <c r="M487" s="27" t="str">
        <f>IFERROR(__xludf.DUMMYFUNCTION("GOOGLETRANSLATE(C487,""EN"",""KN"")"),"ಸೂಚಿಸಿ")</f>
        <v>ಸೂಚಿಸಿ</v>
      </c>
      <c r="N487" s="27">
        <f t="array" ref="N487">_xlfn.XLOOKUP(B487,'Sets Progress'!I:I,'Sets Progress'!I:I,"NOT YET")</f>
        <v>30</v>
      </c>
      <c r="O487" s="27" t="str">
        <f t="array" ref="O487">_xlfn.XLOOKUP(L:L,'Overall Progress'!L:L,'Overall Progress'!L:L,"NOT YET")</f>
        <v>NOT YET</v>
      </c>
      <c r="P487" s="27"/>
      <c r="Q487" s="27"/>
      <c r="R487" s="27"/>
      <c r="S487" s="27"/>
      <c r="T487" s="27"/>
      <c r="U487" s="27"/>
      <c r="V487" s="27"/>
      <c r="W487" s="27"/>
      <c r="X487" s="27"/>
      <c r="Y487" s="27"/>
      <c r="Z487" s="27"/>
    </row>
    <row r="488" hidden="1" customHeight="1" spans="1:26">
      <c r="A488" s="26">
        <v>1243</v>
      </c>
      <c r="B488" s="26">
        <v>30</v>
      </c>
      <c r="C488" s="26" t="s">
        <v>1574</v>
      </c>
      <c r="D488" s="26" t="s">
        <v>2716</v>
      </c>
      <c r="E488" s="26" t="s">
        <v>2911</v>
      </c>
      <c r="F488" s="26" t="str">
        <f t="shared" si="0"/>
        <v>Negative Traits French Origin</v>
      </c>
      <c r="G488" s="26">
        <f t="shared" si="1"/>
        <v>8</v>
      </c>
      <c r="H488" s="26" t="s">
        <v>3414</v>
      </c>
      <c r="I488" s="26"/>
      <c r="J488" s="26"/>
      <c r="K488" s="26"/>
      <c r="L488" s="26" t="str">
        <f t="shared" si="2"/>
        <v>S</v>
      </c>
      <c r="M488" s="26" t="str">
        <f>IFERROR(__xludf.DUMMYFUNCTION("GOOGLETRANSLATE(C488,""EN"",""KN"")"),"ಸ್ಯಾಡಿಸ್ಟಿಕ್")</f>
        <v>ಸ್ಯಾಡಿಸ್ಟಿಕ್</v>
      </c>
      <c r="N488" s="26">
        <f t="array" ref="N488">_xlfn.XLOOKUP(B488,'Sets Progress'!I:I,'Sets Progress'!I:I,"NOT YET")</f>
        <v>30</v>
      </c>
      <c r="O488" s="26" t="str">
        <f t="array" ref="O488">_xlfn.XLOOKUP(L:L,'Overall Progress'!L:L,'Overall Progress'!L:L,"NOT YET")</f>
        <v>NOT YET</v>
      </c>
      <c r="P488" s="26"/>
      <c r="Q488" s="26"/>
      <c r="R488" s="26"/>
      <c r="S488" s="26"/>
      <c r="T488" s="26"/>
      <c r="U488" s="26"/>
      <c r="V488" s="26"/>
      <c r="W488" s="26"/>
      <c r="X488" s="26"/>
      <c r="Y488" s="26"/>
      <c r="Z488" s="26"/>
    </row>
    <row r="489" hidden="1" customHeight="1" spans="1:26">
      <c r="A489" s="27">
        <v>1294</v>
      </c>
      <c r="B489" s="27">
        <v>30</v>
      </c>
      <c r="C489" s="27" t="s">
        <v>1625</v>
      </c>
      <c r="D489" s="27" t="s">
        <v>2716</v>
      </c>
      <c r="E489" s="27" t="s">
        <v>2908</v>
      </c>
      <c r="F489" s="27" t="str">
        <f t="shared" si="0"/>
        <v>Negative Traits Old English Origin</v>
      </c>
      <c r="G489" s="27">
        <f t="shared" si="1"/>
        <v>6</v>
      </c>
      <c r="H489" s="27" t="s">
        <v>3415</v>
      </c>
      <c r="I489" s="27"/>
      <c r="J489" s="27"/>
      <c r="K489" s="27"/>
      <c r="L489" s="27" t="str">
        <f t="shared" si="2"/>
        <v>S</v>
      </c>
      <c r="M489" s="27" t="str">
        <f>IFERROR(__xludf.DUMMYFUNCTION("GOOGLETRANSLATE(C489,""EN"",""KN"")"),"ಸ್ವಲ್ಪ")</f>
        <v>ಸ್ವಲ್ಪ</v>
      </c>
      <c r="N489" s="27">
        <f t="array" ref="N489">_xlfn.XLOOKUP(B489,'Sets Progress'!I:I,'Sets Progress'!I:I,"NOT YET")</f>
        <v>30</v>
      </c>
      <c r="O489" s="27" t="str">
        <f t="array" ref="O489">_xlfn.XLOOKUP(L:L,'Overall Progress'!L:L,'Overall Progress'!L:L,"NOT YET")</f>
        <v>NOT YET</v>
      </c>
      <c r="P489" s="27"/>
      <c r="Q489" s="27"/>
      <c r="R489" s="27"/>
      <c r="S489" s="27"/>
      <c r="T489" s="27"/>
      <c r="U489" s="27"/>
      <c r="V489" s="27"/>
      <c r="W489" s="27"/>
      <c r="X489" s="27"/>
      <c r="Y489" s="27"/>
      <c r="Z489" s="27"/>
    </row>
    <row r="490" hidden="1" customHeight="1" spans="1:26">
      <c r="A490" s="26">
        <v>1366</v>
      </c>
      <c r="B490" s="26">
        <v>30</v>
      </c>
      <c r="C490" s="26" t="s">
        <v>1697</v>
      </c>
      <c r="D490" s="26" t="s">
        <v>2717</v>
      </c>
      <c r="E490" s="26" t="s">
        <v>2889</v>
      </c>
      <c r="F490" s="26" t="str">
        <f t="shared" si="0"/>
        <v>Positive Traits Latin Origin</v>
      </c>
      <c r="G490" s="26">
        <f t="shared" si="1"/>
        <v>9</v>
      </c>
      <c r="H490" s="26" t="s">
        <v>3416</v>
      </c>
      <c r="I490" s="26"/>
      <c r="J490" s="26"/>
      <c r="K490" s="26"/>
      <c r="L490" s="26" t="str">
        <f t="shared" si="2"/>
        <v>S</v>
      </c>
      <c r="M490" s="26" t="str">
        <f>IFERROR(__xludf.DUMMYFUNCTION("GOOGLETRANSLATE(C490,""EN"",""KN"")"),"ಸುಸ್ಥಿರ")</f>
        <v>ಸುಸ್ಥಿರ</v>
      </c>
      <c r="N490" s="26">
        <f t="array" ref="N490">_xlfn.XLOOKUP(B490,'Sets Progress'!I:I,'Sets Progress'!I:I,"NOT YET")</f>
        <v>30</v>
      </c>
      <c r="O490" s="26" t="str">
        <f t="array" ref="O490">_xlfn.XLOOKUP(L:L,'Overall Progress'!L:L,'Overall Progress'!L:L,"NOT YET")</f>
        <v>NOT YET</v>
      </c>
      <c r="P490" s="26"/>
      <c r="Q490" s="26"/>
      <c r="R490" s="26"/>
      <c r="S490" s="26"/>
      <c r="T490" s="26"/>
      <c r="U490" s="26"/>
      <c r="V490" s="26"/>
      <c r="W490" s="26"/>
      <c r="X490" s="26"/>
      <c r="Y490" s="26"/>
      <c r="Z490" s="26"/>
    </row>
    <row r="491" hidden="1" customHeight="1" spans="1:26">
      <c r="A491" s="27">
        <v>1386</v>
      </c>
      <c r="B491" s="27">
        <v>30</v>
      </c>
      <c r="C491" s="27" t="s">
        <v>1717</v>
      </c>
      <c r="D491" s="27" t="s">
        <v>2716</v>
      </c>
      <c r="E491" s="27" t="s">
        <v>2889</v>
      </c>
      <c r="F491" s="27" t="str">
        <f t="shared" si="0"/>
        <v>Negative Traits Latin Origin</v>
      </c>
      <c r="G491" s="27">
        <f t="shared" si="1"/>
        <v>8</v>
      </c>
      <c r="H491" s="27" t="s">
        <v>3417</v>
      </c>
      <c r="I491" s="27"/>
      <c r="J491" s="27"/>
      <c r="K491" s="27"/>
      <c r="L491" s="27" t="str">
        <f t="shared" si="2"/>
        <v>T</v>
      </c>
      <c r="M491" s="27" t="str">
        <f>IFERROR(__xludf.DUMMYFUNCTION("GOOGLETRANSLATE(C491,""EN"",""KN"")"),"ಟೆಮೆರಿಟಿ")</f>
        <v>ಟೆಮೆರಿಟಿ</v>
      </c>
      <c r="N491" s="27">
        <f t="array" ref="N491">_xlfn.XLOOKUP(B491,'Sets Progress'!I:I,'Sets Progress'!I:I,"NOT YET")</f>
        <v>30</v>
      </c>
      <c r="O491" s="27" t="str">
        <f t="array" ref="O491">_xlfn.XLOOKUP(L:L,'Overall Progress'!L:L,'Overall Progress'!L:L,"NOT YET")</f>
        <v>NOT YET</v>
      </c>
      <c r="P491" s="27"/>
      <c r="Q491" s="27"/>
      <c r="R491" s="27"/>
      <c r="S491" s="27"/>
      <c r="T491" s="27"/>
      <c r="U491" s="27"/>
      <c r="V491" s="27"/>
      <c r="W491" s="27"/>
      <c r="X491" s="27"/>
      <c r="Y491" s="27"/>
      <c r="Z491" s="27"/>
    </row>
    <row r="492" hidden="1" customHeight="1" spans="1:26">
      <c r="A492" s="26">
        <v>1495</v>
      </c>
      <c r="B492" s="26">
        <v>30</v>
      </c>
      <c r="C492" s="26" t="s">
        <v>1823</v>
      </c>
      <c r="D492" s="26" t="s">
        <v>2716</v>
      </c>
      <c r="E492" s="26" t="s">
        <v>2889</v>
      </c>
      <c r="F492" s="26" t="str">
        <f t="shared" si="0"/>
        <v>Negative Traits Latin Origin</v>
      </c>
      <c r="G492" s="26">
        <f t="shared" si="1"/>
        <v>5</v>
      </c>
      <c r="H492" s="26" t="s">
        <v>3418</v>
      </c>
      <c r="I492" s="26"/>
      <c r="J492" s="26"/>
      <c r="K492" s="26"/>
      <c r="L492" s="26" t="str">
        <f t="shared" si="2"/>
        <v>V</v>
      </c>
      <c r="M492" s="26" t="str">
        <f>IFERROR(__xludf.DUMMYFUNCTION("GOOGLETRANSLATE(C492,""EN"",""KN"")"),"ವ್ಯಾಪಿಡ್")</f>
        <v>ವ್ಯಾಪಿಡ್</v>
      </c>
      <c r="N492" s="26">
        <f t="array" ref="N492">_xlfn.XLOOKUP(B492,'Sets Progress'!I:I,'Sets Progress'!I:I,"NOT YET")</f>
        <v>30</v>
      </c>
      <c r="O492" s="26" t="str">
        <f t="array" ref="O492">_xlfn.XLOOKUP(L:L,'Overall Progress'!L:L,'Overall Progress'!L:L,"NOT YET")</f>
        <v>NOT YET</v>
      </c>
      <c r="P492" s="26"/>
      <c r="Q492" s="26"/>
      <c r="R492" s="26"/>
      <c r="S492" s="26"/>
      <c r="T492" s="26"/>
      <c r="U492" s="26"/>
      <c r="V492" s="26"/>
      <c r="W492" s="26"/>
      <c r="X492" s="26"/>
      <c r="Y492" s="26"/>
      <c r="Z492" s="26"/>
    </row>
    <row r="493" hidden="1" customHeight="1" spans="1:26">
      <c r="A493" s="27">
        <v>99</v>
      </c>
      <c r="B493" s="27">
        <v>31</v>
      </c>
      <c r="C493" s="27" t="s">
        <v>450</v>
      </c>
      <c r="D493" s="27" t="s">
        <v>2717</v>
      </c>
      <c r="E493" s="27" t="s">
        <v>2889</v>
      </c>
      <c r="F493" s="27" t="str">
        <f t="shared" si="0"/>
        <v>Positive Traits Latin Origin</v>
      </c>
      <c r="G493" s="27">
        <f t="shared" si="1"/>
        <v>3</v>
      </c>
      <c r="H493" s="27" t="s">
        <v>3419</v>
      </c>
      <c r="I493" s="27"/>
      <c r="J493" s="27"/>
      <c r="K493" s="27"/>
      <c r="L493" s="27" t="str">
        <f t="shared" si="2"/>
        <v>A</v>
      </c>
      <c r="M493" s="27" t="str">
        <f>IFERROR(__xludf.DUMMYFUNCTION("GOOGLETRANSLATE(C493,""EN"",""KN"")"),"ಸೂಕ್ತ")</f>
        <v>ಸೂಕ್ತ</v>
      </c>
      <c r="N493" s="27">
        <f t="array" ref="N493">_xlfn.XLOOKUP(B493,'Sets Progress'!I:I,'Sets Progress'!I:I,"NOT YET")</f>
        <v>31</v>
      </c>
      <c r="O493" s="27" t="str">
        <f t="array" ref="O493">_xlfn.XLOOKUP(L:L,'Overall Progress'!L:L,'Overall Progress'!L:L,"NOT YET")</f>
        <v>NOT YET</v>
      </c>
      <c r="P493" s="27"/>
      <c r="Q493" s="27"/>
      <c r="R493" s="27"/>
      <c r="S493" s="27"/>
      <c r="T493" s="27"/>
      <c r="U493" s="27"/>
      <c r="V493" s="27"/>
      <c r="W493" s="27"/>
      <c r="X493" s="27"/>
      <c r="Y493" s="27"/>
      <c r="Z493" s="27"/>
    </row>
    <row r="494" hidden="1" customHeight="1" spans="1:26">
      <c r="A494" s="26">
        <v>236</v>
      </c>
      <c r="B494" s="26">
        <v>31</v>
      </c>
      <c r="C494" s="26" t="s">
        <v>587</v>
      </c>
      <c r="D494" s="26" t="s">
        <v>3022</v>
      </c>
      <c r="E494" s="26" t="s">
        <v>2889</v>
      </c>
      <c r="F494" s="26" t="str">
        <f t="shared" si="0"/>
        <v>Intellectual Latin Origin</v>
      </c>
      <c r="G494" s="26">
        <f t="shared" si="1"/>
        <v>4</v>
      </c>
      <c r="H494" s="26" t="s">
        <v>3420</v>
      </c>
      <c r="I494" s="26"/>
      <c r="J494" s="26"/>
      <c r="K494" s="26"/>
      <c r="L494" s="26" t="str">
        <f t="shared" si="2"/>
        <v>C</v>
      </c>
      <c r="M494" s="26" t="str">
        <f>IFERROR(__xludf.DUMMYFUNCTION("GOOGLETRANSLATE(C494,""EN"",""KN"")"),"ಉಲ್ಲೇಖಿಸಿ")</f>
        <v>ಉಲ್ಲೇಖಿಸಿ</v>
      </c>
      <c r="N494" s="26">
        <f t="array" ref="N494">_xlfn.XLOOKUP(B494,'Sets Progress'!I:I,'Sets Progress'!I:I,"NOT YET")</f>
        <v>31</v>
      </c>
      <c r="O494" s="26" t="str">
        <f t="array" ref="O494">_xlfn.XLOOKUP(L:L,'Overall Progress'!L:L,'Overall Progress'!L:L,"NOT YET")</f>
        <v>NOT YET</v>
      </c>
      <c r="P494" s="26"/>
      <c r="Q494" s="26"/>
      <c r="R494" s="26"/>
      <c r="S494" s="26"/>
      <c r="T494" s="26"/>
      <c r="U494" s="26"/>
      <c r="V494" s="26"/>
      <c r="W494" s="26"/>
      <c r="X494" s="26"/>
      <c r="Y494" s="26"/>
      <c r="Z494" s="26"/>
    </row>
    <row r="495" hidden="1" customHeight="1" spans="1:26">
      <c r="A495" s="27">
        <v>251</v>
      </c>
      <c r="B495" s="27">
        <v>31</v>
      </c>
      <c r="C495" s="27" t="s">
        <v>602</v>
      </c>
      <c r="D495" s="27" t="s">
        <v>3022</v>
      </c>
      <c r="E495" s="27" t="s">
        <v>2889</v>
      </c>
      <c r="F495" s="27" t="str">
        <f t="shared" si="0"/>
        <v>Intellectual Latin Origin</v>
      </c>
      <c r="G495" s="27">
        <f t="shared" si="1"/>
        <v>8</v>
      </c>
      <c r="H495" s="27" t="s">
        <v>3421</v>
      </c>
      <c r="I495" s="27"/>
      <c r="J495" s="27"/>
      <c r="K495" s="27"/>
      <c r="L495" s="27" t="str">
        <f t="shared" si="2"/>
        <v>C</v>
      </c>
      <c r="M495" s="27" t="str">
        <f>IFERROR(__xludf.DUMMYFUNCTION("GOOGLETRANSLATE(C495,""EN"",""KN"")"),"ಸುಸಂಬದ್ಧ")</f>
        <v>ಸುಸಂಬದ್ಧ</v>
      </c>
      <c r="N495" s="27">
        <f t="array" ref="N495">_xlfn.XLOOKUP(B495,'Sets Progress'!I:I,'Sets Progress'!I:I,"NOT YET")</f>
        <v>31</v>
      </c>
      <c r="O495" s="27" t="str">
        <f t="array" ref="O495">_xlfn.XLOOKUP(L:L,'Overall Progress'!L:L,'Overall Progress'!L:L,"NOT YET")</f>
        <v>NOT YET</v>
      </c>
      <c r="P495" s="27"/>
      <c r="Q495" s="27"/>
      <c r="R495" s="27"/>
      <c r="S495" s="27"/>
      <c r="T495" s="27"/>
      <c r="U495" s="27"/>
      <c r="V495" s="27"/>
      <c r="W495" s="27"/>
      <c r="X495" s="27"/>
      <c r="Y495" s="27"/>
      <c r="Z495" s="27"/>
    </row>
    <row r="496" hidden="1" customHeight="1" spans="1:26">
      <c r="A496" s="26">
        <v>466</v>
      </c>
      <c r="B496" s="26">
        <v>31</v>
      </c>
      <c r="C496" s="26" t="s">
        <v>815</v>
      </c>
      <c r="D496" s="26" t="s">
        <v>2716</v>
      </c>
      <c r="E496" s="26" t="s">
        <v>2893</v>
      </c>
      <c r="F496" s="26" t="str">
        <f t="shared" si="0"/>
        <v>Negative Traits Greek Origin</v>
      </c>
      <c r="G496" s="26">
        <f t="shared" si="1"/>
        <v>9</v>
      </c>
      <c r="H496" s="26" t="s">
        <v>3422</v>
      </c>
      <c r="I496" s="26"/>
      <c r="J496" s="26"/>
      <c r="K496" s="26"/>
      <c r="L496" s="26" t="str">
        <f t="shared" si="2"/>
        <v>E</v>
      </c>
      <c r="M496" s="26" t="str">
        <f>IFERROR(__xludf.DUMMYFUNCTION("GOOGLETRANSLATE(C496,""EN"",""KN"")"),"ವಿಲಕ್ಷಣ")</f>
        <v>ವಿಲಕ್ಷಣ</v>
      </c>
      <c r="N496" s="26">
        <f t="array" ref="N496">_xlfn.XLOOKUP(B496,'Sets Progress'!I:I,'Sets Progress'!I:I,"NOT YET")</f>
        <v>31</v>
      </c>
      <c r="O496" s="26" t="str">
        <f t="array" ref="O496">_xlfn.XLOOKUP(L:L,'Overall Progress'!L:L,'Overall Progress'!L:L,"NOT YET")</f>
        <v>NOT YET</v>
      </c>
      <c r="P496" s="26"/>
      <c r="Q496" s="26"/>
      <c r="R496" s="26"/>
      <c r="S496" s="26"/>
      <c r="T496" s="26"/>
      <c r="U496" s="26"/>
      <c r="V496" s="26"/>
      <c r="W496" s="26"/>
      <c r="X496" s="26"/>
      <c r="Y496" s="26"/>
      <c r="Z496" s="26"/>
    </row>
    <row r="497" hidden="1" customHeight="1" spans="1:26">
      <c r="A497" s="27">
        <v>496</v>
      </c>
      <c r="B497" s="27">
        <v>31</v>
      </c>
      <c r="C497" s="27" t="s">
        <v>845</v>
      </c>
      <c r="D497" s="27" t="s">
        <v>2946</v>
      </c>
      <c r="E497" s="27" t="s">
        <v>2889</v>
      </c>
      <c r="F497" s="27" t="str">
        <f t="shared" si="0"/>
        <v>Emotional Latin Origin</v>
      </c>
      <c r="G497" s="27">
        <f t="shared" si="1"/>
        <v>6</v>
      </c>
      <c r="H497" s="27" t="s">
        <v>3423</v>
      </c>
      <c r="I497" s="27"/>
      <c r="J497" s="27"/>
      <c r="K497" s="27"/>
      <c r="L497" s="27" t="str">
        <f t="shared" si="2"/>
        <v>E</v>
      </c>
      <c r="M497" s="27" t="str">
        <f>IFERROR(__xludf.DUMMYFUNCTION("GOOGLETRANSLATE(C497,""EN"",""KN"")"),"ಎನಾಮರ್")</f>
        <v>ಎನಾಮರ್</v>
      </c>
      <c r="N497" s="27">
        <f t="array" ref="N497">_xlfn.XLOOKUP(B497,'Sets Progress'!I:I,'Sets Progress'!I:I,"NOT YET")</f>
        <v>31</v>
      </c>
      <c r="O497" s="27" t="str">
        <f t="array" ref="O497">_xlfn.XLOOKUP(L:L,'Overall Progress'!L:L,'Overall Progress'!L:L,"NOT YET")</f>
        <v>NOT YET</v>
      </c>
      <c r="P497" s="27"/>
      <c r="Q497" s="27"/>
      <c r="R497" s="27"/>
      <c r="S497" s="27"/>
      <c r="T497" s="27"/>
      <c r="U497" s="27"/>
      <c r="V497" s="27"/>
      <c r="W497" s="27"/>
      <c r="X497" s="27"/>
      <c r="Y497" s="27"/>
      <c r="Z497" s="27"/>
    </row>
    <row r="498" hidden="1" customHeight="1" spans="1:26">
      <c r="A498" s="26">
        <v>713</v>
      </c>
      <c r="B498" s="26">
        <v>31</v>
      </c>
      <c r="C498" s="26" t="s">
        <v>1055</v>
      </c>
      <c r="D498" s="26" t="s">
        <v>1721</v>
      </c>
      <c r="E498" s="26" t="s">
        <v>2889</v>
      </c>
      <c r="F498" s="26" t="str">
        <f t="shared" si="0"/>
        <v>Temporal Latin Origin</v>
      </c>
      <c r="G498" s="26">
        <f t="shared" si="1"/>
        <v>8</v>
      </c>
      <c r="H498" s="26" t="s">
        <v>3424</v>
      </c>
      <c r="I498" s="26"/>
      <c r="J498" s="26"/>
      <c r="K498" s="26"/>
      <c r="L498" s="26" t="str">
        <f t="shared" si="2"/>
        <v>I</v>
      </c>
      <c r="M498" s="26" t="str">
        <f>IFERROR(__xludf.DUMMYFUNCTION("GOOGLETRANSLATE(C498,""EN"",""KN"")"),"ಸನ್ನಿಹಿತವಾಗಿದೆ")</f>
        <v>ಸನ್ನಿಹಿತವಾಗಿದೆ</v>
      </c>
      <c r="N498" s="26">
        <f t="array" ref="N498">_xlfn.XLOOKUP(B498,'Sets Progress'!I:I,'Sets Progress'!I:I,"NOT YET")</f>
        <v>31</v>
      </c>
      <c r="O498" s="26" t="str">
        <f t="array" ref="O498">_xlfn.XLOOKUP(L:L,'Overall Progress'!L:L,'Overall Progress'!L:L,"NOT YET")</f>
        <v>NOT YET</v>
      </c>
      <c r="P498" s="26"/>
      <c r="Q498" s="26"/>
      <c r="R498" s="26"/>
      <c r="S498" s="26"/>
      <c r="T498" s="26"/>
      <c r="U498" s="26"/>
      <c r="V498" s="26"/>
      <c r="W498" s="26"/>
      <c r="X498" s="26"/>
      <c r="Y498" s="26"/>
      <c r="Z498" s="26"/>
    </row>
    <row r="499" hidden="1" customHeight="1" spans="1:26">
      <c r="A499" s="27">
        <v>766</v>
      </c>
      <c r="B499" s="27">
        <v>31</v>
      </c>
      <c r="C499" s="27" t="s">
        <v>1107</v>
      </c>
      <c r="D499" s="27" t="s">
        <v>1721</v>
      </c>
      <c r="E499" s="27" t="s">
        <v>2889</v>
      </c>
      <c r="F499" s="27" t="str">
        <f t="shared" si="0"/>
        <v>Temporal Latin Origin</v>
      </c>
      <c r="G499" s="27">
        <f t="shared" si="1"/>
        <v>14</v>
      </c>
      <c r="H499" s="27" t="s">
        <v>3425</v>
      </c>
      <c r="I499" s="27"/>
      <c r="J499" s="27"/>
      <c r="K499" s="27"/>
      <c r="L499" s="27" t="str">
        <f t="shared" si="2"/>
        <v>I</v>
      </c>
      <c r="M499" s="27" t="str">
        <f>IFERROR(__xludf.DUMMYFUNCTION("GOOGLETRANSLATE(C499,""EN"",""KN"")"),"ವಿವೇಚನೆಯಿಲ್ಲದ")</f>
        <v>ವಿವೇಚನೆಯಿಲ್ಲದ</v>
      </c>
      <c r="N499" s="27">
        <f t="array" ref="N499">_xlfn.XLOOKUP(B499,'Sets Progress'!I:I,'Sets Progress'!I:I,"NOT YET")</f>
        <v>31</v>
      </c>
      <c r="O499" s="27" t="str">
        <f t="array" ref="O499">_xlfn.XLOOKUP(L:L,'Overall Progress'!L:L,'Overall Progress'!L:L,"NOT YET")</f>
        <v>NOT YET</v>
      </c>
      <c r="P499" s="27"/>
      <c r="Q499" s="27"/>
      <c r="R499" s="27"/>
      <c r="S499" s="27"/>
      <c r="T499" s="27"/>
      <c r="U499" s="27"/>
      <c r="V499" s="27"/>
      <c r="W499" s="27"/>
      <c r="X499" s="27"/>
      <c r="Y499" s="27"/>
      <c r="Z499" s="27"/>
    </row>
    <row r="500" hidden="1" customHeight="1" spans="1:26">
      <c r="A500" s="26">
        <v>805</v>
      </c>
      <c r="B500" s="26">
        <v>31</v>
      </c>
      <c r="C500" s="26" t="s">
        <v>1145</v>
      </c>
      <c r="D500" s="26" t="s">
        <v>1721</v>
      </c>
      <c r="E500" s="26" t="s">
        <v>2889</v>
      </c>
      <c r="F500" s="26" t="str">
        <f t="shared" si="0"/>
        <v>Temporal Latin Origin</v>
      </c>
      <c r="G500" s="26">
        <f t="shared" si="1"/>
        <v>12</v>
      </c>
      <c r="H500" s="26" t="s">
        <v>3426</v>
      </c>
      <c r="I500" s="26"/>
      <c r="J500" s="26"/>
      <c r="K500" s="26"/>
      <c r="L500" s="26" t="str">
        <f t="shared" si="2"/>
        <v>I</v>
      </c>
      <c r="M500" s="26" t="str">
        <f>IFERROR(__xludf.DUMMYFUNCTION("GOOGLETRANSLATE(C500,""EN"",""KN"")"),"ಮಧ್ಯಂತರ")</f>
        <v>ಮಧ್ಯಂತರ</v>
      </c>
      <c r="N500" s="26">
        <f t="array" ref="N500">_xlfn.XLOOKUP(B500,'Sets Progress'!I:I,'Sets Progress'!I:I,"NOT YET")</f>
        <v>31</v>
      </c>
      <c r="O500" s="26" t="str">
        <f t="array" ref="O500">_xlfn.XLOOKUP(L:L,'Overall Progress'!L:L,'Overall Progress'!L:L,"NOT YET")</f>
        <v>NOT YET</v>
      </c>
      <c r="P500" s="26"/>
      <c r="Q500" s="26"/>
      <c r="R500" s="26"/>
      <c r="S500" s="26"/>
      <c r="T500" s="26"/>
      <c r="U500" s="26"/>
      <c r="V500" s="26"/>
      <c r="W500" s="26"/>
      <c r="X500" s="26"/>
      <c r="Y500" s="26"/>
      <c r="Z500" s="26"/>
    </row>
    <row r="501" hidden="1" customHeight="1" spans="1:26">
      <c r="A501" s="27">
        <v>905</v>
      </c>
      <c r="B501" s="27">
        <v>31</v>
      </c>
      <c r="C501" s="27" t="s">
        <v>1242</v>
      </c>
      <c r="D501" s="27" t="s">
        <v>2716</v>
      </c>
      <c r="E501" s="27" t="s">
        <v>2889</v>
      </c>
      <c r="F501" s="27" t="str">
        <f t="shared" si="0"/>
        <v>Negative Traits Latin Origin</v>
      </c>
      <c r="G501" s="27">
        <f t="shared" si="1"/>
        <v>9</v>
      </c>
      <c r="H501" s="27" t="s">
        <v>3427</v>
      </c>
      <c r="I501" s="27"/>
      <c r="J501" s="27"/>
      <c r="K501" s="27"/>
      <c r="L501" s="27" t="str">
        <f t="shared" si="2"/>
        <v>M</v>
      </c>
      <c r="M501" s="27" t="str">
        <f>IFERROR(__xludf.DUMMYFUNCTION("GOOGLETRANSLATE(C501,""EN"",""KN"")"),"ಮೆಂಡಾಸಿಟಿ")</f>
        <v>ಮೆಂಡಾಸಿಟಿ</v>
      </c>
      <c r="N501" s="27">
        <f t="array" ref="N501">_xlfn.XLOOKUP(B501,'Sets Progress'!I:I,'Sets Progress'!I:I,"NOT YET")</f>
        <v>31</v>
      </c>
      <c r="O501" s="27" t="str">
        <f t="array" ref="O501">_xlfn.XLOOKUP(L:L,'Overall Progress'!L:L,'Overall Progress'!L:L,"NOT YET")</f>
        <v>NOT YET</v>
      </c>
      <c r="P501" s="27"/>
      <c r="Q501" s="27"/>
      <c r="R501" s="27"/>
      <c r="S501" s="27"/>
      <c r="T501" s="27"/>
      <c r="U501" s="27"/>
      <c r="V501" s="27"/>
      <c r="W501" s="27"/>
      <c r="X501" s="27"/>
      <c r="Y501" s="27"/>
      <c r="Z501" s="27"/>
    </row>
    <row r="502" hidden="1" customHeight="1" spans="1:26">
      <c r="A502" s="26">
        <v>928</v>
      </c>
      <c r="B502" s="26">
        <v>31</v>
      </c>
      <c r="C502" s="26" t="s">
        <v>1264</v>
      </c>
      <c r="D502" s="26" t="s">
        <v>2716</v>
      </c>
      <c r="E502" s="26" t="s">
        <v>2889</v>
      </c>
      <c r="F502" s="26" t="str">
        <f t="shared" si="0"/>
        <v>Negative Traits Latin Origin</v>
      </c>
      <c r="G502" s="26">
        <f t="shared" si="1"/>
        <v>7</v>
      </c>
      <c r="H502" s="26" t="s">
        <v>3428</v>
      </c>
      <c r="I502" s="26"/>
      <c r="J502" s="26"/>
      <c r="K502" s="26"/>
      <c r="L502" s="26" t="str">
        <f t="shared" si="2"/>
        <v>M</v>
      </c>
      <c r="M502" s="26" t="str">
        <f>IFERROR(__xludf.DUMMYFUNCTION("GOOGLETRANSLATE(C502,""EN"",""KN"")"),"ಮೊರ್ಡೆಂಟ್")</f>
        <v>ಮೊರ್ಡೆಂಟ್</v>
      </c>
      <c r="N502" s="26">
        <f t="array" ref="N502">_xlfn.XLOOKUP(B502,'Sets Progress'!I:I,'Sets Progress'!I:I,"NOT YET")</f>
        <v>31</v>
      </c>
      <c r="O502" s="26" t="str">
        <f t="array" ref="O502">_xlfn.XLOOKUP(L:L,'Overall Progress'!L:L,'Overall Progress'!L:L,"NOT YET")</f>
        <v>NOT YET</v>
      </c>
      <c r="P502" s="26"/>
      <c r="Q502" s="26"/>
      <c r="R502" s="26"/>
      <c r="S502" s="26"/>
      <c r="T502" s="26"/>
      <c r="U502" s="26"/>
      <c r="V502" s="26"/>
      <c r="W502" s="26"/>
      <c r="X502" s="26"/>
      <c r="Y502" s="26"/>
      <c r="Z502" s="26"/>
    </row>
    <row r="503" hidden="1" customHeight="1" spans="1:26">
      <c r="A503" s="27">
        <v>946</v>
      </c>
      <c r="B503" s="27">
        <v>31</v>
      </c>
      <c r="C503" s="27" t="s">
        <v>1282</v>
      </c>
      <c r="D503" s="27" t="s">
        <v>1721</v>
      </c>
      <c r="E503" s="27" t="s">
        <v>2889</v>
      </c>
      <c r="F503" s="27" t="str">
        <f t="shared" si="0"/>
        <v>Temporal Latin Origin</v>
      </c>
      <c r="G503" s="27">
        <f t="shared" si="1"/>
        <v>11</v>
      </c>
      <c r="H503" s="27" t="s">
        <v>3429</v>
      </c>
      <c r="I503" s="27"/>
      <c r="J503" s="27"/>
      <c r="K503" s="27"/>
      <c r="L503" s="27" t="str">
        <f t="shared" si="2"/>
        <v>N</v>
      </c>
      <c r="M503" s="27" t="str">
        <f>IFERROR(__xludf.DUMMYFUNCTION("GOOGLETRANSLATE(C503,""EN"",""KN"")"),"ಅಗತ್ಯಪಡಿಸಿ")</f>
        <v>ಅಗತ್ಯಪಡಿಸಿ</v>
      </c>
      <c r="N503" s="27">
        <f t="array" ref="N503">_xlfn.XLOOKUP(B503,'Sets Progress'!I:I,'Sets Progress'!I:I,"NOT YET")</f>
        <v>31</v>
      </c>
      <c r="O503" s="27" t="str">
        <f t="array" ref="O503">_xlfn.XLOOKUP(L:L,'Overall Progress'!L:L,'Overall Progress'!L:L,"NOT YET")</f>
        <v>NOT YET</v>
      </c>
      <c r="P503" s="27"/>
      <c r="Q503" s="27"/>
      <c r="R503" s="27"/>
      <c r="S503" s="27"/>
      <c r="T503" s="27"/>
      <c r="U503" s="27"/>
      <c r="V503" s="27"/>
      <c r="W503" s="27"/>
      <c r="X503" s="27"/>
      <c r="Y503" s="27"/>
      <c r="Z503" s="27"/>
    </row>
    <row r="504" hidden="1" customHeight="1" spans="1:26">
      <c r="A504" s="26">
        <v>1052</v>
      </c>
      <c r="B504" s="26">
        <v>31</v>
      </c>
      <c r="C504" s="26" t="s">
        <v>1387</v>
      </c>
      <c r="D504" s="26" t="s">
        <v>2717</v>
      </c>
      <c r="E504" s="26" t="s">
        <v>2889</v>
      </c>
      <c r="F504" s="26" t="str">
        <f t="shared" si="0"/>
        <v>Positive Traits Latin Origin</v>
      </c>
      <c r="G504" s="26">
        <f t="shared" si="1"/>
        <v>9</v>
      </c>
      <c r="H504" s="26" t="s">
        <v>3430</v>
      </c>
      <c r="I504" s="26"/>
      <c r="J504" s="26"/>
      <c r="K504" s="26"/>
      <c r="L504" s="26" t="str">
        <f t="shared" si="2"/>
        <v>P</v>
      </c>
      <c r="M504" s="26" t="str">
        <f>IFERROR(__xludf.DUMMYFUNCTION("GOOGLETRANSLATE(C504,""EN"",""KN"")"),"ವ್ಯಕ್ತಿಗತಗೊಳಿಸಿ")</f>
        <v>ವ್ಯಕ್ತಿಗತಗೊಳಿಸಿ</v>
      </c>
      <c r="N504" s="26">
        <f t="array" ref="N504">_xlfn.XLOOKUP(B504,'Sets Progress'!I:I,'Sets Progress'!I:I,"NOT YET")</f>
        <v>31</v>
      </c>
      <c r="O504" s="26" t="str">
        <f t="array" ref="O504">_xlfn.XLOOKUP(L:L,'Overall Progress'!L:L,'Overall Progress'!L:L,"NOT YET")</f>
        <v>NOT YET</v>
      </c>
      <c r="P504" s="26"/>
      <c r="Q504" s="26"/>
      <c r="R504" s="26"/>
      <c r="S504" s="26"/>
      <c r="T504" s="26"/>
      <c r="U504" s="26"/>
      <c r="V504" s="26"/>
      <c r="W504" s="26"/>
      <c r="X504" s="26"/>
      <c r="Y504" s="26"/>
      <c r="Z504" s="26"/>
    </row>
    <row r="505" hidden="1" customHeight="1" spans="1:26">
      <c r="A505" s="27">
        <v>1071</v>
      </c>
      <c r="B505" s="27">
        <v>31</v>
      </c>
      <c r="C505" s="27" t="s">
        <v>1406</v>
      </c>
      <c r="D505" s="27" t="s">
        <v>2716</v>
      </c>
      <c r="E505" s="27" t="s">
        <v>2889</v>
      </c>
      <c r="F505" s="27" t="str">
        <f t="shared" si="0"/>
        <v>Negative Traits Latin Origin</v>
      </c>
      <c r="G505" s="27">
        <f t="shared" si="1"/>
        <v>9</v>
      </c>
      <c r="H505" s="27" t="s">
        <v>3431</v>
      </c>
      <c r="I505" s="27"/>
      <c r="J505" s="27"/>
      <c r="K505" s="27"/>
      <c r="L505" s="27" t="str">
        <f t="shared" si="2"/>
        <v>P</v>
      </c>
      <c r="M505" s="27" t="str">
        <f>IFERROR(__xludf.DUMMYFUNCTION("GOOGLETRANSLATE(C505,""EN"",""KN"")"),"ವಾದಿ")</f>
        <v>ವಾದಿ</v>
      </c>
      <c r="N505" s="27">
        <f t="array" ref="N505">_xlfn.XLOOKUP(B505,'Sets Progress'!I:I,'Sets Progress'!I:I,"NOT YET")</f>
        <v>31</v>
      </c>
      <c r="O505" s="27" t="str">
        <f t="array" ref="O505">_xlfn.XLOOKUP(L:L,'Overall Progress'!L:L,'Overall Progress'!L:L,"NOT YET")</f>
        <v>NOT YET</v>
      </c>
      <c r="P505" s="27"/>
      <c r="Q505" s="27"/>
      <c r="R505" s="27"/>
      <c r="S505" s="27"/>
      <c r="T505" s="27"/>
      <c r="U505" s="27"/>
      <c r="V505" s="27"/>
      <c r="W505" s="27"/>
      <c r="X505" s="27"/>
      <c r="Y505" s="27"/>
      <c r="Z505" s="27"/>
    </row>
    <row r="506" hidden="1" customHeight="1" spans="1:26">
      <c r="A506" s="26">
        <v>1078</v>
      </c>
      <c r="B506" s="26">
        <v>31</v>
      </c>
      <c r="C506" s="26" t="s">
        <v>1413</v>
      </c>
      <c r="D506" s="26" t="s">
        <v>2717</v>
      </c>
      <c r="E506" s="26" t="s">
        <v>2921</v>
      </c>
      <c r="F506" s="26" t="str">
        <f t="shared" si="0"/>
        <v>Positive Traits Unknown Origin</v>
      </c>
      <c r="G506" s="26">
        <f t="shared" si="1"/>
        <v>6</v>
      </c>
      <c r="H506" s="26" t="s">
        <v>3432</v>
      </c>
      <c r="I506" s="26"/>
      <c r="J506" s="26"/>
      <c r="K506" s="26"/>
      <c r="L506" s="26" t="str">
        <f t="shared" si="2"/>
        <v>P</v>
      </c>
      <c r="M506" s="26" t="str">
        <f>IFERROR(__xludf.DUMMYFUNCTION("GOOGLETRANSLATE(C506,""EN"",""KN"")"),"ಪ್ಲಕ್ಕಿ")</f>
        <v>ಪ್ಲಕ್ಕಿ</v>
      </c>
      <c r="N506" s="26">
        <f t="array" ref="N506">_xlfn.XLOOKUP(B506,'Sets Progress'!I:I,'Sets Progress'!I:I,"NOT YET")</f>
        <v>31</v>
      </c>
      <c r="O506" s="26" t="str">
        <f t="array" ref="O506">_xlfn.XLOOKUP(L:L,'Overall Progress'!L:L,'Overall Progress'!L:L,"NOT YET")</f>
        <v>NOT YET</v>
      </c>
      <c r="P506" s="26"/>
      <c r="Q506" s="26"/>
      <c r="R506" s="26"/>
      <c r="S506" s="26"/>
      <c r="T506" s="26"/>
      <c r="U506" s="26"/>
      <c r="V506" s="26"/>
      <c r="W506" s="26"/>
      <c r="X506" s="26"/>
      <c r="Y506" s="26"/>
      <c r="Z506" s="26"/>
    </row>
    <row r="507" hidden="1" customHeight="1" spans="1:26">
      <c r="A507" s="27">
        <v>1203</v>
      </c>
      <c r="B507" s="27">
        <v>31</v>
      </c>
      <c r="C507" s="27" t="s">
        <v>1534</v>
      </c>
      <c r="D507" s="27" t="s">
        <v>1721</v>
      </c>
      <c r="E507" s="27" t="s">
        <v>2889</v>
      </c>
      <c r="F507" s="27" t="str">
        <f t="shared" si="0"/>
        <v>Temporal Latin Origin</v>
      </c>
      <c r="G507" s="27">
        <f t="shared" si="1"/>
        <v>12</v>
      </c>
      <c r="H507" s="27" t="s">
        <v>3433</v>
      </c>
      <c r="I507" s="27"/>
      <c r="J507" s="27"/>
      <c r="K507" s="27"/>
      <c r="L507" s="27" t="str">
        <f t="shared" si="2"/>
        <v>R</v>
      </c>
      <c r="M507" s="27" t="str">
        <f>IFERROR(__xludf.DUMMYFUNCTION("GOOGLETRANSLATE(C507,""EN"",""KN"")"),"ಸಂಭಾವನೆ")</f>
        <v>ಸಂಭಾವನೆ</v>
      </c>
      <c r="N507" s="27">
        <f t="array" ref="N507">_xlfn.XLOOKUP(B507,'Sets Progress'!I:I,'Sets Progress'!I:I,"NOT YET")</f>
        <v>31</v>
      </c>
      <c r="O507" s="27" t="str">
        <f t="array" ref="O507">_xlfn.XLOOKUP(L:L,'Overall Progress'!L:L,'Overall Progress'!L:L,"NOT YET")</f>
        <v>NOT YET</v>
      </c>
      <c r="P507" s="27"/>
      <c r="Q507" s="27"/>
      <c r="R507" s="27"/>
      <c r="S507" s="27"/>
      <c r="T507" s="27"/>
      <c r="U507" s="27"/>
      <c r="V507" s="27"/>
      <c r="W507" s="27"/>
      <c r="X507" s="27"/>
      <c r="Y507" s="27"/>
      <c r="Z507" s="27"/>
    </row>
    <row r="508" hidden="1" customHeight="1" spans="1:26">
      <c r="A508" s="26">
        <v>1285</v>
      </c>
      <c r="B508" s="26">
        <v>31</v>
      </c>
      <c r="C508" s="26" t="s">
        <v>1616</v>
      </c>
      <c r="D508" s="26" t="s">
        <v>2717</v>
      </c>
      <c r="E508" s="26" t="s">
        <v>2896</v>
      </c>
      <c r="F508" s="26" t="str">
        <f t="shared" si="0"/>
        <v>Positive Traits Old French Origin</v>
      </c>
      <c r="G508" s="26">
        <f t="shared" si="1"/>
        <v>8</v>
      </c>
      <c r="H508" s="26" t="s">
        <v>3434</v>
      </c>
      <c r="I508" s="26"/>
      <c r="J508" s="26"/>
      <c r="K508" s="26"/>
      <c r="L508" s="26" t="str">
        <f t="shared" si="2"/>
        <v>S</v>
      </c>
      <c r="M508" s="26" t="str">
        <f>IFERROR(__xludf.DUMMYFUNCTION("GOOGLETRANSLATE(C508,""EN"",""KN"")"),"ಏಕವಚನ")</f>
        <v>ಏಕವಚನ</v>
      </c>
      <c r="N508" s="26">
        <f t="array" ref="N508">_xlfn.XLOOKUP(B508,'Sets Progress'!I:I,'Sets Progress'!I:I,"NOT YET")</f>
        <v>31</v>
      </c>
      <c r="O508" s="26" t="str">
        <f t="array" ref="O508">_xlfn.XLOOKUP(L:L,'Overall Progress'!L:L,'Overall Progress'!L:L,"NOT YET")</f>
        <v>NOT YET</v>
      </c>
      <c r="P508" s="26"/>
      <c r="Q508" s="26"/>
      <c r="R508" s="26"/>
      <c r="S508" s="26"/>
      <c r="T508" s="26"/>
      <c r="U508" s="26"/>
      <c r="V508" s="26"/>
      <c r="W508" s="26"/>
      <c r="X508" s="26"/>
      <c r="Y508" s="26"/>
      <c r="Z508" s="26"/>
    </row>
    <row r="509" hidden="1" customHeight="1" spans="1:26">
      <c r="A509" s="27">
        <v>1290</v>
      </c>
      <c r="B509" s="27">
        <v>31</v>
      </c>
      <c r="C509" s="27" t="s">
        <v>1621</v>
      </c>
      <c r="D509" s="27" t="s">
        <v>2716</v>
      </c>
      <c r="E509" s="27" t="s">
        <v>2921</v>
      </c>
      <c r="F509" s="27" t="str">
        <f t="shared" si="0"/>
        <v>Negative Traits Unknown Origin</v>
      </c>
      <c r="G509" s="27">
        <f t="shared" si="1"/>
        <v>8</v>
      </c>
      <c r="H509" s="27" t="s">
        <v>3435</v>
      </c>
      <c r="I509" s="27"/>
      <c r="J509" s="27"/>
      <c r="K509" s="27"/>
      <c r="L509" s="27" t="str">
        <f t="shared" si="2"/>
        <v>S</v>
      </c>
      <c r="M509" s="27" t="str">
        <f>IFERROR(__xludf.DUMMYFUNCTION("GOOGLETRANSLATE(C509,""EN"",""KN"")"),"ಸ್ಕಿಟ್ಟಿಶ್")</f>
        <v>ಸ್ಕಿಟ್ಟಿಶ್</v>
      </c>
      <c r="N509" s="27">
        <f t="array" ref="N509">_xlfn.XLOOKUP(B509,'Sets Progress'!I:I,'Sets Progress'!I:I,"NOT YET")</f>
        <v>31</v>
      </c>
      <c r="O509" s="27" t="str">
        <f t="array" ref="O509">_xlfn.XLOOKUP(L:L,'Overall Progress'!L:L,'Overall Progress'!L:L,"NOT YET")</f>
        <v>NOT YET</v>
      </c>
      <c r="P509" s="27"/>
      <c r="Q509" s="27"/>
      <c r="R509" s="27"/>
      <c r="S509" s="27"/>
      <c r="T509" s="27"/>
      <c r="U509" s="27"/>
      <c r="V509" s="27"/>
      <c r="W509" s="27"/>
      <c r="X509" s="27"/>
      <c r="Y509" s="27"/>
      <c r="Z509" s="27"/>
    </row>
    <row r="510" hidden="1" customHeight="1" spans="1:26">
      <c r="A510" s="26">
        <v>1299</v>
      </c>
      <c r="B510" s="26">
        <v>31</v>
      </c>
      <c r="C510" s="26" t="s">
        <v>1630</v>
      </c>
      <c r="D510" s="26" t="s">
        <v>2717</v>
      </c>
      <c r="E510" s="26" t="s">
        <v>2908</v>
      </c>
      <c r="F510" s="26" t="str">
        <f t="shared" si="0"/>
        <v>Positive Traits Old English Origin</v>
      </c>
      <c r="G510" s="26">
        <f t="shared" si="1"/>
        <v>5</v>
      </c>
      <c r="H510" s="26" t="s">
        <v>3436</v>
      </c>
      <c r="I510" s="26"/>
      <c r="J510" s="26"/>
      <c r="K510" s="26"/>
      <c r="L510" s="26" t="str">
        <f t="shared" si="2"/>
        <v>S</v>
      </c>
      <c r="M510" s="26" t="str">
        <f>IFERROR(__xludf.DUMMYFUNCTION("GOOGLETRANSLATE(C510,""EN"",""KN"")"),"ಸಮಚಿತ್ತ")</f>
        <v>ಸಮಚಿತ್ತ</v>
      </c>
      <c r="N510" s="26">
        <f t="array" ref="N510">_xlfn.XLOOKUP(B510,'Sets Progress'!I:I,'Sets Progress'!I:I,"NOT YET")</f>
        <v>31</v>
      </c>
      <c r="O510" s="26" t="str">
        <f t="array" ref="O510">_xlfn.XLOOKUP(L:L,'Overall Progress'!L:L,'Overall Progress'!L:L,"NOT YET")</f>
        <v>NOT YET</v>
      </c>
      <c r="P510" s="26"/>
      <c r="Q510" s="26"/>
      <c r="R510" s="26"/>
      <c r="S510" s="26"/>
      <c r="T510" s="26"/>
      <c r="U510" s="26"/>
      <c r="V510" s="26"/>
      <c r="W510" s="26"/>
      <c r="X510" s="26"/>
      <c r="Y510" s="26"/>
      <c r="Z510" s="26"/>
    </row>
    <row r="511" hidden="1" customHeight="1" spans="1:26">
      <c r="A511" s="27">
        <v>151</v>
      </c>
      <c r="B511" s="27">
        <v>32</v>
      </c>
      <c r="C511" s="27" t="s">
        <v>500</v>
      </c>
      <c r="D511" s="27" t="s">
        <v>2716</v>
      </c>
      <c r="E511" s="27" t="s">
        <v>2908</v>
      </c>
      <c r="F511" s="27" t="str">
        <f t="shared" si="0"/>
        <v>Negative Traits Old English Origin</v>
      </c>
      <c r="G511" s="27">
        <f t="shared" si="1"/>
        <v>8</v>
      </c>
      <c r="H511" s="27" t="s">
        <v>3437</v>
      </c>
      <c r="I511" s="27"/>
      <c r="J511" s="27"/>
      <c r="K511" s="27"/>
      <c r="L511" s="27" t="str">
        <f t="shared" si="2"/>
        <v>B</v>
      </c>
      <c r="M511" s="27" t="str">
        <f>IFERROR(__xludf.DUMMYFUNCTION("GOOGLETRANSLATE(C511,""EN"",""KN"")"),"ಮೂಲತನ")</f>
        <v>ಮೂಲತನ</v>
      </c>
      <c r="N511" s="27">
        <f t="array" ref="N511">_xlfn.XLOOKUP(B511,'Sets Progress'!I:I,'Sets Progress'!I:I,"NOT YET")</f>
        <v>32</v>
      </c>
      <c r="O511" s="27" t="str">
        <f t="array" ref="O511">_xlfn.XLOOKUP(L:L,'Overall Progress'!L:L,'Overall Progress'!L:L,"NOT YET")</f>
        <v>NOT YET</v>
      </c>
      <c r="P511" s="27"/>
      <c r="Q511" s="27"/>
      <c r="R511" s="27"/>
      <c r="S511" s="27"/>
      <c r="T511" s="27"/>
      <c r="U511" s="27"/>
      <c r="V511" s="27"/>
      <c r="W511" s="27"/>
      <c r="X511" s="27"/>
      <c r="Y511" s="27"/>
      <c r="Z511" s="27"/>
    </row>
    <row r="512" hidden="1" customHeight="1" spans="1:26">
      <c r="A512" s="26">
        <v>343</v>
      </c>
      <c r="B512" s="26">
        <v>32</v>
      </c>
      <c r="C512" s="26" t="s">
        <v>693</v>
      </c>
      <c r="D512" s="26" t="s">
        <v>2946</v>
      </c>
      <c r="E512" s="26" t="s">
        <v>2896</v>
      </c>
      <c r="F512" s="26" t="str">
        <f t="shared" si="0"/>
        <v>Emotional Old French Origin</v>
      </c>
      <c r="G512" s="26">
        <f t="shared" si="1"/>
        <v>8</v>
      </c>
      <c r="H512" s="26" t="s">
        <v>3438</v>
      </c>
      <c r="I512" s="26"/>
      <c r="J512" s="26"/>
      <c r="K512" s="26"/>
      <c r="L512" s="26" t="str">
        <f t="shared" si="2"/>
        <v>D</v>
      </c>
      <c r="M512" s="26" t="str">
        <f>IFERROR(__xludf.DUMMYFUNCTION("GOOGLETRANSLATE(C512,""EN"",""KN"")"),"ಬೆದರಿಸುವ")</f>
        <v>ಬೆದರಿಸುವ</v>
      </c>
      <c r="N512" s="26">
        <f t="array" ref="N512">_xlfn.XLOOKUP(B512,'Sets Progress'!I:I,'Sets Progress'!I:I,"NOT YET")</f>
        <v>32</v>
      </c>
      <c r="O512" s="26" t="str">
        <f t="array" ref="O512">_xlfn.XLOOKUP(L:L,'Overall Progress'!L:L,'Overall Progress'!L:L,"NOT YET")</f>
        <v>NOT YET</v>
      </c>
      <c r="P512" s="26"/>
      <c r="Q512" s="26"/>
      <c r="R512" s="26"/>
      <c r="S512" s="26"/>
      <c r="T512" s="26"/>
      <c r="U512" s="26"/>
      <c r="V512" s="26"/>
      <c r="W512" s="26"/>
      <c r="X512" s="26"/>
      <c r="Y512" s="26"/>
      <c r="Z512" s="26"/>
    </row>
    <row r="513" hidden="1" customHeight="1" spans="1:26">
      <c r="A513" s="27">
        <v>428</v>
      </c>
      <c r="B513" s="27">
        <v>32</v>
      </c>
      <c r="C513" s="27" t="s">
        <v>777</v>
      </c>
      <c r="D513" s="27" t="s">
        <v>1721</v>
      </c>
      <c r="E513" s="27" t="s">
        <v>2896</v>
      </c>
      <c r="F513" s="27" t="str">
        <f t="shared" si="0"/>
        <v>Temporal Old French Origin</v>
      </c>
      <c r="G513" s="27">
        <f t="shared" si="1"/>
        <v>9</v>
      </c>
      <c r="H513" s="27" t="s">
        <v>3439</v>
      </c>
      <c r="I513" s="27"/>
      <c r="J513" s="27"/>
      <c r="K513" s="27"/>
      <c r="L513" s="27" t="str">
        <f t="shared" si="2"/>
        <v>D</v>
      </c>
      <c r="M513" s="27" t="str">
        <f>IFERROR(__xludf.DUMMYFUNCTION("GOOGLETRANSLATE(C513,""EN"",""KN"")"),"ಕಿತ್ತುಹಾಕು")</f>
        <v>ಕಿತ್ತುಹಾಕು</v>
      </c>
      <c r="N513" s="27">
        <f t="array" ref="N513">_xlfn.XLOOKUP(B513,'Sets Progress'!I:I,'Sets Progress'!I:I,"NOT YET")</f>
        <v>32</v>
      </c>
      <c r="O513" s="27" t="str">
        <f t="array" ref="O513">_xlfn.XLOOKUP(L:L,'Overall Progress'!L:L,'Overall Progress'!L:L,"NOT YET")</f>
        <v>NOT YET</v>
      </c>
      <c r="P513" s="27"/>
      <c r="Q513" s="27"/>
      <c r="R513" s="27"/>
      <c r="S513" s="27"/>
      <c r="T513" s="27"/>
      <c r="U513" s="27"/>
      <c r="V513" s="27"/>
      <c r="W513" s="27"/>
      <c r="X513" s="27"/>
      <c r="Y513" s="27"/>
      <c r="Z513" s="27"/>
    </row>
    <row r="514" hidden="1" customHeight="1" spans="1:26">
      <c r="A514" s="26">
        <v>621</v>
      </c>
      <c r="B514" s="26">
        <v>32</v>
      </c>
      <c r="C514" s="26" t="s">
        <v>965</v>
      </c>
      <c r="D514" s="26" t="s">
        <v>1721</v>
      </c>
      <c r="E514" s="26" t="s">
        <v>2908</v>
      </c>
      <c r="F514" s="26" t="str">
        <f t="shared" si="0"/>
        <v>Temporal Old English Origin</v>
      </c>
      <c r="G514" s="26">
        <f t="shared" si="1"/>
        <v>11</v>
      </c>
      <c r="H514" s="26" t="s">
        <v>3440</v>
      </c>
      <c r="I514" s="26"/>
      <c r="J514" s="26"/>
      <c r="K514" s="26"/>
      <c r="L514" s="26" t="str">
        <f t="shared" si="2"/>
        <v>F</v>
      </c>
      <c r="M514" s="26" t="str">
        <f>IFERROR(__xludf.DUMMYFUNCTION("GOOGLETRANSLATE(C514,""EN"",""KN"")"),"ನಿರೀಕ್ಷಿತ")</f>
        <v>ನಿರೀಕ್ಷಿತ</v>
      </c>
      <c r="N514" s="26">
        <f t="array" ref="N514">_xlfn.XLOOKUP(B514,'Sets Progress'!I:I,'Sets Progress'!I:I,"NOT YET")</f>
        <v>32</v>
      </c>
      <c r="O514" s="26" t="str">
        <f t="array" ref="O514">_xlfn.XLOOKUP(L:L,'Overall Progress'!L:L,'Overall Progress'!L:L,"NOT YET")</f>
        <v>NOT YET</v>
      </c>
      <c r="P514" s="26"/>
      <c r="Q514" s="26"/>
      <c r="R514" s="26"/>
      <c r="S514" s="26"/>
      <c r="T514" s="26"/>
      <c r="U514" s="26"/>
      <c r="V514" s="26"/>
      <c r="W514" s="26"/>
      <c r="X514" s="26"/>
      <c r="Y514" s="26"/>
      <c r="Z514" s="26"/>
    </row>
    <row r="515" hidden="1" customHeight="1" spans="1:26">
      <c r="A515" s="27">
        <v>647</v>
      </c>
      <c r="B515" s="27">
        <v>32</v>
      </c>
      <c r="C515" s="27" t="s">
        <v>991</v>
      </c>
      <c r="D515" s="27" t="s">
        <v>1721</v>
      </c>
      <c r="E515" s="27" t="s">
        <v>2908</v>
      </c>
      <c r="F515" s="27" t="str">
        <f t="shared" si="0"/>
        <v>Temporal Old English Origin</v>
      </c>
      <c r="G515" s="27">
        <f t="shared" si="1"/>
        <v>5</v>
      </c>
      <c r="H515" s="27" t="s">
        <v>3441</v>
      </c>
      <c r="I515" s="27"/>
      <c r="J515" s="27"/>
      <c r="K515" s="27"/>
      <c r="L515" s="27" t="str">
        <f t="shared" si="2"/>
        <v>G</v>
      </c>
      <c r="M515" s="27" t="str">
        <f>IFERROR(__xludf.DUMMYFUNCTION("GOOGLETRANSLATE(C515,""EN"",""KN"")"),"ಆಟಗಳು")</f>
        <v>ಆಟಗಳು</v>
      </c>
      <c r="N515" s="27">
        <f t="array" ref="N515">_xlfn.XLOOKUP(B515,'Sets Progress'!I:I,'Sets Progress'!I:I,"NOT YET")</f>
        <v>32</v>
      </c>
      <c r="O515" s="27" t="str">
        <f t="array" ref="O515">_xlfn.XLOOKUP(L:L,'Overall Progress'!L:L,'Overall Progress'!L:L,"NOT YET")</f>
        <v>NOT YET</v>
      </c>
      <c r="P515" s="27"/>
      <c r="Q515" s="27"/>
      <c r="R515" s="27"/>
      <c r="S515" s="27"/>
      <c r="T515" s="27"/>
      <c r="U515" s="27"/>
      <c r="V515" s="27"/>
      <c r="W515" s="27"/>
      <c r="X515" s="27"/>
      <c r="Y515" s="27"/>
      <c r="Z515" s="27"/>
    </row>
    <row r="516" hidden="1" customHeight="1" spans="1:26">
      <c r="A516" s="26">
        <v>678</v>
      </c>
      <c r="B516" s="26">
        <v>32</v>
      </c>
      <c r="C516" s="26" t="s">
        <v>1020</v>
      </c>
      <c r="D516" s="26" t="s">
        <v>2717</v>
      </c>
      <c r="E516" s="26" t="s">
        <v>2893</v>
      </c>
      <c r="F516" s="26" t="str">
        <f t="shared" si="0"/>
        <v>Positive Traits Greek Origin</v>
      </c>
      <c r="G516" s="26">
        <f t="shared" si="1"/>
        <v>10</v>
      </c>
      <c r="H516" s="26" t="s">
        <v>3442</v>
      </c>
      <c r="I516" s="26"/>
      <c r="J516" s="26"/>
      <c r="K516" s="26"/>
      <c r="L516" s="26" t="str">
        <f t="shared" si="2"/>
        <v>H</v>
      </c>
      <c r="M516" s="26" t="str">
        <f>IFERROR(__xludf.DUMMYFUNCTION("GOOGLETRANSLATE(C516,""EN"",""KN"")"),"ಸಾಮರಸ್ಯ")</f>
        <v>ಸಾಮರಸ್ಯ</v>
      </c>
      <c r="N516" s="26">
        <f t="array" ref="N516">_xlfn.XLOOKUP(B516,'Sets Progress'!I:I,'Sets Progress'!I:I,"NOT YET")</f>
        <v>32</v>
      </c>
      <c r="O516" s="26" t="str">
        <f t="array" ref="O516">_xlfn.XLOOKUP(L:L,'Overall Progress'!L:L,'Overall Progress'!L:L,"NOT YET")</f>
        <v>NOT YET</v>
      </c>
      <c r="P516" s="26"/>
      <c r="Q516" s="26"/>
      <c r="R516" s="26"/>
      <c r="S516" s="26"/>
      <c r="T516" s="26"/>
      <c r="U516" s="26"/>
      <c r="V516" s="26"/>
      <c r="W516" s="26"/>
      <c r="X516" s="26"/>
      <c r="Y516" s="26"/>
      <c r="Z516" s="26"/>
    </row>
    <row r="517" hidden="1" customHeight="1" spans="1:26">
      <c r="A517" s="27">
        <v>759</v>
      </c>
      <c r="B517" s="27">
        <v>32</v>
      </c>
      <c r="C517" s="27" t="s">
        <v>1100</v>
      </c>
      <c r="D517" s="27" t="s">
        <v>1721</v>
      </c>
      <c r="E517" s="27" t="s">
        <v>2889</v>
      </c>
      <c r="F517" s="27" t="str">
        <f t="shared" si="0"/>
        <v>Temporal Latin Origin</v>
      </c>
      <c r="G517" s="27">
        <f t="shared" si="1"/>
        <v>9</v>
      </c>
      <c r="H517" s="27" t="s">
        <v>3443</v>
      </c>
      <c r="I517" s="27"/>
      <c r="J517" s="27"/>
      <c r="K517" s="27"/>
      <c r="L517" s="27" t="str">
        <f t="shared" si="2"/>
        <v>I</v>
      </c>
      <c r="M517" s="27" t="str">
        <f>IFERROR(__xludf.DUMMYFUNCTION("GOOGLETRANSLATE(C517,""EN"",""KN"")"),"ಪರಿಹಾರ ಕೊಡು")</f>
        <v>ಪರಿಹಾರ ಕೊಡು</v>
      </c>
      <c r="N517" s="27">
        <f t="array" ref="N517">_xlfn.XLOOKUP(B517,'Sets Progress'!I:I,'Sets Progress'!I:I,"NOT YET")</f>
        <v>32</v>
      </c>
      <c r="O517" s="27" t="str">
        <f t="array" ref="O517">_xlfn.XLOOKUP(L:L,'Overall Progress'!L:L,'Overall Progress'!L:L,"NOT YET")</f>
        <v>NOT YET</v>
      </c>
      <c r="P517" s="27"/>
      <c r="Q517" s="27"/>
      <c r="R517" s="27"/>
      <c r="S517" s="27"/>
      <c r="T517" s="27"/>
      <c r="U517" s="27"/>
      <c r="V517" s="27"/>
      <c r="W517" s="27"/>
      <c r="X517" s="27"/>
      <c r="Y517" s="27"/>
      <c r="Z517" s="27"/>
    </row>
    <row r="518" hidden="1" customHeight="1" spans="1:26">
      <c r="A518" s="26">
        <v>864</v>
      </c>
      <c r="B518" s="26">
        <v>32</v>
      </c>
      <c r="C518" s="26" t="s">
        <v>1204</v>
      </c>
      <c r="D518" s="26" t="s">
        <v>1721</v>
      </c>
      <c r="E518" s="26" t="s">
        <v>2889</v>
      </c>
      <c r="F518" s="26" t="str">
        <f t="shared" si="0"/>
        <v>Temporal Latin Origin</v>
      </c>
      <c r="G518" s="26">
        <f t="shared" si="1"/>
        <v>6</v>
      </c>
      <c r="H518" s="26" t="s">
        <v>3444</v>
      </c>
      <c r="I518" s="26"/>
      <c r="J518" s="26"/>
      <c r="K518" s="26"/>
      <c r="L518" s="26" t="str">
        <f t="shared" si="2"/>
        <v>L</v>
      </c>
      <c r="M518" s="26" t="str">
        <f>IFERROR(__xludf.DUMMYFUNCTION("GOOGLETRANSLATE(C518,""EN"",""KN"")"),"ಲಿಂಪಿಡ್")</f>
        <v>ಲಿಂಪಿಡ್</v>
      </c>
      <c r="N518" s="26">
        <f t="array" ref="N518">_xlfn.XLOOKUP(B518,'Sets Progress'!I:I,'Sets Progress'!I:I,"NOT YET")</f>
        <v>32</v>
      </c>
      <c r="O518" s="26" t="str">
        <f t="array" ref="O518">_xlfn.XLOOKUP(L:L,'Overall Progress'!L:L,'Overall Progress'!L:L,"NOT YET")</f>
        <v>NOT YET</v>
      </c>
      <c r="P518" s="26"/>
      <c r="Q518" s="26"/>
      <c r="R518" s="26"/>
      <c r="S518" s="26"/>
      <c r="T518" s="26"/>
      <c r="U518" s="26"/>
      <c r="V518" s="26"/>
      <c r="W518" s="26"/>
      <c r="X518" s="26"/>
      <c r="Y518" s="26"/>
      <c r="Z518" s="26"/>
    </row>
    <row r="519" hidden="1" customHeight="1" spans="1:26">
      <c r="A519" s="27">
        <v>903</v>
      </c>
      <c r="B519" s="27">
        <v>32</v>
      </c>
      <c r="C519" s="27" t="s">
        <v>1240</v>
      </c>
      <c r="D519" s="27" t="s">
        <v>2717</v>
      </c>
      <c r="E519" s="27" t="s">
        <v>2908</v>
      </c>
      <c r="F519" s="27" t="str">
        <f t="shared" si="0"/>
        <v>Positive Traits Old English Origin</v>
      </c>
      <c r="G519" s="27">
        <f t="shared" si="1"/>
        <v>6</v>
      </c>
      <c r="H519" s="27" t="s">
        <v>3445</v>
      </c>
      <c r="I519" s="27"/>
      <c r="J519" s="27"/>
      <c r="K519" s="27"/>
      <c r="L519" s="27" t="str">
        <f t="shared" si="2"/>
        <v>M</v>
      </c>
      <c r="M519" s="27" t="str">
        <f>IFERROR(__xludf.DUMMYFUNCTION("GOOGLETRANSLATE(C519,""EN"",""KN"")"),"ಮಧುರ")</f>
        <v>ಮಧುರ</v>
      </c>
      <c r="N519" s="27">
        <f t="array" ref="N519">_xlfn.XLOOKUP(B519,'Sets Progress'!I:I,'Sets Progress'!I:I,"NOT YET")</f>
        <v>32</v>
      </c>
      <c r="O519" s="27" t="str">
        <f t="array" ref="O519">_xlfn.XLOOKUP(L:L,'Overall Progress'!L:L,'Overall Progress'!L:L,"NOT YET")</f>
        <v>NOT YET</v>
      </c>
      <c r="P519" s="27"/>
      <c r="Q519" s="27"/>
      <c r="R519" s="27"/>
      <c r="S519" s="27"/>
      <c r="T519" s="27"/>
      <c r="U519" s="27"/>
      <c r="V519" s="27"/>
      <c r="W519" s="27"/>
      <c r="X519" s="27"/>
      <c r="Y519" s="27"/>
      <c r="Z519" s="27"/>
    </row>
    <row r="520" hidden="1" customHeight="1" spans="1:26">
      <c r="A520" s="26">
        <v>1374</v>
      </c>
      <c r="B520" s="26">
        <v>32</v>
      </c>
      <c r="C520" s="26" t="s">
        <v>1705</v>
      </c>
      <c r="D520" s="26" t="s">
        <v>2716</v>
      </c>
      <c r="E520" s="26" t="s">
        <v>2889</v>
      </c>
      <c r="F520" s="26" t="str">
        <f t="shared" si="0"/>
        <v>Negative Traits Latin Origin</v>
      </c>
      <c r="G520" s="26">
        <f t="shared" si="1"/>
        <v>8</v>
      </c>
      <c r="H520" s="26" t="s">
        <v>3446</v>
      </c>
      <c r="I520" s="26"/>
      <c r="J520" s="26"/>
      <c r="K520" s="26"/>
      <c r="L520" s="26" t="str">
        <f t="shared" si="2"/>
        <v>T</v>
      </c>
      <c r="M520" s="26" t="str">
        <f>IFERROR(__xludf.DUMMYFUNCTION("GOOGLETRANSLATE(C520,""EN"",""KN"")"),"ಟಾಸಿಟರ್ನ್")</f>
        <v>ಟಾಸಿಟರ್ನ್</v>
      </c>
      <c r="N520" s="26">
        <f t="array" ref="N520">_xlfn.XLOOKUP(B520,'Sets Progress'!I:I,'Sets Progress'!I:I,"NOT YET")</f>
        <v>32</v>
      </c>
      <c r="O520" s="26" t="str">
        <f t="array" ref="O520">_xlfn.XLOOKUP(L:L,'Overall Progress'!L:L,'Overall Progress'!L:L,"NOT YET")</f>
        <v>NOT YET</v>
      </c>
      <c r="P520" s="26"/>
      <c r="Q520" s="26"/>
      <c r="R520" s="26"/>
      <c r="S520" s="26"/>
      <c r="T520" s="26"/>
      <c r="U520" s="26"/>
      <c r="V520" s="26"/>
      <c r="W520" s="26"/>
      <c r="X520" s="26"/>
      <c r="Y520" s="26"/>
      <c r="Z520" s="26"/>
    </row>
    <row r="521" hidden="1" customHeight="1" spans="1:26">
      <c r="A521" s="27">
        <v>1454</v>
      </c>
      <c r="B521" s="27">
        <v>32</v>
      </c>
      <c r="C521" s="27" t="s">
        <v>1782</v>
      </c>
      <c r="D521" s="27" t="s">
        <v>1721</v>
      </c>
      <c r="E521" s="27" t="s">
        <v>2908</v>
      </c>
      <c r="F521" s="27" t="str">
        <f t="shared" si="0"/>
        <v>Temporal Old English Origin</v>
      </c>
      <c r="G521" s="27">
        <f t="shared" si="1"/>
        <v>9</v>
      </c>
      <c r="H521" s="27" t="s">
        <v>3447</v>
      </c>
      <c r="I521" s="27"/>
      <c r="J521" s="27"/>
      <c r="K521" s="27"/>
      <c r="L521" s="27" t="str">
        <f t="shared" si="2"/>
        <v>U</v>
      </c>
      <c r="M521" s="27" t="str">
        <f>IFERROR(__xludf.DUMMYFUNCTION("GOOGLETRANSLATE(C521,""EN"",""KN"")"),"ಕೈಗೊಳ್ಳಿ")</f>
        <v>ಕೈಗೊಳ್ಳಿ</v>
      </c>
      <c r="N521" s="27">
        <f t="array" ref="N521">_xlfn.XLOOKUP(B521,'Sets Progress'!I:I,'Sets Progress'!I:I,"NOT YET")</f>
        <v>32</v>
      </c>
      <c r="O521" s="27" t="str">
        <f t="array" ref="O521">_xlfn.XLOOKUP(L:L,'Overall Progress'!L:L,'Overall Progress'!L:L,"NOT YET")</f>
        <v>NOT YET</v>
      </c>
      <c r="P521" s="27"/>
      <c r="Q521" s="27"/>
      <c r="R521" s="27"/>
      <c r="S521" s="27"/>
      <c r="T521" s="27"/>
      <c r="U521" s="27"/>
      <c r="V521" s="27"/>
      <c r="W521" s="27"/>
      <c r="X521" s="27"/>
      <c r="Y521" s="27"/>
      <c r="Z521" s="27"/>
    </row>
    <row r="522" hidden="1" customHeight="1" spans="1:26">
      <c r="A522" s="26">
        <v>157</v>
      </c>
      <c r="B522" s="26">
        <v>33</v>
      </c>
      <c r="C522" s="26" t="s">
        <v>506</v>
      </c>
      <c r="D522" s="26" t="s">
        <v>2946</v>
      </c>
      <c r="E522" s="26" t="s">
        <v>2908</v>
      </c>
      <c r="F522" s="26" t="str">
        <f t="shared" si="0"/>
        <v>Emotional Old English Origin</v>
      </c>
      <c r="G522" s="26">
        <f t="shared" si="1"/>
        <v>8</v>
      </c>
      <c r="H522" s="26" t="s">
        <v>3448</v>
      </c>
      <c r="I522" s="26"/>
      <c r="J522" s="26"/>
      <c r="K522" s="26"/>
      <c r="L522" s="26" t="str">
        <f t="shared" si="2"/>
        <v>B</v>
      </c>
      <c r="M522" s="26" t="str">
        <f>IFERROR(__xludf.DUMMYFUNCTION("GOOGLETRANSLATE(C522,""EN"",""KN"")"),"ನೋಡಿದೆ")</f>
        <v>ನೋಡಿದೆ</v>
      </c>
      <c r="N522" s="26">
        <f t="array" ref="N522">_xlfn.XLOOKUP(B522,'Sets Progress'!I:I,'Sets Progress'!I:I,"NOT YET")</f>
        <v>33</v>
      </c>
      <c r="O522" s="26" t="str">
        <f t="array" ref="O522">_xlfn.XLOOKUP(L:L,'Overall Progress'!L:L,'Overall Progress'!L:L,"NOT YET")</f>
        <v>NOT YET</v>
      </c>
      <c r="P522" s="26"/>
      <c r="Q522" s="26"/>
      <c r="R522" s="26"/>
      <c r="S522" s="26"/>
      <c r="T522" s="26"/>
      <c r="U522" s="26"/>
      <c r="V522" s="26"/>
      <c r="W522" s="26"/>
      <c r="X522" s="26"/>
      <c r="Y522" s="26"/>
      <c r="Z522" s="26"/>
    </row>
    <row r="523" hidden="1" customHeight="1" spans="1:26">
      <c r="A523" s="27">
        <v>213</v>
      </c>
      <c r="B523" s="27">
        <v>33</v>
      </c>
      <c r="C523" s="27" t="s">
        <v>562</v>
      </c>
      <c r="D523" s="27" t="s">
        <v>1721</v>
      </c>
      <c r="E523" s="27" t="s">
        <v>2893</v>
      </c>
      <c r="F523" s="27" t="str">
        <f t="shared" si="0"/>
        <v>Temporal Greek Origin</v>
      </c>
      <c r="G523" s="27">
        <f t="shared" si="1"/>
        <v>11</v>
      </c>
      <c r="H523" s="29" t="s">
        <v>3449</v>
      </c>
      <c r="I523" s="27"/>
      <c r="J523" s="27"/>
      <c r="K523" s="27"/>
      <c r="L523" s="27" t="str">
        <f t="shared" si="2"/>
        <v>C</v>
      </c>
      <c r="M523" s="27" t="str">
        <f>IFERROR(__xludf.DUMMYFUNCTION("GOOGLETRANSLATE(C523,""EN"",""KN"")"),"ದುರಂತ")</f>
        <v>ದುರಂತ</v>
      </c>
      <c r="N523" s="27">
        <f t="array" ref="N523">_xlfn.XLOOKUP(B523,'Sets Progress'!I:I,'Sets Progress'!I:I,"NOT YET")</f>
        <v>33</v>
      </c>
      <c r="O523" s="27" t="str">
        <f t="array" ref="O523">_xlfn.XLOOKUP(L:L,'Overall Progress'!L:L,'Overall Progress'!L:L,"NOT YET")</f>
        <v>NOT YET</v>
      </c>
      <c r="P523" s="27"/>
      <c r="Q523" s="27"/>
      <c r="R523" s="27"/>
      <c r="S523" s="27"/>
      <c r="T523" s="27"/>
      <c r="U523" s="27"/>
      <c r="V523" s="27"/>
      <c r="W523" s="27"/>
      <c r="X523" s="27"/>
      <c r="Y523" s="27"/>
      <c r="Z523" s="27"/>
    </row>
    <row r="524" hidden="1" customHeight="1" spans="1:26">
      <c r="A524" s="26">
        <v>564</v>
      </c>
      <c r="B524" s="26">
        <v>33</v>
      </c>
      <c r="C524" s="26" t="s">
        <v>910</v>
      </c>
      <c r="D524" s="26" t="s">
        <v>1721</v>
      </c>
      <c r="E524" s="26" t="s">
        <v>2889</v>
      </c>
      <c r="F524" s="26" t="str">
        <f t="shared" si="0"/>
        <v>Temporal Latin Origin</v>
      </c>
      <c r="G524" s="26">
        <f t="shared" si="1"/>
        <v>9</v>
      </c>
      <c r="H524" s="26" t="s">
        <v>3450</v>
      </c>
      <c r="I524" s="26"/>
      <c r="J524" s="26"/>
      <c r="K524" s="26"/>
      <c r="L524" s="26" t="str">
        <f t="shared" si="2"/>
        <v>E</v>
      </c>
      <c r="M524" s="26" t="str">
        <f>IFERROR(__xludf.DUMMYFUNCTION("GOOGLETRANSLATE(C524,""EN"",""KN"")"),"ವಿವರಿಸಿ")</f>
        <v>ವಿವರಿಸಿ</v>
      </c>
      <c r="N524" s="26">
        <f t="array" ref="N524">_xlfn.XLOOKUP(B524,'Sets Progress'!I:I,'Sets Progress'!I:I,"NOT YET")</f>
        <v>33</v>
      </c>
      <c r="O524" s="26" t="str">
        <f t="array" ref="O524">_xlfn.XLOOKUP(L:L,'Overall Progress'!L:L,'Overall Progress'!L:L,"NOT YET")</f>
        <v>NOT YET</v>
      </c>
      <c r="P524" s="26"/>
      <c r="Q524" s="26"/>
      <c r="R524" s="26"/>
      <c r="S524" s="26"/>
      <c r="T524" s="26"/>
      <c r="U524" s="26"/>
      <c r="V524" s="26"/>
      <c r="W524" s="26"/>
      <c r="X524" s="26"/>
      <c r="Y524" s="26"/>
      <c r="Z524" s="26"/>
    </row>
    <row r="525" hidden="1" customHeight="1" spans="1:26">
      <c r="A525" s="27">
        <v>572</v>
      </c>
      <c r="B525" s="27">
        <v>33</v>
      </c>
      <c r="C525" s="27" t="s">
        <v>917</v>
      </c>
      <c r="D525" s="27" t="s">
        <v>1721</v>
      </c>
      <c r="E525" s="27" t="s">
        <v>2889</v>
      </c>
      <c r="F525" s="27" t="str">
        <f t="shared" si="0"/>
        <v>Temporal Latin Origin</v>
      </c>
      <c r="G525" s="27">
        <f t="shared" si="1"/>
        <v>10</v>
      </c>
      <c r="H525" s="27" t="s">
        <v>3451</v>
      </c>
      <c r="I525" s="27"/>
      <c r="J525" s="27"/>
      <c r="K525" s="27"/>
      <c r="L525" s="27" t="str">
        <f t="shared" si="2"/>
        <v>E</v>
      </c>
      <c r="M525" s="27" t="str">
        <f>IFERROR(__xludf.DUMMYFUNCTION("GOOGLETRANSLATE(C525,""EN"",""KN"")"),"ಬಾಹ್ಯ")</f>
        <v>ಬಾಹ್ಯ</v>
      </c>
      <c r="N525" s="27">
        <f t="array" ref="N525">_xlfn.XLOOKUP(B525,'Sets Progress'!I:I,'Sets Progress'!I:I,"NOT YET")</f>
        <v>33</v>
      </c>
      <c r="O525" s="27" t="str">
        <f t="array" ref="O525">_xlfn.XLOOKUP(L:L,'Overall Progress'!L:L,'Overall Progress'!L:L,"NOT YET")</f>
        <v>NOT YET</v>
      </c>
      <c r="P525" s="27"/>
      <c r="Q525" s="27"/>
      <c r="R525" s="27"/>
      <c r="S525" s="27"/>
      <c r="T525" s="27"/>
      <c r="U525" s="27"/>
      <c r="V525" s="27"/>
      <c r="W525" s="27"/>
      <c r="X525" s="27"/>
      <c r="Y525" s="27"/>
      <c r="Z525" s="27"/>
    </row>
    <row r="526" hidden="1" customHeight="1" spans="1:26">
      <c r="A526" s="26">
        <v>951</v>
      </c>
      <c r="B526" s="26">
        <v>33</v>
      </c>
      <c r="C526" s="26" t="s">
        <v>1287</v>
      </c>
      <c r="D526" s="26" t="s">
        <v>1721</v>
      </c>
      <c r="E526" s="26" t="s">
        <v>2889</v>
      </c>
      <c r="F526" s="26" t="str">
        <f t="shared" si="0"/>
        <v>Temporal Latin Origin</v>
      </c>
      <c r="G526" s="26">
        <f t="shared" si="1"/>
        <v>10</v>
      </c>
      <c r="H526" s="26" t="s">
        <v>3452</v>
      </c>
      <c r="I526" s="26"/>
      <c r="J526" s="26"/>
      <c r="K526" s="26"/>
      <c r="L526" s="26" t="str">
        <f t="shared" si="2"/>
        <v>N</v>
      </c>
      <c r="M526" s="26" t="str">
        <f>IFERROR(__xludf.DUMMYFUNCTION("GOOGLETRANSLATE(C526,""EN"",""KN"")"),"ತಟಸ್ಥಗೊಳಿಸು")</f>
        <v>ತಟಸ್ಥಗೊಳಿಸು</v>
      </c>
      <c r="N526" s="26">
        <f t="array" ref="N526">_xlfn.XLOOKUP(B526,'Sets Progress'!I:I,'Sets Progress'!I:I,"NOT YET")</f>
        <v>33</v>
      </c>
      <c r="O526" s="26" t="str">
        <f t="array" ref="O526">_xlfn.XLOOKUP(L:L,'Overall Progress'!L:L,'Overall Progress'!L:L,"NOT YET")</f>
        <v>NOT YET</v>
      </c>
      <c r="P526" s="26"/>
      <c r="Q526" s="26"/>
      <c r="R526" s="26"/>
      <c r="S526" s="26"/>
      <c r="T526" s="26"/>
      <c r="U526" s="26"/>
      <c r="V526" s="26"/>
      <c r="W526" s="26"/>
      <c r="X526" s="26"/>
      <c r="Y526" s="26"/>
      <c r="Z526" s="26"/>
    </row>
    <row r="527" hidden="1" customHeight="1" spans="1:26">
      <c r="A527" s="27">
        <v>1006</v>
      </c>
      <c r="B527" s="27">
        <v>33</v>
      </c>
      <c r="C527" s="27" t="s">
        <v>1341</v>
      </c>
      <c r="D527" s="27" t="s">
        <v>1721</v>
      </c>
      <c r="E527" s="27" t="s">
        <v>2908</v>
      </c>
      <c r="F527" s="27" t="str">
        <f t="shared" si="0"/>
        <v>Temporal Old English Origin</v>
      </c>
      <c r="G527" s="27">
        <f t="shared" si="1"/>
        <v>9</v>
      </c>
      <c r="H527" s="27" t="s">
        <v>3453</v>
      </c>
      <c r="I527" s="27"/>
      <c r="J527" s="27"/>
      <c r="K527" s="27"/>
      <c r="L527" s="27" t="str">
        <f t="shared" si="2"/>
        <v>O</v>
      </c>
      <c r="M527" s="27" t="str">
        <f>IFERROR(__xludf.DUMMYFUNCTION("GOOGLETRANSLATE(C527,""EN"",""KN"")"),"ಅತಿಕ್ರಮಿಸಿ")</f>
        <v>ಅತಿಕ್ರಮಿಸಿ</v>
      </c>
      <c r="N527" s="27">
        <f t="array" ref="N527">_xlfn.XLOOKUP(B527,'Sets Progress'!I:I,'Sets Progress'!I:I,"NOT YET")</f>
        <v>33</v>
      </c>
      <c r="O527" s="27" t="str">
        <f t="array" ref="O527">_xlfn.XLOOKUP(L:L,'Overall Progress'!L:L,'Overall Progress'!L:L,"NOT YET")</f>
        <v>NOT YET</v>
      </c>
      <c r="P527" s="27"/>
      <c r="Q527" s="27"/>
      <c r="R527" s="27"/>
      <c r="S527" s="27"/>
      <c r="T527" s="27"/>
      <c r="U527" s="27"/>
      <c r="V527" s="27"/>
      <c r="W527" s="27"/>
      <c r="X527" s="27"/>
      <c r="Y527" s="27"/>
      <c r="Z527" s="27"/>
    </row>
    <row r="528" hidden="1" customHeight="1" spans="1:26">
      <c r="A528" s="26">
        <v>1032</v>
      </c>
      <c r="B528" s="26">
        <v>33</v>
      </c>
      <c r="C528" s="26" t="s">
        <v>1367</v>
      </c>
      <c r="D528" s="26" t="s">
        <v>2716</v>
      </c>
      <c r="E528" s="26" t="s">
        <v>2889</v>
      </c>
      <c r="F528" s="26" t="str">
        <f t="shared" si="0"/>
        <v>Negative Traits Latin Origin</v>
      </c>
      <c r="G528" s="26">
        <f t="shared" si="1"/>
        <v>10</v>
      </c>
      <c r="H528" s="26" t="s">
        <v>3454</v>
      </c>
      <c r="I528" s="26"/>
      <c r="J528" s="26"/>
      <c r="K528" s="26"/>
      <c r="L528" s="26" t="str">
        <f t="shared" si="2"/>
        <v>P</v>
      </c>
      <c r="M528" s="26" t="str">
        <f>IFERROR(__xludf.DUMMYFUNCTION("GOOGLETRANSLATE(C528,""EN"",""KN"")"),"ಪಾದಚಾರಿ")</f>
        <v>ಪಾದಚಾರಿ</v>
      </c>
      <c r="N528" s="26">
        <f t="array" ref="N528">_xlfn.XLOOKUP(B528,'Sets Progress'!I:I,'Sets Progress'!I:I,"NOT YET")</f>
        <v>33</v>
      </c>
      <c r="O528" s="26" t="str">
        <f t="array" ref="O528">_xlfn.XLOOKUP(L:L,'Overall Progress'!L:L,'Overall Progress'!L:L,"NOT YET")</f>
        <v>NOT YET</v>
      </c>
      <c r="P528" s="26"/>
      <c r="Q528" s="26"/>
      <c r="R528" s="26"/>
      <c r="S528" s="26"/>
      <c r="T528" s="26"/>
      <c r="U528" s="26"/>
      <c r="V528" s="26"/>
      <c r="W528" s="26"/>
      <c r="X528" s="26"/>
      <c r="Y528" s="26"/>
      <c r="Z528" s="26"/>
    </row>
    <row r="529" hidden="1" customHeight="1" spans="1:26">
      <c r="A529" s="27">
        <v>1073</v>
      </c>
      <c r="B529" s="27">
        <v>33</v>
      </c>
      <c r="C529" s="27" t="s">
        <v>1408</v>
      </c>
      <c r="D529" s="27" t="s">
        <v>2716</v>
      </c>
      <c r="E529" s="27" t="s">
        <v>2889</v>
      </c>
      <c r="F529" s="27" t="str">
        <f t="shared" si="0"/>
        <v>Negative Traits Latin Origin</v>
      </c>
      <c r="G529" s="27">
        <f t="shared" si="1"/>
        <v>9</v>
      </c>
      <c r="H529" s="27" t="s">
        <v>3455</v>
      </c>
      <c r="I529" s="27"/>
      <c r="J529" s="27"/>
      <c r="K529" s="27"/>
      <c r="L529" s="27" t="str">
        <f t="shared" si="2"/>
        <v>P</v>
      </c>
      <c r="M529" s="27" t="str">
        <f>IFERROR(__xludf.DUMMYFUNCTION("GOOGLETRANSLATE(C529,""EN"",""KN"")"),"ಪ್ಲಾಟಿಟ್ಯೂಡ್")</f>
        <v>ಪ್ಲಾಟಿಟ್ಯೂಡ್</v>
      </c>
      <c r="N529" s="27">
        <f t="array" ref="N529">_xlfn.XLOOKUP(B529,'Sets Progress'!I:I,'Sets Progress'!I:I,"NOT YET")</f>
        <v>33</v>
      </c>
      <c r="O529" s="27" t="str">
        <f t="array" ref="O529">_xlfn.XLOOKUP(L:L,'Overall Progress'!L:L,'Overall Progress'!L:L,"NOT YET")</f>
        <v>NOT YET</v>
      </c>
      <c r="P529" s="27"/>
      <c r="Q529" s="27"/>
      <c r="R529" s="27"/>
      <c r="S529" s="27"/>
      <c r="T529" s="27"/>
      <c r="U529" s="27"/>
      <c r="V529" s="27"/>
      <c r="W529" s="27"/>
      <c r="X529" s="27"/>
      <c r="Y529" s="27"/>
      <c r="Z529" s="27"/>
    </row>
    <row r="530" hidden="1" customHeight="1" spans="1:26">
      <c r="A530" s="26">
        <v>1101</v>
      </c>
      <c r="B530" s="26">
        <v>33</v>
      </c>
      <c r="C530" s="26" t="s">
        <v>1435</v>
      </c>
      <c r="D530" s="26" t="s">
        <v>1721</v>
      </c>
      <c r="E530" s="26" t="s">
        <v>2889</v>
      </c>
      <c r="F530" s="26" t="str">
        <f t="shared" si="0"/>
        <v>Temporal Latin Origin</v>
      </c>
      <c r="G530" s="26">
        <f t="shared" si="1"/>
        <v>11</v>
      </c>
      <c r="H530" s="26" t="s">
        <v>3456</v>
      </c>
      <c r="I530" s="26"/>
      <c r="J530" s="26"/>
      <c r="K530" s="26"/>
      <c r="L530" s="26" t="str">
        <f t="shared" si="2"/>
        <v>P</v>
      </c>
      <c r="M530" s="26" t="str">
        <f>IFERROR(__xludf.DUMMYFUNCTION("GOOGLETRANSLATE(C530,""EN"",""KN"")"),"ಪ್ರಧಾನವಾದುದು")</f>
        <v>ಪ್ರಧಾನವಾದುದು</v>
      </c>
      <c r="N530" s="26">
        <f t="array" ref="N530">_xlfn.XLOOKUP(B530,'Sets Progress'!I:I,'Sets Progress'!I:I,"NOT YET")</f>
        <v>33</v>
      </c>
      <c r="O530" s="26" t="str">
        <f t="array" ref="O530">_xlfn.XLOOKUP(L:L,'Overall Progress'!L:L,'Overall Progress'!L:L,"NOT YET")</f>
        <v>NOT YET</v>
      </c>
      <c r="P530" s="26"/>
      <c r="Q530" s="26"/>
      <c r="R530" s="26"/>
      <c r="S530" s="26"/>
      <c r="T530" s="26"/>
      <c r="U530" s="26"/>
      <c r="V530" s="26"/>
      <c r="W530" s="26"/>
      <c r="X530" s="26"/>
      <c r="Y530" s="26"/>
      <c r="Z530" s="26"/>
    </row>
    <row r="531" hidden="1" customHeight="1" spans="1:26">
      <c r="A531" s="27">
        <v>1129</v>
      </c>
      <c r="B531" s="27">
        <v>33</v>
      </c>
      <c r="C531" s="27" t="s">
        <v>250</v>
      </c>
      <c r="D531" s="27" t="s">
        <v>2717</v>
      </c>
      <c r="E531" s="27" t="s">
        <v>2889</v>
      </c>
      <c r="F531" s="27" t="str">
        <f t="shared" si="0"/>
        <v>Positive Traits Latin Origin</v>
      </c>
      <c r="G531" s="27">
        <f t="shared" si="1"/>
        <v>8</v>
      </c>
      <c r="H531" s="27" t="s">
        <v>3457</v>
      </c>
      <c r="I531" s="27"/>
      <c r="J531" s="27"/>
      <c r="K531" s="27"/>
      <c r="L531" s="27" t="str">
        <f t="shared" si="2"/>
        <v>P</v>
      </c>
      <c r="M531" s="27" t="str">
        <f>IFERROR(__xludf.DUMMYFUNCTION("GOOGLETRANSLATE(C531,""EN"",""KN"")"),"ಸಮೃದ್ಧ")</f>
        <v>ಸಮೃದ್ಧ</v>
      </c>
      <c r="N531" s="27">
        <f t="array" ref="N531">_xlfn.XLOOKUP(B531,'Sets Progress'!I:I,'Sets Progress'!I:I,"NOT YET")</f>
        <v>33</v>
      </c>
      <c r="O531" s="27" t="str">
        <f t="array" ref="O531">_xlfn.XLOOKUP(L:L,'Overall Progress'!L:L,'Overall Progress'!L:L,"NOT YET")</f>
        <v>NOT YET</v>
      </c>
      <c r="P531" s="27"/>
      <c r="Q531" s="27"/>
      <c r="R531" s="27"/>
      <c r="S531" s="27"/>
      <c r="T531" s="27"/>
      <c r="U531" s="27"/>
      <c r="V531" s="27"/>
      <c r="W531" s="27"/>
      <c r="X531" s="27"/>
      <c r="Y531" s="27"/>
      <c r="Z531" s="27"/>
    </row>
    <row r="532" hidden="1" customHeight="1" spans="1:26">
      <c r="A532" s="26">
        <v>1498</v>
      </c>
      <c r="B532" s="26">
        <v>33</v>
      </c>
      <c r="C532" s="26" t="s">
        <v>1826</v>
      </c>
      <c r="D532" s="26" t="s">
        <v>2717</v>
      </c>
      <c r="E532" s="26" t="s">
        <v>2889</v>
      </c>
      <c r="F532" s="26" t="str">
        <f t="shared" si="0"/>
        <v>Positive Traits Latin Origin</v>
      </c>
      <c r="G532" s="26">
        <f t="shared" si="1"/>
        <v>9</v>
      </c>
      <c r="H532" s="26" t="s">
        <v>3458</v>
      </c>
      <c r="I532" s="26"/>
      <c r="J532" s="26"/>
      <c r="K532" s="26"/>
      <c r="L532" s="26" t="str">
        <f t="shared" si="2"/>
        <v>V</v>
      </c>
      <c r="M532" s="26" t="str">
        <f>IFERROR(__xludf.DUMMYFUNCTION("GOOGLETRANSLATE(C532,""EN"",""KN"")"),"ಪ್ರಾಮಾಣಿಕ")</f>
        <v>ಪ್ರಾಮಾಣಿಕ</v>
      </c>
      <c r="N532" s="26">
        <f t="array" ref="N532">_xlfn.XLOOKUP(B532,'Sets Progress'!I:I,'Sets Progress'!I:I,"NOT YET")</f>
        <v>33</v>
      </c>
      <c r="O532" s="26" t="str">
        <f t="array" ref="O532">_xlfn.XLOOKUP(L:L,'Overall Progress'!L:L,'Overall Progress'!L:L,"NOT YET")</f>
        <v>NOT YET</v>
      </c>
      <c r="P532" s="26"/>
      <c r="Q532" s="26"/>
      <c r="R532" s="26"/>
      <c r="S532" s="26"/>
      <c r="T532" s="26"/>
      <c r="U532" s="26"/>
      <c r="V532" s="26"/>
      <c r="W532" s="26"/>
      <c r="X532" s="26"/>
      <c r="Y532" s="26"/>
      <c r="Z532" s="26"/>
    </row>
    <row r="533" hidden="1" customHeight="1" spans="1:26">
      <c r="A533" s="27">
        <v>92</v>
      </c>
      <c r="B533" s="27">
        <v>34</v>
      </c>
      <c r="C533" s="27" t="s">
        <v>443</v>
      </c>
      <c r="D533" s="27" t="s">
        <v>2946</v>
      </c>
      <c r="E533" s="27" t="s">
        <v>2889</v>
      </c>
      <c r="F533" s="27" t="str">
        <f t="shared" si="0"/>
        <v>Emotional Latin Origin</v>
      </c>
      <c r="G533" s="27">
        <f t="shared" si="1"/>
        <v>7</v>
      </c>
      <c r="H533" s="27" t="s">
        <v>3459</v>
      </c>
      <c r="I533" s="27"/>
      <c r="J533" s="27"/>
      <c r="K533" s="27"/>
      <c r="L533" s="27" t="str">
        <f t="shared" si="2"/>
        <v>A</v>
      </c>
      <c r="M533" s="27" t="str">
        <f>IFERROR(__xludf.DUMMYFUNCTION("GOOGLETRANSLATE(C533,""EN"",""KN"")"),"ಸಮಾಧಾನಪಡಿಸು")</f>
        <v>ಸಮಾಧಾನಪಡಿಸು</v>
      </c>
      <c r="N533" s="27">
        <f t="array" ref="N533">_xlfn.XLOOKUP(B533,'Sets Progress'!I:I,'Sets Progress'!I:I,"NOT YET")</f>
        <v>34</v>
      </c>
      <c r="O533" s="27" t="str">
        <f t="array" ref="O533">_xlfn.XLOOKUP(L:L,'Overall Progress'!L:L,'Overall Progress'!L:L,"NOT YET")</f>
        <v>NOT YET</v>
      </c>
      <c r="P533" s="27"/>
      <c r="Q533" s="27"/>
      <c r="R533" s="27"/>
      <c r="S533" s="27"/>
      <c r="T533" s="27"/>
      <c r="U533" s="27"/>
      <c r="V533" s="27"/>
      <c r="W533" s="27"/>
      <c r="X533" s="27"/>
      <c r="Y533" s="27"/>
      <c r="Z533" s="27"/>
    </row>
    <row r="534" hidden="1" customHeight="1" spans="1:26">
      <c r="A534" s="26">
        <v>162</v>
      </c>
      <c r="B534" s="26">
        <v>34</v>
      </c>
      <c r="C534" s="26" t="s">
        <v>511</v>
      </c>
      <c r="D534" s="26" t="s">
        <v>2717</v>
      </c>
      <c r="E534" s="26" t="s">
        <v>2889</v>
      </c>
      <c r="F534" s="26" t="str">
        <f t="shared" si="0"/>
        <v>Positive Traits Latin Origin</v>
      </c>
      <c r="G534" s="26">
        <f t="shared" si="1"/>
        <v>10</v>
      </c>
      <c r="H534" s="26" t="s">
        <v>3460</v>
      </c>
      <c r="I534" s="26"/>
      <c r="J534" s="26"/>
      <c r="K534" s="26"/>
      <c r="L534" s="26" t="str">
        <f t="shared" si="2"/>
        <v>B</v>
      </c>
      <c r="M534" s="26" t="str">
        <f>IFERROR(__xludf.DUMMYFUNCTION("GOOGLETRANSLATE(C534,""EN"",""KN"")"),"ಉಪಕಾರಿ")</f>
        <v>ಉಪಕಾರಿ</v>
      </c>
      <c r="N534" s="26">
        <f t="array" ref="N534">_xlfn.XLOOKUP(B534,'Sets Progress'!I:I,'Sets Progress'!I:I,"NOT YET")</f>
        <v>34</v>
      </c>
      <c r="O534" s="26" t="str">
        <f t="array" ref="O534">_xlfn.XLOOKUP(L:L,'Overall Progress'!L:L,'Overall Progress'!L:L,"NOT YET")</f>
        <v>NOT YET</v>
      </c>
      <c r="P534" s="26"/>
      <c r="Q534" s="26"/>
      <c r="R534" s="26"/>
      <c r="S534" s="26"/>
      <c r="T534" s="26"/>
      <c r="U534" s="26"/>
      <c r="V534" s="26"/>
      <c r="W534" s="26"/>
      <c r="X534" s="26"/>
      <c r="Y534" s="26"/>
      <c r="Z534" s="26"/>
    </row>
    <row r="535" hidden="1" customHeight="1" spans="1:26">
      <c r="A535" s="27">
        <v>292</v>
      </c>
      <c r="B535" s="27">
        <v>34</v>
      </c>
      <c r="C535" s="27" t="s">
        <v>645</v>
      </c>
      <c r="D535" s="27" t="s">
        <v>3022</v>
      </c>
      <c r="E535" s="27" t="s">
        <v>2889</v>
      </c>
      <c r="F535" s="27" t="str">
        <f t="shared" si="0"/>
        <v>Intellectual Latin Origin</v>
      </c>
      <c r="G535" s="27">
        <f t="shared" si="1"/>
        <v>8</v>
      </c>
      <c r="H535" s="27" t="s">
        <v>3461</v>
      </c>
      <c r="I535" s="27"/>
      <c r="J535" s="27"/>
      <c r="K535" s="27"/>
      <c r="L535" s="27" t="str">
        <f t="shared" si="2"/>
        <v>C</v>
      </c>
      <c r="M535" s="27" t="str">
        <f>IFERROR(__xludf.DUMMYFUNCTION("GOOGLETRANSLATE(C535,""EN"",""KN"")"),"ನಿರ್ಮಿಸು")</f>
        <v>ನಿರ್ಮಿಸು</v>
      </c>
      <c r="N535" s="27">
        <f t="array" ref="N535">_xlfn.XLOOKUP(B535,'Sets Progress'!I:I,'Sets Progress'!I:I,"NOT YET")</f>
        <v>34</v>
      </c>
      <c r="O535" s="27" t="str">
        <f t="array" ref="O535">_xlfn.XLOOKUP(L:L,'Overall Progress'!L:L,'Overall Progress'!L:L,"NOT YET")</f>
        <v>NOT YET</v>
      </c>
      <c r="P535" s="27"/>
      <c r="Q535" s="27"/>
      <c r="R535" s="27"/>
      <c r="S535" s="27"/>
      <c r="T535" s="27"/>
      <c r="U535" s="27"/>
      <c r="V535" s="27"/>
      <c r="W535" s="27"/>
      <c r="X535" s="27"/>
      <c r="Y535" s="27"/>
      <c r="Z535" s="27"/>
    </row>
    <row r="536" hidden="1" customHeight="1" spans="1:26">
      <c r="A536" s="26">
        <v>519</v>
      </c>
      <c r="B536" s="26">
        <v>34</v>
      </c>
      <c r="C536" s="26" t="s">
        <v>868</v>
      </c>
      <c r="D536" s="26" t="s">
        <v>1721</v>
      </c>
      <c r="E536" s="26" t="s">
        <v>2896</v>
      </c>
      <c r="F536" s="26" t="str">
        <f t="shared" si="0"/>
        <v>Temporal Old French Origin</v>
      </c>
      <c r="G536" s="26">
        <f t="shared" si="1"/>
        <v>8</v>
      </c>
      <c r="H536" s="26" t="s">
        <v>3462</v>
      </c>
      <c r="I536" s="26"/>
      <c r="J536" s="26"/>
      <c r="K536" s="26"/>
      <c r="L536" s="26" t="str">
        <f t="shared" si="2"/>
        <v>E</v>
      </c>
      <c r="M536" s="26" t="str">
        <f>IFERROR(__xludf.DUMMYFUNCTION("GOOGLETRANSLATE(C536,""EN"",""KN"")"),"ಎಂಟ್ರೆಂಚ್")</f>
        <v>ಎಂಟ್ರೆಂಚ್</v>
      </c>
      <c r="N536" s="26">
        <f t="array" ref="N536">_xlfn.XLOOKUP(B536,'Sets Progress'!I:I,'Sets Progress'!I:I,"NOT YET")</f>
        <v>34</v>
      </c>
      <c r="O536" s="26" t="str">
        <f t="array" ref="O536">_xlfn.XLOOKUP(L:L,'Overall Progress'!L:L,'Overall Progress'!L:L,"NOT YET")</f>
        <v>NOT YET</v>
      </c>
      <c r="P536" s="26"/>
      <c r="Q536" s="26"/>
      <c r="R536" s="26"/>
      <c r="S536" s="26"/>
      <c r="T536" s="26"/>
      <c r="U536" s="26"/>
      <c r="V536" s="26"/>
      <c r="W536" s="26"/>
      <c r="X536" s="26"/>
      <c r="Y536" s="26"/>
      <c r="Z536" s="26"/>
    </row>
    <row r="537" hidden="1" customHeight="1" spans="1:26">
      <c r="A537" s="27">
        <v>568</v>
      </c>
      <c r="B537" s="27">
        <v>34</v>
      </c>
      <c r="C537" s="27" t="s">
        <v>152</v>
      </c>
      <c r="D537" s="27" t="s">
        <v>1721</v>
      </c>
      <c r="E537" s="27" t="s">
        <v>2889</v>
      </c>
      <c r="F537" s="27" t="str">
        <f t="shared" si="0"/>
        <v>Temporal Latin Origin</v>
      </c>
      <c r="G537" s="27">
        <f t="shared" si="1"/>
        <v>6</v>
      </c>
      <c r="H537" s="27" t="s">
        <v>3463</v>
      </c>
      <c r="I537" s="27"/>
      <c r="J537" s="27"/>
      <c r="K537" s="27"/>
      <c r="L537" s="27" t="str">
        <f t="shared" si="2"/>
        <v>E</v>
      </c>
      <c r="M537" s="27" t="str">
        <f>IFERROR(__xludf.DUMMYFUNCTION("GOOGLETRANSLATE(C537,""EN"",""KN"")"),"ವಿಸ್ತಾರವಾಗಿದೆ")</f>
        <v>ವಿಸ್ತಾರವಾಗಿದೆ</v>
      </c>
      <c r="N537" s="27">
        <f t="array" ref="N537">_xlfn.XLOOKUP(B537,'Sets Progress'!I:I,'Sets Progress'!I:I,"NOT YET")</f>
        <v>34</v>
      </c>
      <c r="O537" s="27" t="str">
        <f t="array" ref="O537">_xlfn.XLOOKUP(L:L,'Overall Progress'!L:L,'Overall Progress'!L:L,"NOT YET")</f>
        <v>NOT YET</v>
      </c>
      <c r="P537" s="27"/>
      <c r="Q537" s="27"/>
      <c r="R537" s="27"/>
      <c r="S537" s="27"/>
      <c r="T537" s="27"/>
      <c r="U537" s="27"/>
      <c r="V537" s="27"/>
      <c r="W537" s="27"/>
      <c r="X537" s="27"/>
      <c r="Y537" s="27"/>
      <c r="Z537" s="27"/>
    </row>
    <row r="538" hidden="1" customHeight="1" spans="1:26">
      <c r="A538" s="26">
        <v>656</v>
      </c>
      <c r="B538" s="26">
        <v>34</v>
      </c>
      <c r="C538" s="26" t="s">
        <v>999</v>
      </c>
      <c r="D538" s="26" t="s">
        <v>2892</v>
      </c>
      <c r="E538" s="26" t="s">
        <v>2889</v>
      </c>
      <c r="F538" s="26" t="str">
        <f t="shared" si="0"/>
        <v>Spatial Latin Origin</v>
      </c>
      <c r="G538" s="26">
        <f t="shared" si="1"/>
        <v>6</v>
      </c>
      <c r="H538" s="26" t="s">
        <v>3464</v>
      </c>
      <c r="I538" s="26"/>
      <c r="J538" s="26"/>
      <c r="K538" s="26"/>
      <c r="L538" s="26" t="str">
        <f t="shared" si="2"/>
        <v>G</v>
      </c>
      <c r="M538" s="26" t="str">
        <f>IFERROR(__xludf.DUMMYFUNCTION("GOOGLETRANSLATE(C538,""EN"",""KN"")"),"ಜಾಗತಿಕ")</f>
        <v>ಜಾಗತಿಕ</v>
      </c>
      <c r="N538" s="26">
        <f t="array" ref="N538">_xlfn.XLOOKUP(B538,'Sets Progress'!I:I,'Sets Progress'!I:I,"NOT YET")</f>
        <v>34</v>
      </c>
      <c r="O538" s="26" t="str">
        <f t="array" ref="O538">_xlfn.XLOOKUP(L:L,'Overall Progress'!L:L,'Overall Progress'!L:L,"NOT YET")</f>
        <v>NOT YET</v>
      </c>
      <c r="P538" s="26"/>
      <c r="Q538" s="26"/>
      <c r="R538" s="26"/>
      <c r="S538" s="26"/>
      <c r="T538" s="26"/>
      <c r="U538" s="26"/>
      <c r="V538" s="26"/>
      <c r="W538" s="26"/>
      <c r="X538" s="26"/>
      <c r="Y538" s="26"/>
      <c r="Z538" s="26"/>
    </row>
    <row r="539" hidden="1" customHeight="1" spans="1:26">
      <c r="A539" s="27">
        <v>675</v>
      </c>
      <c r="B539" s="27">
        <v>34</v>
      </c>
      <c r="C539" s="27" t="s">
        <v>1017</v>
      </c>
      <c r="D539" s="27" t="s">
        <v>2716</v>
      </c>
      <c r="E539" s="27" t="s">
        <v>2899</v>
      </c>
      <c r="F539" s="27" t="str">
        <f t="shared" si="0"/>
        <v>Negative Traits Middle English Origin</v>
      </c>
      <c r="G539" s="27">
        <f t="shared" si="1"/>
        <v>7</v>
      </c>
      <c r="H539" s="27" t="s">
        <v>3465</v>
      </c>
      <c r="I539" s="27"/>
      <c r="J539" s="27"/>
      <c r="K539" s="27"/>
      <c r="L539" s="27" t="str">
        <f t="shared" si="2"/>
        <v>H</v>
      </c>
      <c r="M539" s="27" t="str">
        <f>IFERROR(__xludf.DUMMYFUNCTION("GOOGLETRANSLATE(C539,""EN"",""KN"")"),"ದುರದೃಷ್ಟಕರ")</f>
        <v>ದುರದೃಷ್ಟಕರ</v>
      </c>
      <c r="N539" s="27">
        <f t="array" ref="N539">_xlfn.XLOOKUP(B539,'Sets Progress'!I:I,'Sets Progress'!I:I,"NOT YET")</f>
        <v>34</v>
      </c>
      <c r="O539" s="27" t="str">
        <f t="array" ref="O539">_xlfn.XLOOKUP(L:L,'Overall Progress'!L:L,'Overall Progress'!L:L,"NOT YET")</f>
        <v>NOT YET</v>
      </c>
      <c r="P539" s="27"/>
      <c r="Q539" s="27"/>
      <c r="R539" s="27"/>
      <c r="S539" s="27"/>
      <c r="T539" s="27"/>
      <c r="U539" s="27"/>
      <c r="V539" s="27"/>
      <c r="W539" s="27"/>
      <c r="X539" s="27"/>
      <c r="Y539" s="27"/>
      <c r="Z539" s="27"/>
    </row>
    <row r="540" hidden="1" customHeight="1" spans="1:26">
      <c r="A540" s="26">
        <v>1273</v>
      </c>
      <c r="B540" s="26">
        <v>34</v>
      </c>
      <c r="C540" s="26" t="s">
        <v>1604</v>
      </c>
      <c r="D540" s="26" t="s">
        <v>2716</v>
      </c>
      <c r="E540" s="26" t="s">
        <v>2889</v>
      </c>
      <c r="F540" s="26" t="str">
        <f t="shared" si="0"/>
        <v>Negative Traits Latin Origin</v>
      </c>
      <c r="G540" s="26">
        <f t="shared" si="1"/>
        <v>6</v>
      </c>
      <c r="H540" s="26" t="s">
        <v>3466</v>
      </c>
      <c r="I540" s="26"/>
      <c r="J540" s="26"/>
      <c r="K540" s="26"/>
      <c r="L540" s="26" t="str">
        <f t="shared" si="2"/>
        <v>S</v>
      </c>
      <c r="M540" s="26" t="str">
        <f>IFERROR(__xludf.DUMMYFUNCTION("GOOGLETRANSLATE(C540,""EN"",""KN"")"),"ತೀವ್ರ")</f>
        <v>ತೀವ್ರ</v>
      </c>
      <c r="N540" s="26">
        <f t="array" ref="N540">_xlfn.XLOOKUP(B540,'Sets Progress'!I:I,'Sets Progress'!I:I,"NOT YET")</f>
        <v>34</v>
      </c>
      <c r="O540" s="26" t="str">
        <f t="array" ref="O540">_xlfn.XLOOKUP(L:L,'Overall Progress'!L:L,'Overall Progress'!L:L,"NOT YET")</f>
        <v>NOT YET</v>
      </c>
      <c r="P540" s="26"/>
      <c r="Q540" s="26"/>
      <c r="R540" s="26"/>
      <c r="S540" s="26"/>
      <c r="T540" s="26"/>
      <c r="U540" s="26"/>
      <c r="V540" s="26"/>
      <c r="W540" s="26"/>
      <c r="X540" s="26"/>
      <c r="Y540" s="26"/>
      <c r="Z540" s="26"/>
    </row>
    <row r="541" hidden="1" customHeight="1" spans="1:26">
      <c r="A541" s="27">
        <v>1502</v>
      </c>
      <c r="B541" s="27">
        <v>34</v>
      </c>
      <c r="C541" s="27" t="s">
        <v>1830</v>
      </c>
      <c r="D541" s="27" t="s">
        <v>1721</v>
      </c>
      <c r="E541" s="27" t="s">
        <v>2889</v>
      </c>
      <c r="F541" s="27" t="str">
        <f t="shared" si="0"/>
        <v>Temporal Latin Origin</v>
      </c>
      <c r="G541" s="27">
        <f t="shared" si="1"/>
        <v>9</v>
      </c>
      <c r="H541" s="27" t="s">
        <v>3467</v>
      </c>
      <c r="I541" s="27"/>
      <c r="J541" s="27"/>
      <c r="K541" s="27"/>
      <c r="L541" s="27" t="str">
        <f t="shared" si="2"/>
        <v>V</v>
      </c>
      <c r="M541" s="27" t="str">
        <f>IFERROR(__xludf.DUMMYFUNCTION("GOOGLETRANSLATE(C541,""EN"",""KN"")"),"ಬಹುಮುಖ")</f>
        <v>ಬಹುಮುಖ</v>
      </c>
      <c r="N541" s="27">
        <f t="array" ref="N541">_xlfn.XLOOKUP(B541,'Sets Progress'!I:I,'Sets Progress'!I:I,"NOT YET")</f>
        <v>34</v>
      </c>
      <c r="O541" s="27" t="str">
        <f t="array" ref="O541">_xlfn.XLOOKUP(L:L,'Overall Progress'!L:L,'Overall Progress'!L:L,"NOT YET")</f>
        <v>NOT YET</v>
      </c>
      <c r="P541" s="27"/>
      <c r="Q541" s="27"/>
      <c r="R541" s="27"/>
      <c r="S541" s="27"/>
      <c r="T541" s="27"/>
      <c r="U541" s="27"/>
      <c r="V541" s="27"/>
      <c r="W541" s="27"/>
      <c r="X541" s="27"/>
      <c r="Y541" s="27"/>
      <c r="Z541" s="27"/>
    </row>
    <row r="542" hidden="1" customHeight="1" spans="1:26">
      <c r="A542" s="26">
        <v>101</v>
      </c>
      <c r="B542" s="26">
        <v>35</v>
      </c>
      <c r="C542" s="26" t="s">
        <v>452</v>
      </c>
      <c r="D542" s="26" t="s">
        <v>2928</v>
      </c>
      <c r="E542" s="26" t="s">
        <v>2889</v>
      </c>
      <c r="F542" s="26" t="str">
        <f t="shared" si="0"/>
        <v>Philosophical Latin Origin</v>
      </c>
      <c r="G542" s="26">
        <f t="shared" si="1"/>
        <v>6</v>
      </c>
      <c r="H542" s="26" t="s">
        <v>3468</v>
      </c>
      <c r="I542" s="26"/>
      <c r="J542" s="26"/>
      <c r="K542" s="26"/>
      <c r="L542" s="26" t="str">
        <f t="shared" si="2"/>
        <v>A</v>
      </c>
      <c r="M542" s="26" t="str">
        <f>IFERROR(__xludf.DUMMYFUNCTION("GOOGLETRANSLATE(C542,""EN"",""KN"")"),"ರಹಸ್ಯವಾದ")</f>
        <v>ರಹಸ್ಯವಾದ</v>
      </c>
      <c r="N542" s="26" t="str">
        <f t="array" ref="N542">_xlfn.XLOOKUP(B542,'Sets Progress'!I:I,'Sets Progress'!I:I,"NOT YET")</f>
        <v>NOT YET</v>
      </c>
      <c r="O542" s="26" t="str">
        <f t="array" ref="O542">_xlfn.XLOOKUP(L:L,'Overall Progress'!L:L,'Overall Progress'!L:L,"NOT YET")</f>
        <v>NOT YET</v>
      </c>
      <c r="P542" s="26"/>
      <c r="Q542" s="26"/>
      <c r="R542" s="26"/>
      <c r="S542" s="26"/>
      <c r="T542" s="26"/>
      <c r="U542" s="26"/>
      <c r="V542" s="26"/>
      <c r="W542" s="26"/>
      <c r="X542" s="26"/>
      <c r="Y542" s="26"/>
      <c r="Z542" s="26"/>
    </row>
    <row r="543" hidden="1" customHeight="1" spans="1:26">
      <c r="A543" s="27">
        <v>166</v>
      </c>
      <c r="B543" s="27">
        <v>35</v>
      </c>
      <c r="C543" s="27" t="s">
        <v>515</v>
      </c>
      <c r="D543" s="27" t="s">
        <v>2946</v>
      </c>
      <c r="E543" s="27" t="s">
        <v>2908</v>
      </c>
      <c r="F543" s="27" t="str">
        <f t="shared" si="0"/>
        <v>Emotional Old English Origin</v>
      </c>
      <c r="G543" s="27">
        <f t="shared" si="1"/>
        <v>6</v>
      </c>
      <c r="H543" s="27" t="s">
        <v>3469</v>
      </c>
      <c r="I543" s="27"/>
      <c r="J543" s="27"/>
      <c r="K543" s="27"/>
      <c r="L543" s="27" t="str">
        <f t="shared" si="2"/>
        <v>B</v>
      </c>
      <c r="M543" s="27" t="str">
        <f>IFERROR(__xludf.DUMMYFUNCTION("GOOGLETRANSLATE(C543,""EN"",""KN"")"),"ಬೆರೆಫ್ಟ್")</f>
        <v>ಬೆರೆಫ್ಟ್</v>
      </c>
      <c r="N543" s="27" t="str">
        <f t="array" ref="N543">_xlfn.XLOOKUP(B543,'Sets Progress'!I:I,'Sets Progress'!I:I,"NOT YET")</f>
        <v>NOT YET</v>
      </c>
      <c r="O543" s="27" t="str">
        <f t="array" ref="O543">_xlfn.XLOOKUP(L:L,'Overall Progress'!L:L,'Overall Progress'!L:L,"NOT YET")</f>
        <v>NOT YET</v>
      </c>
      <c r="P543" s="27"/>
      <c r="Q543" s="27"/>
      <c r="R543" s="27"/>
      <c r="S543" s="27"/>
      <c r="T543" s="27"/>
      <c r="U543" s="27"/>
      <c r="V543" s="27"/>
      <c r="W543" s="27"/>
      <c r="X543" s="27"/>
      <c r="Y543" s="27"/>
      <c r="Z543" s="27"/>
    </row>
    <row r="544" hidden="1" customHeight="1" spans="1:26">
      <c r="A544" s="26">
        <v>317</v>
      </c>
      <c r="B544" s="26">
        <v>35</v>
      </c>
      <c r="C544" s="26" t="s">
        <v>667</v>
      </c>
      <c r="D544" s="26" t="s">
        <v>1721</v>
      </c>
      <c r="E544" s="26" t="s">
        <v>2889</v>
      </c>
      <c r="F544" s="26" t="str">
        <f t="shared" si="0"/>
        <v>Temporal Latin Origin</v>
      </c>
      <c r="G544" s="26">
        <f t="shared" si="1"/>
        <v>15</v>
      </c>
      <c r="H544" s="26" t="s">
        <v>3470</v>
      </c>
      <c r="I544" s="26"/>
      <c r="J544" s="26"/>
      <c r="K544" s="26"/>
      <c r="L544" s="26" t="str">
        <f t="shared" si="2"/>
        <v>C</v>
      </c>
      <c r="M544" s="26" t="str">
        <f>IFERROR(__xludf.DUMMYFUNCTION("GOOGLETRANSLATE(C544,""EN"",""KN"")"),"ಪ್ರತಿ-ಸಾಂಸ್ಕೃತಿಕ")</f>
        <v>ಪ್ರತಿ-ಸಾಂಸ್ಕೃತಿಕ</v>
      </c>
      <c r="N544" s="26" t="str">
        <f t="array" ref="N544">_xlfn.XLOOKUP(B544,'Sets Progress'!I:I,'Sets Progress'!I:I,"NOT YET")</f>
        <v>NOT YET</v>
      </c>
      <c r="O544" s="26" t="str">
        <f t="array" ref="O544">_xlfn.XLOOKUP(L:L,'Overall Progress'!L:L,'Overall Progress'!L:L,"NOT YET")</f>
        <v>NOT YET</v>
      </c>
      <c r="P544" s="26"/>
      <c r="Q544" s="26"/>
      <c r="R544" s="26"/>
      <c r="S544" s="26"/>
      <c r="T544" s="26"/>
      <c r="U544" s="26"/>
      <c r="V544" s="26"/>
      <c r="W544" s="26"/>
      <c r="X544" s="26"/>
      <c r="Y544" s="26"/>
      <c r="Z544" s="26"/>
    </row>
    <row r="545" hidden="1" customHeight="1" spans="1:26">
      <c r="A545" s="27">
        <v>464</v>
      </c>
      <c r="B545" s="27">
        <v>35</v>
      </c>
      <c r="C545" s="27" t="s">
        <v>813</v>
      </c>
      <c r="D545" s="27" t="s">
        <v>1721</v>
      </c>
      <c r="E545" s="27" t="s">
        <v>2893</v>
      </c>
      <c r="F545" s="27" t="str">
        <f t="shared" si="0"/>
        <v>Temporal Greek Origin</v>
      </c>
      <c r="G545" s="27">
        <f t="shared" si="1"/>
        <v>8</v>
      </c>
      <c r="H545" s="27" t="s">
        <v>3471</v>
      </c>
      <c r="I545" s="27"/>
      <c r="J545" s="27"/>
      <c r="K545" s="27"/>
      <c r="L545" s="27" t="str">
        <f t="shared" si="2"/>
        <v>D</v>
      </c>
      <c r="M545" s="27" t="str">
        <f>IFERROR(__xludf.DUMMYFUNCTION("GOOGLETRANSLATE(C545,""EN"",""KN"")"),"ಕ್ರಿಯಾಶೀಲತೆ")</f>
        <v>ಕ್ರಿಯಾಶೀಲತೆ</v>
      </c>
      <c r="N545" s="27" t="str">
        <f t="array" ref="N545">_xlfn.XLOOKUP(B545,'Sets Progress'!I:I,'Sets Progress'!I:I,"NOT YET")</f>
        <v>NOT YET</v>
      </c>
      <c r="O545" s="27" t="str">
        <f t="array" ref="O545">_xlfn.XLOOKUP(L:L,'Overall Progress'!L:L,'Overall Progress'!L:L,"NOT YET")</f>
        <v>NOT YET</v>
      </c>
      <c r="P545" s="27"/>
      <c r="Q545" s="27"/>
      <c r="R545" s="27"/>
      <c r="S545" s="27"/>
      <c r="T545" s="27"/>
      <c r="U545" s="27"/>
      <c r="V545" s="27"/>
      <c r="W545" s="27"/>
      <c r="X545" s="27"/>
      <c r="Y545" s="27"/>
      <c r="Z545" s="27"/>
    </row>
    <row r="546" hidden="1" customHeight="1" spans="1:26">
      <c r="A546" s="26">
        <v>476</v>
      </c>
      <c r="B546" s="26">
        <v>35</v>
      </c>
      <c r="C546" s="26" t="s">
        <v>825</v>
      </c>
      <c r="D546" s="26" t="s">
        <v>2717</v>
      </c>
      <c r="E546" s="26" t="s">
        <v>2889</v>
      </c>
      <c r="F546" s="26" t="str">
        <f t="shared" si="0"/>
        <v>Positive Traits Latin Origin</v>
      </c>
      <c r="G546" s="26">
        <f t="shared" si="1"/>
        <v>8</v>
      </c>
      <c r="H546" s="26" t="s">
        <v>3472</v>
      </c>
      <c r="I546" s="26"/>
      <c r="J546" s="26"/>
      <c r="K546" s="26"/>
      <c r="L546" s="26" t="str">
        <f t="shared" si="2"/>
        <v>E</v>
      </c>
      <c r="M546" s="26" t="str">
        <f>IFERROR(__xludf.DUMMYFUNCTION("GOOGLETRANSLATE(C546,""EN"",""KN"")"),"ದಕ್ಷತೆ")</f>
        <v>ದಕ್ಷತೆ</v>
      </c>
      <c r="N546" s="26" t="str">
        <f t="array" ref="N546">_xlfn.XLOOKUP(B546,'Sets Progress'!I:I,'Sets Progress'!I:I,"NOT YET")</f>
        <v>NOT YET</v>
      </c>
      <c r="O546" s="26" t="str">
        <f t="array" ref="O546">_xlfn.XLOOKUP(L:L,'Overall Progress'!L:L,'Overall Progress'!L:L,"NOT YET")</f>
        <v>NOT YET</v>
      </c>
      <c r="P546" s="26"/>
      <c r="Q546" s="26"/>
      <c r="R546" s="26"/>
      <c r="S546" s="26"/>
      <c r="T546" s="26"/>
      <c r="U546" s="26"/>
      <c r="V546" s="26"/>
      <c r="W546" s="26"/>
      <c r="X546" s="26"/>
      <c r="Y546" s="26"/>
      <c r="Z546" s="26"/>
    </row>
    <row r="547" customHeight="1" spans="1:26">
      <c r="A547" s="27">
        <v>549</v>
      </c>
      <c r="B547" s="27">
        <v>35</v>
      </c>
      <c r="C547" s="27" t="s">
        <v>895</v>
      </c>
      <c r="D547" s="27" t="s">
        <v>2716</v>
      </c>
      <c r="E547" s="27" t="s">
        <v>2889</v>
      </c>
      <c r="F547" s="27" t="str">
        <f t="shared" si="0"/>
        <v>Negative Traits Latin Origin</v>
      </c>
      <c r="G547" s="27">
        <f t="shared" si="1"/>
        <v>10</v>
      </c>
      <c r="H547" s="27"/>
      <c r="I547" s="27"/>
      <c r="J547" s="27"/>
      <c r="K547" s="27"/>
      <c r="L547" s="27" t="str">
        <f t="shared" si="2"/>
        <v>E</v>
      </c>
      <c r="M547" s="27" t="str">
        <f>IFERROR(__xludf.DUMMYFUNCTION("GOOGLETRANSLATE(C547,""EN"",""KN"")"),"ಉದ್ರೇಕಗೊಂಡ")</f>
        <v>ಉದ್ರೇಕಗೊಂಡ</v>
      </c>
      <c r="N547" s="27" t="str">
        <f t="array" ref="N547">_xlfn.XLOOKUP(B547,'Sets Progress'!I:I,'Sets Progress'!I:I,"NOT YET")</f>
        <v>NOT YET</v>
      </c>
      <c r="O547" s="27" t="str">
        <f t="array" ref="O547">_xlfn.XLOOKUP(L:L,'Overall Progress'!L:L,'Overall Progress'!L:L,"NOT YET")</f>
        <v>NOT YET</v>
      </c>
      <c r="P547" s="27"/>
      <c r="Q547" s="27"/>
      <c r="R547" s="27"/>
      <c r="S547" s="27"/>
      <c r="T547" s="27"/>
      <c r="U547" s="27"/>
      <c r="V547" s="27"/>
      <c r="W547" s="27"/>
      <c r="X547" s="27"/>
      <c r="Y547" s="27"/>
      <c r="Z547" s="27"/>
    </row>
    <row r="548" hidden="1" customHeight="1" spans="1:26">
      <c r="A548" s="26">
        <v>697</v>
      </c>
      <c r="B548" s="26">
        <v>35</v>
      </c>
      <c r="C548" s="26" t="s">
        <v>1039</v>
      </c>
      <c r="D548" s="26" t="s">
        <v>2716</v>
      </c>
      <c r="E548" s="26" t="s">
        <v>2893</v>
      </c>
      <c r="F548" s="26" t="str">
        <f t="shared" si="0"/>
        <v>Negative Traits Greek Origin</v>
      </c>
      <c r="G548" s="26">
        <f t="shared" si="1"/>
        <v>9</v>
      </c>
      <c r="H548" s="26" t="s">
        <v>3473</v>
      </c>
      <c r="I548" s="26"/>
      <c r="J548" s="26"/>
      <c r="K548" s="26"/>
      <c r="L548" s="26" t="str">
        <f t="shared" si="2"/>
        <v>H</v>
      </c>
      <c r="M548" s="26" t="str">
        <f>IFERROR(__xludf.DUMMYFUNCTION("GOOGLETRANSLATE(C548,""EN"",""KN"")"),"ಕಪಟಿ")</f>
        <v>ಕಪಟಿ</v>
      </c>
      <c r="N548" s="26" t="str">
        <f t="array" ref="N548">_xlfn.XLOOKUP(B548,'Sets Progress'!I:I,'Sets Progress'!I:I,"NOT YET")</f>
        <v>NOT YET</v>
      </c>
      <c r="O548" s="26" t="str">
        <f t="array" ref="O548">_xlfn.XLOOKUP(L:L,'Overall Progress'!L:L,'Overall Progress'!L:L,"NOT YET")</f>
        <v>NOT YET</v>
      </c>
      <c r="P548" s="26"/>
      <c r="Q548" s="26"/>
      <c r="R548" s="26"/>
      <c r="S548" s="26"/>
      <c r="T548" s="26"/>
      <c r="U548" s="26"/>
      <c r="V548" s="26"/>
      <c r="W548" s="26"/>
      <c r="X548" s="26"/>
      <c r="Y548" s="26"/>
      <c r="Z548" s="26"/>
    </row>
    <row r="549" customHeight="1" spans="1:26">
      <c r="A549" s="27">
        <v>742</v>
      </c>
      <c r="B549" s="27">
        <v>35</v>
      </c>
      <c r="C549" s="27" t="s">
        <v>1083</v>
      </c>
      <c r="D549" s="27" t="s">
        <v>1721</v>
      </c>
      <c r="E549" s="27" t="s">
        <v>2889</v>
      </c>
      <c r="F549" s="27" t="str">
        <f t="shared" si="0"/>
        <v>Temporal Latin Origin</v>
      </c>
      <c r="G549" s="27">
        <f t="shared" si="1"/>
        <v>10</v>
      </c>
      <c r="H549" s="27"/>
      <c r="I549" s="27"/>
      <c r="J549" s="27"/>
      <c r="K549" s="27"/>
      <c r="L549" s="27" t="str">
        <f t="shared" si="2"/>
        <v>I</v>
      </c>
      <c r="M549" s="27" t="str">
        <f>IFERROR(__xludf.DUMMYFUNCTION("GOOGLETRANSLATE(C549,""EN"",""KN"")"),"ದಹನಕಾರಿ")</f>
        <v>ದಹನಕಾರಿ</v>
      </c>
      <c r="N549" s="27" t="str">
        <f t="array" ref="N549">_xlfn.XLOOKUP(B549,'Sets Progress'!I:I,'Sets Progress'!I:I,"NOT YET")</f>
        <v>NOT YET</v>
      </c>
      <c r="O549" s="27" t="str">
        <f t="array" ref="O549">_xlfn.XLOOKUP(L:L,'Overall Progress'!L:L,'Overall Progress'!L:L,"NOT YET")</f>
        <v>NOT YET</v>
      </c>
      <c r="P549" s="27"/>
      <c r="Q549" s="27"/>
      <c r="R549" s="27"/>
      <c r="S549" s="27"/>
      <c r="T549" s="27"/>
      <c r="U549" s="27"/>
      <c r="V549" s="27"/>
      <c r="W549" s="27"/>
      <c r="X549" s="27"/>
      <c r="Y549" s="27"/>
      <c r="Z549" s="27"/>
    </row>
    <row r="550" customHeight="1" spans="1:26">
      <c r="A550" s="26">
        <v>791</v>
      </c>
      <c r="B550" s="26">
        <v>35</v>
      </c>
      <c r="C550" s="26" t="s">
        <v>1132</v>
      </c>
      <c r="D550" s="26" t="s">
        <v>2717</v>
      </c>
      <c r="E550" s="26" t="s">
        <v>2908</v>
      </c>
      <c r="F550" s="26" t="str">
        <f t="shared" si="0"/>
        <v>Positive Traits Old English Origin</v>
      </c>
      <c r="G550" s="26">
        <f t="shared" si="1"/>
        <v>10</v>
      </c>
      <c r="H550" s="26"/>
      <c r="I550" s="26"/>
      <c r="J550" s="26"/>
      <c r="K550" s="26"/>
      <c r="L550" s="26" t="str">
        <f t="shared" si="2"/>
        <v>I</v>
      </c>
      <c r="M550" s="26" t="str">
        <f>IFERROR(__xludf.DUMMYFUNCTION("GOOGLETRANSLATE(C550,""EN"",""KN"")"),"ಒಳನೋಟವುಳ್ಳ")</f>
        <v>ಒಳನೋಟವುಳ್ಳ</v>
      </c>
      <c r="N550" s="26" t="str">
        <f t="array" ref="N550">_xlfn.XLOOKUP(B550,'Sets Progress'!I:I,'Sets Progress'!I:I,"NOT YET")</f>
        <v>NOT YET</v>
      </c>
      <c r="O550" s="26" t="str">
        <f t="array" ref="O550">_xlfn.XLOOKUP(L:L,'Overall Progress'!L:L,'Overall Progress'!L:L,"NOT YET")</f>
        <v>NOT YET</v>
      </c>
      <c r="P550" s="26"/>
      <c r="Q550" s="26"/>
      <c r="R550" s="26"/>
      <c r="S550" s="26"/>
      <c r="T550" s="26"/>
      <c r="U550" s="26"/>
      <c r="V550" s="26"/>
      <c r="W550" s="26"/>
      <c r="X550" s="26"/>
      <c r="Y550" s="26"/>
      <c r="Z550" s="26"/>
    </row>
    <row r="551" customHeight="1" spans="1:26">
      <c r="A551" s="27">
        <v>803</v>
      </c>
      <c r="B551" s="27">
        <v>35</v>
      </c>
      <c r="C551" s="27" t="s">
        <v>1143</v>
      </c>
      <c r="D551" s="27" t="s">
        <v>1721</v>
      </c>
      <c r="E551" s="27" t="s">
        <v>2889</v>
      </c>
      <c r="F551" s="27" t="str">
        <f t="shared" si="0"/>
        <v>Temporal Latin Origin</v>
      </c>
      <c r="G551" s="27">
        <f t="shared" si="1"/>
        <v>12</v>
      </c>
      <c r="H551" s="27"/>
      <c r="I551" s="27"/>
      <c r="J551" s="27"/>
      <c r="K551" s="27"/>
      <c r="L551" s="27" t="str">
        <f t="shared" si="2"/>
        <v>I</v>
      </c>
      <c r="M551" s="27" t="str">
        <f>IFERROR(__xludf.DUMMYFUNCTION("GOOGLETRANSLATE(C551,""EN"",""KN"")"),"ಮಧ್ಯವರ್ತಿ")</f>
        <v>ಮಧ್ಯವರ್ತಿ</v>
      </c>
      <c r="N551" s="27" t="str">
        <f t="array" ref="N551">_xlfn.XLOOKUP(B551,'Sets Progress'!I:I,'Sets Progress'!I:I,"NOT YET")</f>
        <v>NOT YET</v>
      </c>
      <c r="O551" s="27" t="str">
        <f t="array" ref="O551">_xlfn.XLOOKUP(L:L,'Overall Progress'!L:L,'Overall Progress'!L:L,"NOT YET")</f>
        <v>NOT YET</v>
      </c>
      <c r="P551" s="27"/>
      <c r="Q551" s="27"/>
      <c r="R551" s="27"/>
      <c r="S551" s="27"/>
      <c r="T551" s="27"/>
      <c r="U551" s="27"/>
      <c r="V551" s="27"/>
      <c r="W551" s="27"/>
      <c r="X551" s="27"/>
      <c r="Y551" s="27"/>
      <c r="Z551" s="27"/>
    </row>
    <row r="552" hidden="1" customHeight="1" spans="1:26">
      <c r="A552" s="26">
        <v>857</v>
      </c>
      <c r="B552" s="26">
        <v>35</v>
      </c>
      <c r="C552" s="26" t="s">
        <v>1197</v>
      </c>
      <c r="D552" s="26" t="s">
        <v>1721</v>
      </c>
      <c r="E552" s="26" t="s">
        <v>2921</v>
      </c>
      <c r="F552" s="26" t="str">
        <f t="shared" si="0"/>
        <v>Temporal Unknown Origin</v>
      </c>
      <c r="G552" s="26">
        <f t="shared" si="1"/>
        <v>9</v>
      </c>
      <c r="H552" s="26" t="s">
        <v>3474</v>
      </c>
      <c r="I552" s="26"/>
      <c r="J552" s="26"/>
      <c r="K552" s="26"/>
      <c r="L552" s="26" t="str">
        <f t="shared" si="2"/>
        <v>L</v>
      </c>
      <c r="M552" s="26" t="str">
        <f>IFERROR(__xludf.DUMMYFUNCTION("GOOGLETRANSLATE(C552,""EN"",""KN"")"),"ಲೇಪರ್ಸನ್")</f>
        <v>ಲೇಪರ್ಸನ್</v>
      </c>
      <c r="N552" s="26" t="str">
        <f t="array" ref="N552">_xlfn.XLOOKUP(B552,'Sets Progress'!I:I,'Sets Progress'!I:I,"NOT YET")</f>
        <v>NOT YET</v>
      </c>
      <c r="O552" s="26" t="str">
        <f t="array" ref="O552">_xlfn.XLOOKUP(L:L,'Overall Progress'!L:L,'Overall Progress'!L:L,"NOT YET")</f>
        <v>NOT YET</v>
      </c>
      <c r="P552" s="26"/>
      <c r="Q552" s="26"/>
      <c r="R552" s="26"/>
      <c r="S552" s="26"/>
      <c r="T552" s="26"/>
      <c r="U552" s="26"/>
      <c r="V552" s="26"/>
      <c r="W552" s="26"/>
      <c r="X552" s="26"/>
      <c r="Y552" s="26"/>
      <c r="Z552" s="26"/>
    </row>
    <row r="553" hidden="1" customHeight="1" spans="1:26">
      <c r="A553" s="27">
        <v>888</v>
      </c>
      <c r="B553" s="27">
        <v>35</v>
      </c>
      <c r="C553" s="27" t="s">
        <v>1225</v>
      </c>
      <c r="D553" s="27" t="s">
        <v>2717</v>
      </c>
      <c r="E553" s="27" t="s">
        <v>2889</v>
      </c>
      <c r="F553" s="27" t="str">
        <f t="shared" si="0"/>
        <v>Positive Traits Latin Origin</v>
      </c>
      <c r="G553" s="27">
        <f t="shared" si="1"/>
        <v>9</v>
      </c>
      <c r="H553" s="27" t="s">
        <v>3475</v>
      </c>
      <c r="I553" s="27"/>
      <c r="J553" s="27"/>
      <c r="K553" s="27"/>
      <c r="L553" s="27" t="str">
        <f t="shared" si="2"/>
        <v>M</v>
      </c>
      <c r="M553" s="27" t="str">
        <f>IFERROR(__xludf.DUMMYFUNCTION("GOOGLETRANSLATE(C553,""EN"",""KN"")"),"ಮೆತುವಾದ")</f>
        <v>ಮೆತುವಾದ</v>
      </c>
      <c r="N553" s="27" t="str">
        <f t="array" ref="N553">_xlfn.XLOOKUP(B553,'Sets Progress'!I:I,'Sets Progress'!I:I,"NOT YET")</f>
        <v>NOT YET</v>
      </c>
      <c r="O553" s="27" t="str">
        <f t="array" ref="O553">_xlfn.XLOOKUP(L:L,'Overall Progress'!L:L,'Overall Progress'!L:L,"NOT YET")</f>
        <v>NOT YET</v>
      </c>
      <c r="P553" s="27"/>
      <c r="Q553" s="27"/>
      <c r="R553" s="27"/>
      <c r="S553" s="27"/>
      <c r="T553" s="27"/>
      <c r="U553" s="27"/>
      <c r="V553" s="27"/>
      <c r="W553" s="27"/>
      <c r="X553" s="27"/>
      <c r="Y553" s="27"/>
      <c r="Z553" s="27"/>
    </row>
    <row r="554" hidden="1" customHeight="1" spans="1:26">
      <c r="A554" s="26">
        <v>1147</v>
      </c>
      <c r="B554" s="26">
        <v>35</v>
      </c>
      <c r="C554" s="26" t="s">
        <v>257</v>
      </c>
      <c r="D554" s="26" t="s">
        <v>2717</v>
      </c>
      <c r="E554" s="26" t="s">
        <v>2889</v>
      </c>
      <c r="F554" s="26" t="str">
        <f t="shared" si="0"/>
        <v>Positive Traits Latin Origin</v>
      </c>
      <c r="G554" s="26">
        <f t="shared" si="1"/>
        <v>7</v>
      </c>
      <c r="H554" s="26" t="s">
        <v>3476</v>
      </c>
      <c r="I554" s="26"/>
      <c r="J554" s="26"/>
      <c r="K554" s="26"/>
      <c r="L554" s="26" t="str">
        <f t="shared" si="2"/>
        <v>P</v>
      </c>
      <c r="M554" s="26" t="str">
        <f>IFERROR(__xludf.DUMMYFUNCTION("GOOGLETRANSLATE(C554,""EN"",""KN"")"),"ವಿವೇಕಯುತ")</f>
        <v>ವಿವೇಕಯುತ</v>
      </c>
      <c r="N554" s="26" t="str">
        <f t="array" ref="N554">_xlfn.XLOOKUP(B554,'Sets Progress'!I:I,'Sets Progress'!I:I,"NOT YET")</f>
        <v>NOT YET</v>
      </c>
      <c r="O554" s="26" t="str">
        <f t="array" ref="O554">_xlfn.XLOOKUP(L:L,'Overall Progress'!L:L,'Overall Progress'!L:L,"NOT YET")</f>
        <v>NOT YET</v>
      </c>
      <c r="P554" s="26"/>
      <c r="Q554" s="26"/>
      <c r="R554" s="26"/>
      <c r="S554" s="26"/>
      <c r="T554" s="26"/>
      <c r="U554" s="26"/>
      <c r="V554" s="26"/>
      <c r="W554" s="26"/>
      <c r="X554" s="26"/>
      <c r="Y554" s="26"/>
      <c r="Z554" s="26"/>
    </row>
    <row r="555" hidden="1" customHeight="1" spans="1:26">
      <c r="A555" s="27">
        <v>1187</v>
      </c>
      <c r="B555" s="27">
        <v>35</v>
      </c>
      <c r="C555" s="27" t="s">
        <v>1518</v>
      </c>
      <c r="D555" s="27" t="s">
        <v>2717</v>
      </c>
      <c r="E555" s="27" t="s">
        <v>2889</v>
      </c>
      <c r="F555" s="27" t="str">
        <f t="shared" si="0"/>
        <v>Positive Traits Latin Origin</v>
      </c>
      <c r="G555" s="27">
        <f t="shared" si="1"/>
        <v>6</v>
      </c>
      <c r="H555" s="27" t="s">
        <v>3477</v>
      </c>
      <c r="I555" s="27"/>
      <c r="J555" s="27"/>
      <c r="K555" s="27"/>
      <c r="L555" s="27" t="str">
        <f t="shared" si="2"/>
        <v>R</v>
      </c>
      <c r="M555" s="27" t="str">
        <f>IFERROR(__xludf.DUMMYFUNCTION("GOOGLETRANSLATE(C555,""EN"",""KN"")"),"ಆಶ್ರಯ")</f>
        <v>ಆಶ್ರಯ</v>
      </c>
      <c r="N555" s="27" t="str">
        <f t="array" ref="N555">_xlfn.XLOOKUP(B555,'Sets Progress'!I:I,'Sets Progress'!I:I,"NOT YET")</f>
        <v>NOT YET</v>
      </c>
      <c r="O555" s="27" t="str">
        <f t="array" ref="O555">_xlfn.XLOOKUP(L:L,'Overall Progress'!L:L,'Overall Progress'!L:L,"NOT YET")</f>
        <v>NOT YET</v>
      </c>
      <c r="P555" s="27"/>
      <c r="Q555" s="27"/>
      <c r="R555" s="27"/>
      <c r="S555" s="27"/>
      <c r="T555" s="27"/>
      <c r="U555" s="27"/>
      <c r="V555" s="27"/>
      <c r="W555" s="27"/>
      <c r="X555" s="27"/>
      <c r="Y555" s="27"/>
      <c r="Z555" s="27"/>
    </row>
    <row r="556" customHeight="1" spans="1:26">
      <c r="A556" s="26">
        <v>1222</v>
      </c>
      <c r="B556" s="26">
        <v>35</v>
      </c>
      <c r="C556" s="26" t="s">
        <v>1553</v>
      </c>
      <c r="D556" s="26" t="s">
        <v>2716</v>
      </c>
      <c r="E556" s="26" t="s">
        <v>2889</v>
      </c>
      <c r="F556" s="26" t="str">
        <f t="shared" si="0"/>
        <v>Negative Traits Latin Origin</v>
      </c>
      <c r="G556" s="26">
        <f t="shared" si="1"/>
        <v>7</v>
      </c>
      <c r="H556" s="26"/>
      <c r="I556" s="26"/>
      <c r="J556" s="26"/>
      <c r="K556" s="26"/>
      <c r="L556" s="26" t="str">
        <f t="shared" si="2"/>
        <v>R</v>
      </c>
      <c r="M556" s="26" t="str">
        <f>IFERROR(__xludf.DUMMYFUNCTION("GOOGLETRANSLATE(C556,""EN"",""KN"")"),"ವಿಶ್ರಾಂತಿ")</f>
        <v>ವಿಶ್ರಾಂತಿ</v>
      </c>
      <c r="N556" s="26" t="str">
        <f t="array" ref="N556">_xlfn.XLOOKUP(B556,'Sets Progress'!I:I,'Sets Progress'!I:I,"NOT YET")</f>
        <v>NOT YET</v>
      </c>
      <c r="O556" s="26" t="str">
        <f t="array" ref="O556">_xlfn.XLOOKUP(L:L,'Overall Progress'!L:L,'Overall Progress'!L:L,"NOT YET")</f>
        <v>NOT YET</v>
      </c>
      <c r="P556" s="26"/>
      <c r="Q556" s="26"/>
      <c r="R556" s="26"/>
      <c r="S556" s="26"/>
      <c r="T556" s="26"/>
      <c r="U556" s="26"/>
      <c r="V556" s="26"/>
      <c r="W556" s="26"/>
      <c r="X556" s="26"/>
      <c r="Y556" s="26"/>
      <c r="Z556" s="26"/>
    </row>
    <row r="557" hidden="1" customHeight="1" spans="1:26">
      <c r="A557" s="27">
        <v>1238</v>
      </c>
      <c r="B557" s="27">
        <v>35</v>
      </c>
      <c r="C557" s="27" t="s">
        <v>1569</v>
      </c>
      <c r="D557" s="27" t="s">
        <v>1721</v>
      </c>
      <c r="E557" s="27" t="s">
        <v>2921</v>
      </c>
      <c r="F557" s="27" t="str">
        <f t="shared" si="0"/>
        <v>Temporal Unknown Origin</v>
      </c>
      <c r="G557" s="27">
        <f t="shared" si="1"/>
        <v>3</v>
      </c>
      <c r="H557" s="27" t="s">
        <v>3478</v>
      </c>
      <c r="I557" s="27"/>
      <c r="J557" s="27"/>
      <c r="K557" s="27"/>
      <c r="L557" s="27" t="str">
        <f t="shared" si="2"/>
        <v>R</v>
      </c>
      <c r="M557" s="27" t="str">
        <f>IFERROR(__xludf.DUMMYFUNCTION("GOOGLETRANSLATE(C557,""EN"",""KN"")"),"ಸಾಲು")</f>
        <v>ಸಾಲು</v>
      </c>
      <c r="N557" s="27" t="str">
        <f t="array" ref="N557">_xlfn.XLOOKUP(B557,'Sets Progress'!I:I,'Sets Progress'!I:I,"NOT YET")</f>
        <v>NOT YET</v>
      </c>
      <c r="O557" s="27" t="str">
        <f t="array" ref="O557">_xlfn.XLOOKUP(L:L,'Overall Progress'!L:L,'Overall Progress'!L:L,"NOT YET")</f>
        <v>NOT YET</v>
      </c>
      <c r="P557" s="27"/>
      <c r="Q557" s="27"/>
      <c r="R557" s="27"/>
      <c r="S557" s="27"/>
      <c r="T557" s="27"/>
      <c r="U557" s="27"/>
      <c r="V557" s="27"/>
      <c r="W557" s="27"/>
      <c r="X557" s="27"/>
      <c r="Y557" s="27"/>
      <c r="Z557" s="27"/>
    </row>
    <row r="558" hidden="1" customHeight="1" spans="1:26">
      <c r="A558" s="26">
        <v>1518</v>
      </c>
      <c r="B558" s="26">
        <v>35</v>
      </c>
      <c r="C558" s="26" t="s">
        <v>1846</v>
      </c>
      <c r="D558" s="26" t="s">
        <v>2717</v>
      </c>
      <c r="E558" s="26" t="s">
        <v>2889</v>
      </c>
      <c r="F558" s="26" t="str">
        <f t="shared" si="0"/>
        <v>Positive Traits Latin Origin</v>
      </c>
      <c r="G558" s="26">
        <f t="shared" si="1"/>
        <v>5</v>
      </c>
      <c r="H558" s="26" t="s">
        <v>3479</v>
      </c>
      <c r="I558" s="26"/>
      <c r="J558" s="26"/>
      <c r="K558" s="26"/>
      <c r="L558" s="26" t="str">
        <f t="shared" si="2"/>
        <v>V</v>
      </c>
      <c r="M558" s="26" t="str">
        <f>IFERROR(__xludf.DUMMYFUNCTION("GOOGLETRANSLATE(C558,""EN"",""KN"")"),"ಗಾಯನ")</f>
        <v>ಗಾಯನ</v>
      </c>
      <c r="N558" s="26" t="str">
        <f t="array" ref="N558">_xlfn.XLOOKUP(B558,'Sets Progress'!I:I,'Sets Progress'!I:I,"NOT YET")</f>
        <v>NOT YET</v>
      </c>
      <c r="O558" s="26" t="str">
        <f t="array" ref="O558">_xlfn.XLOOKUP(L:L,'Overall Progress'!L:L,'Overall Progress'!L:L,"NOT YET")</f>
        <v>NOT YET</v>
      </c>
      <c r="P558" s="26"/>
      <c r="Q558" s="26"/>
      <c r="R558" s="26"/>
      <c r="S558" s="26"/>
      <c r="T558" s="26"/>
      <c r="U558" s="26"/>
      <c r="V558" s="26"/>
      <c r="W558" s="26"/>
      <c r="X558" s="26"/>
      <c r="Y558" s="26"/>
      <c r="Z558" s="26"/>
    </row>
    <row r="559" hidden="1" customHeight="1" spans="1:26">
      <c r="A559" s="27">
        <v>1521</v>
      </c>
      <c r="B559" s="27">
        <v>35</v>
      </c>
      <c r="C559" s="27" t="s">
        <v>1849</v>
      </c>
      <c r="D559" s="27" t="s">
        <v>2716</v>
      </c>
      <c r="E559" s="27" t="s">
        <v>2889</v>
      </c>
      <c r="F559" s="27" t="str">
        <f t="shared" si="0"/>
        <v>Negative Traits Latin Origin</v>
      </c>
      <c r="G559" s="27">
        <f t="shared" si="1"/>
        <v>7</v>
      </c>
      <c r="H559" s="27" t="s">
        <v>3480</v>
      </c>
      <c r="I559" s="27"/>
      <c r="J559" s="27"/>
      <c r="K559" s="27"/>
      <c r="L559" s="27" t="str">
        <f t="shared" si="2"/>
        <v>V</v>
      </c>
      <c r="M559" s="27" t="str">
        <f>IFERROR(__xludf.DUMMYFUNCTION("GOOGLETRANSLATE(C559,""EN"",""KN"")"),"ವಾಲ್ಯೂಬಲ್")</f>
        <v>ವಾಲ್ಯೂಬಲ್</v>
      </c>
      <c r="N559" s="27" t="str">
        <f t="array" ref="N559">_xlfn.XLOOKUP(B559,'Sets Progress'!I:I,'Sets Progress'!I:I,"NOT YET")</f>
        <v>NOT YET</v>
      </c>
      <c r="O559" s="27" t="str">
        <f t="array" ref="O559">_xlfn.XLOOKUP(L:L,'Overall Progress'!L:L,'Overall Progress'!L:L,"NOT YET")</f>
        <v>NOT YET</v>
      </c>
      <c r="P559" s="27"/>
      <c r="Q559" s="27"/>
      <c r="R559" s="27"/>
      <c r="S559" s="27"/>
      <c r="T559" s="27"/>
      <c r="U559" s="27"/>
      <c r="V559" s="27"/>
      <c r="W559" s="27"/>
      <c r="X559" s="27"/>
      <c r="Y559" s="27"/>
      <c r="Z559" s="27"/>
    </row>
    <row r="560" hidden="1" customHeight="1" spans="1:26">
      <c r="A560" s="26">
        <v>1543</v>
      </c>
      <c r="B560" s="26">
        <v>35</v>
      </c>
      <c r="C560" s="26" t="s">
        <v>1874</v>
      </c>
      <c r="D560" s="26" t="s">
        <v>2717</v>
      </c>
      <c r="E560" s="26" t="s">
        <v>2893</v>
      </c>
      <c r="F560" s="26" t="str">
        <f t="shared" si="0"/>
        <v>Positive Traits Greek Origin</v>
      </c>
      <c r="G560" s="26">
        <f t="shared" si="1"/>
        <v>7</v>
      </c>
      <c r="H560" s="26" t="s">
        <v>3481</v>
      </c>
      <c r="I560" s="26"/>
      <c r="J560" s="26"/>
      <c r="K560" s="26"/>
      <c r="L560" s="26" t="str">
        <f t="shared" si="2"/>
        <v>Z</v>
      </c>
      <c r="M560" s="26" t="str">
        <f>IFERROR(__xludf.DUMMYFUNCTION("GOOGLETRANSLATE(C560,""EN"",""KN"")"),"ಉತ್ಸಾಹಿ")</f>
        <v>ಉತ್ಸಾಹಿ</v>
      </c>
      <c r="N560" s="26" t="str">
        <f t="array" ref="N560">_xlfn.XLOOKUP(B560,'Sets Progress'!I:I,'Sets Progress'!I:I,"NOT YET")</f>
        <v>NOT YET</v>
      </c>
      <c r="O560" s="26" t="str">
        <f t="array" ref="O560">_xlfn.XLOOKUP(L:L,'Overall Progress'!L:L,'Overall Progress'!L:L,"NOT YET")</f>
        <v>NOT YET</v>
      </c>
      <c r="P560" s="26"/>
      <c r="Q560" s="26"/>
      <c r="R560" s="26"/>
      <c r="S560" s="26"/>
      <c r="T560" s="26"/>
      <c r="U560" s="26"/>
      <c r="V560" s="26"/>
      <c r="W560" s="26"/>
      <c r="X560" s="26"/>
      <c r="Y560" s="26"/>
      <c r="Z560" s="26"/>
    </row>
    <row r="561" hidden="1" customHeight="1" spans="1:26">
      <c r="A561" s="27">
        <v>237</v>
      </c>
      <c r="B561" s="27">
        <v>36</v>
      </c>
      <c r="C561" s="27" t="s">
        <v>588</v>
      </c>
      <c r="D561" s="27" t="s">
        <v>1638</v>
      </c>
      <c r="E561" s="27" t="s">
        <v>2889</v>
      </c>
      <c r="F561" s="27" t="str">
        <f t="shared" si="0"/>
        <v>Sound Latin Origin</v>
      </c>
      <c r="G561" s="27">
        <f t="shared" si="1"/>
        <v>9</v>
      </c>
      <c r="H561" s="27" t="s">
        <v>3482</v>
      </c>
      <c r="I561" s="27"/>
      <c r="J561" s="27"/>
      <c r="K561" s="27"/>
      <c r="L561" s="27" t="str">
        <f t="shared" si="2"/>
        <v>C</v>
      </c>
      <c r="M561" s="27" t="str">
        <f>IFERROR(__xludf.DUMMYFUNCTION("GOOGLETRANSLATE(C561,""EN"",""KN"")"),"ಕೋಲಾಹಲದ")</f>
        <v>ಕೋಲಾಹಲದ</v>
      </c>
      <c r="N561" s="27" t="str">
        <f t="array" ref="N561">_xlfn.XLOOKUP(B561,'Sets Progress'!I:I,'Sets Progress'!I:I,"NOT YET")</f>
        <v>NOT YET</v>
      </c>
      <c r="O561" s="27" t="str">
        <f t="array" ref="O561">_xlfn.XLOOKUP(L:L,'Overall Progress'!L:L,'Overall Progress'!L:L,"NOT YET")</f>
        <v>NOT YET</v>
      </c>
      <c r="P561" s="27"/>
      <c r="Q561" s="27"/>
      <c r="R561" s="27"/>
      <c r="S561" s="27"/>
      <c r="T561" s="27"/>
      <c r="U561" s="27"/>
      <c r="V561" s="27"/>
      <c r="W561" s="27"/>
      <c r="X561" s="27"/>
      <c r="Y561" s="27"/>
      <c r="Z561" s="27"/>
    </row>
    <row r="562" hidden="1" customHeight="1" spans="1:26">
      <c r="A562" s="26">
        <v>529</v>
      </c>
      <c r="B562" s="26">
        <v>36</v>
      </c>
      <c r="C562" s="26" t="s">
        <v>876</v>
      </c>
      <c r="D562" s="26" t="s">
        <v>1721</v>
      </c>
      <c r="E562" s="26" t="s">
        <v>2889</v>
      </c>
      <c r="F562" s="26" t="str">
        <f t="shared" si="0"/>
        <v>Temporal Latin Origin</v>
      </c>
      <c r="G562" s="26">
        <f t="shared" si="1"/>
        <v>7</v>
      </c>
      <c r="H562" s="26" t="s">
        <v>3483</v>
      </c>
      <c r="I562" s="26"/>
      <c r="J562" s="26"/>
      <c r="K562" s="26"/>
      <c r="L562" s="26" t="str">
        <f t="shared" si="2"/>
        <v>E</v>
      </c>
      <c r="M562" s="26" t="str">
        <f>IFERROR(__xludf.DUMMYFUNCTION("GOOGLETRANSLATE(C562,""EN"",""KN"")"),"ಅನಿಯಮಿತ")</f>
        <v>ಅನಿಯಮಿತ</v>
      </c>
      <c r="N562" s="26" t="str">
        <f t="array" ref="N562">_xlfn.XLOOKUP(B562,'Sets Progress'!I:I,'Sets Progress'!I:I,"NOT YET")</f>
        <v>NOT YET</v>
      </c>
      <c r="O562" s="26" t="str">
        <f t="array" ref="O562">_xlfn.XLOOKUP(L:L,'Overall Progress'!L:L,'Overall Progress'!L:L,"NOT YET")</f>
        <v>NOT YET</v>
      </c>
      <c r="P562" s="26"/>
      <c r="Q562" s="26"/>
      <c r="R562" s="26"/>
      <c r="S562" s="26"/>
      <c r="T562" s="26"/>
      <c r="U562" s="26"/>
      <c r="V562" s="26"/>
      <c r="W562" s="26"/>
      <c r="X562" s="26"/>
      <c r="Y562" s="26"/>
      <c r="Z562" s="26"/>
    </row>
    <row r="563" hidden="1" customHeight="1" spans="1:26">
      <c r="A563" s="27">
        <v>643</v>
      </c>
      <c r="B563" s="27">
        <v>36</v>
      </c>
      <c r="C563" s="27" t="s">
        <v>987</v>
      </c>
      <c r="D563" s="27" t="s">
        <v>1721</v>
      </c>
      <c r="E563" s="27" t="s">
        <v>2889</v>
      </c>
      <c r="F563" s="27" t="str">
        <f t="shared" si="0"/>
        <v>Temporal Latin Origin</v>
      </c>
      <c r="G563" s="27">
        <f t="shared" si="1"/>
        <v>6</v>
      </c>
      <c r="H563" s="27" t="s">
        <v>3484</v>
      </c>
      <c r="I563" s="27"/>
      <c r="J563" s="27"/>
      <c r="K563" s="27"/>
      <c r="L563" s="27" t="str">
        <f t="shared" si="2"/>
        <v>F</v>
      </c>
      <c r="M563" s="27" t="str">
        <f>IFERROR(__xludf.DUMMYFUNCTION("GOOGLETRANSLATE(C563,""EN"",""KN"")"),"ನಿರರ್ಥಕ")</f>
        <v>ನಿರರ್ಥಕ</v>
      </c>
      <c r="N563" s="27" t="str">
        <f t="array" ref="N563">_xlfn.XLOOKUP(B563,'Sets Progress'!I:I,'Sets Progress'!I:I,"NOT YET")</f>
        <v>NOT YET</v>
      </c>
      <c r="O563" s="27" t="str">
        <f t="array" ref="O563">_xlfn.XLOOKUP(L:L,'Overall Progress'!L:L,'Overall Progress'!L:L,"NOT YET")</f>
        <v>NOT YET</v>
      </c>
      <c r="P563" s="27"/>
      <c r="Q563" s="27"/>
      <c r="R563" s="27"/>
      <c r="S563" s="27"/>
      <c r="T563" s="27"/>
      <c r="U563" s="27"/>
      <c r="V563" s="27"/>
      <c r="W563" s="27"/>
      <c r="X563" s="27"/>
      <c r="Y563" s="27"/>
      <c r="Z563" s="27"/>
    </row>
    <row r="564" hidden="1" customHeight="1" spans="1:26">
      <c r="A564" s="26">
        <v>650</v>
      </c>
      <c r="B564" s="26">
        <v>36</v>
      </c>
      <c r="C564" s="26" t="s">
        <v>993</v>
      </c>
      <c r="D564" s="26" t="s">
        <v>2892</v>
      </c>
      <c r="E564" s="26" t="s">
        <v>2921</v>
      </c>
      <c r="F564" s="26" t="str">
        <f t="shared" si="0"/>
        <v>Spatial Unknown Origin</v>
      </c>
      <c r="G564" s="26">
        <f t="shared" si="1"/>
        <v>5</v>
      </c>
      <c r="H564" s="26" t="s">
        <v>3485</v>
      </c>
      <c r="I564" s="26"/>
      <c r="J564" s="26"/>
      <c r="K564" s="26"/>
      <c r="L564" s="26" t="str">
        <f t="shared" si="2"/>
        <v>G</v>
      </c>
      <c r="M564" s="26" t="str">
        <f>IFERROR(__xludf.DUMMYFUNCTION("GOOGLETRANSLATE(C564,""EN"",""KN"")"),"ಗಾವ್ಕಿ")</f>
        <v>ಗಾವ್ಕಿ</v>
      </c>
      <c r="N564" s="26" t="str">
        <f t="array" ref="N564">_xlfn.XLOOKUP(B564,'Sets Progress'!I:I,'Sets Progress'!I:I,"NOT YET")</f>
        <v>NOT YET</v>
      </c>
      <c r="O564" s="26" t="str">
        <f t="array" ref="O564">_xlfn.XLOOKUP(L:L,'Overall Progress'!L:L,'Overall Progress'!L:L,"NOT YET")</f>
        <v>NOT YET</v>
      </c>
      <c r="P564" s="26"/>
      <c r="Q564" s="26"/>
      <c r="R564" s="26"/>
      <c r="S564" s="26"/>
      <c r="T564" s="26"/>
      <c r="U564" s="26"/>
      <c r="V564" s="26"/>
      <c r="W564" s="26"/>
      <c r="X564" s="26"/>
      <c r="Y564" s="26"/>
      <c r="Z564" s="26"/>
    </row>
    <row r="565" hidden="1" customHeight="1" spans="1:26">
      <c r="A565" s="27">
        <v>667</v>
      </c>
      <c r="B565" s="27">
        <v>36</v>
      </c>
      <c r="C565" s="27" t="s">
        <v>1010</v>
      </c>
      <c r="D565" s="27" t="s">
        <v>2716</v>
      </c>
      <c r="E565" s="27" t="s">
        <v>2896</v>
      </c>
      <c r="F565" s="27" t="str">
        <f t="shared" si="0"/>
        <v>Negative Traits Old French Origin</v>
      </c>
      <c r="G565" s="27">
        <f t="shared" si="1"/>
        <v>9</v>
      </c>
      <c r="H565" s="27" t="s">
        <v>3486</v>
      </c>
      <c r="I565" s="27"/>
      <c r="J565" s="27"/>
      <c r="K565" s="27"/>
      <c r="L565" s="27" t="str">
        <f t="shared" si="2"/>
        <v>G</v>
      </c>
      <c r="M565" s="27" t="str">
        <f>IFERROR(__xludf.DUMMYFUNCTION("GOOGLETRANSLATE(C565,""EN"",""KN"")"),"ಕುಂದುಕೊರತೆ")</f>
        <v>ಕುಂದುಕೊರತೆ</v>
      </c>
      <c r="N565" s="27" t="str">
        <f t="array" ref="N565">_xlfn.XLOOKUP(B565,'Sets Progress'!I:I,'Sets Progress'!I:I,"NOT YET")</f>
        <v>NOT YET</v>
      </c>
      <c r="O565" s="27" t="str">
        <f t="array" ref="O565">_xlfn.XLOOKUP(L:L,'Overall Progress'!L:L,'Overall Progress'!L:L,"NOT YET")</f>
        <v>NOT YET</v>
      </c>
      <c r="P565" s="27"/>
      <c r="Q565" s="27"/>
      <c r="R565" s="27"/>
      <c r="S565" s="27"/>
      <c r="T565" s="27"/>
      <c r="U565" s="27"/>
      <c r="V565" s="27"/>
      <c r="W565" s="27"/>
      <c r="X565" s="27"/>
      <c r="Y565" s="27"/>
      <c r="Z565" s="27"/>
    </row>
    <row r="566" hidden="1" customHeight="1" spans="1:26">
      <c r="A566" s="26">
        <v>908</v>
      </c>
      <c r="B566" s="26">
        <v>36</v>
      </c>
      <c r="C566" s="26" t="s">
        <v>1245</v>
      </c>
      <c r="D566" s="26" t="s">
        <v>2716</v>
      </c>
      <c r="E566" s="26" t="s">
        <v>2889</v>
      </c>
      <c r="F566" s="26" t="str">
        <f t="shared" si="0"/>
        <v>Negative Traits Latin Origin</v>
      </c>
      <c r="G566" s="26">
        <f t="shared" si="1"/>
        <v>12</v>
      </c>
      <c r="H566" s="26" t="s">
        <v>3487</v>
      </c>
      <c r="I566" s="26"/>
      <c r="J566" s="26"/>
      <c r="K566" s="26"/>
      <c r="L566" s="26" t="str">
        <f t="shared" si="2"/>
        <v>M</v>
      </c>
      <c r="M566" s="26" t="str">
        <f>IFERROR(__xludf.DUMMYFUNCTION("GOOGLETRANSLATE(C566,""EN"",""KN"")"),"ಮೆರೆಟ್ರಿಯಸ್")</f>
        <v>ಮೆರೆಟ್ರಿಯಸ್</v>
      </c>
      <c r="N566" s="26" t="str">
        <f t="array" ref="N566">_xlfn.XLOOKUP(B566,'Sets Progress'!I:I,'Sets Progress'!I:I,"NOT YET")</f>
        <v>NOT YET</v>
      </c>
      <c r="O566" s="26" t="str">
        <f t="array" ref="O566">_xlfn.XLOOKUP(L:L,'Overall Progress'!L:L,'Overall Progress'!L:L,"NOT YET")</f>
        <v>NOT YET</v>
      </c>
      <c r="P566" s="26"/>
      <c r="Q566" s="26"/>
      <c r="R566" s="26"/>
      <c r="S566" s="26"/>
      <c r="T566" s="26"/>
      <c r="U566" s="26"/>
      <c r="V566" s="26"/>
      <c r="W566" s="26"/>
      <c r="X566" s="26"/>
      <c r="Y566" s="26"/>
      <c r="Z566" s="26"/>
    </row>
    <row r="567" hidden="1" customHeight="1" spans="1:26">
      <c r="A567" s="27">
        <v>925</v>
      </c>
      <c r="B567" s="27">
        <v>36</v>
      </c>
      <c r="C567" s="27" t="s">
        <v>1261</v>
      </c>
      <c r="D567" s="27" t="s">
        <v>1721</v>
      </c>
      <c r="E567" s="27" t="s">
        <v>2893</v>
      </c>
      <c r="F567" s="27" t="str">
        <f t="shared" si="0"/>
        <v>Temporal Greek Origin</v>
      </c>
      <c r="G567" s="27">
        <f t="shared" si="1"/>
        <v>9</v>
      </c>
      <c r="H567" s="27" t="s">
        <v>3488</v>
      </c>
      <c r="I567" s="27"/>
      <c r="J567" s="27"/>
      <c r="K567" s="27"/>
      <c r="L567" s="27" t="str">
        <f t="shared" si="2"/>
        <v>M</v>
      </c>
      <c r="M567" s="27" t="str">
        <f>IFERROR(__xludf.DUMMYFUNCTION("GOOGLETRANSLATE(C567,""EN"",""KN"")"),"ಸ್ವಗತ")</f>
        <v>ಸ್ವಗತ</v>
      </c>
      <c r="N567" s="27" t="str">
        <f t="array" ref="N567">_xlfn.XLOOKUP(B567,'Sets Progress'!I:I,'Sets Progress'!I:I,"NOT YET")</f>
        <v>NOT YET</v>
      </c>
      <c r="O567" s="27" t="str">
        <f t="array" ref="O567">_xlfn.XLOOKUP(L:L,'Overall Progress'!L:L,'Overall Progress'!L:L,"NOT YET")</f>
        <v>NOT YET</v>
      </c>
      <c r="P567" s="27"/>
      <c r="Q567" s="27"/>
      <c r="R567" s="27"/>
      <c r="S567" s="27"/>
      <c r="T567" s="27"/>
      <c r="U567" s="27"/>
      <c r="V567" s="27"/>
      <c r="W567" s="27"/>
      <c r="X567" s="27"/>
      <c r="Y567" s="27"/>
      <c r="Z567" s="27"/>
    </row>
    <row r="568" hidden="1" customHeight="1" spans="1:26">
      <c r="A568" s="26">
        <v>1051</v>
      </c>
      <c r="B568" s="26">
        <v>36</v>
      </c>
      <c r="C568" s="26" t="s">
        <v>1386</v>
      </c>
      <c r="D568" s="26" t="s">
        <v>2717</v>
      </c>
      <c r="E568" s="26" t="s">
        <v>2889</v>
      </c>
      <c r="F568" s="26" t="str">
        <f t="shared" si="0"/>
        <v>Positive Traits Latin Origin</v>
      </c>
      <c r="G568" s="26">
        <f t="shared" si="1"/>
        <v>11</v>
      </c>
      <c r="H568" s="26" t="s">
        <v>3489</v>
      </c>
      <c r="I568" s="26"/>
      <c r="J568" s="26"/>
      <c r="K568" s="26"/>
      <c r="L568" s="26" t="str">
        <f t="shared" si="2"/>
        <v>P</v>
      </c>
      <c r="M568" s="26" t="str">
        <f>IFERROR(__xludf.DUMMYFUNCTION("GOOGLETRANSLATE(C568,""EN"",""KN"")"),"ಹಠ")</f>
        <v>ಹಠ</v>
      </c>
      <c r="N568" s="26" t="str">
        <f t="array" ref="N568">_xlfn.XLOOKUP(B568,'Sets Progress'!I:I,'Sets Progress'!I:I,"NOT YET")</f>
        <v>NOT YET</v>
      </c>
      <c r="O568" s="26" t="str">
        <f t="array" ref="O568">_xlfn.XLOOKUP(L:L,'Overall Progress'!L:L,'Overall Progress'!L:L,"NOT YET")</f>
        <v>NOT YET</v>
      </c>
      <c r="P568" s="26"/>
      <c r="Q568" s="26"/>
      <c r="R568" s="26"/>
      <c r="S568" s="26"/>
      <c r="T568" s="26"/>
      <c r="U568" s="26"/>
      <c r="V568" s="26"/>
      <c r="W568" s="26"/>
      <c r="X568" s="26"/>
      <c r="Y568" s="26"/>
      <c r="Z568" s="26"/>
    </row>
    <row r="569" hidden="1" customHeight="1" spans="1:26">
      <c r="A569" s="27">
        <v>1165</v>
      </c>
      <c r="B569" s="27">
        <v>36</v>
      </c>
      <c r="C569" s="27" t="s">
        <v>1496</v>
      </c>
      <c r="D569" s="27" t="s">
        <v>1721</v>
      </c>
      <c r="E569" s="27" t="s">
        <v>2921</v>
      </c>
      <c r="F569" s="27" t="str">
        <f t="shared" si="0"/>
        <v>Temporal Unknown Origin</v>
      </c>
      <c r="G569" s="27">
        <f t="shared" si="1"/>
        <v>8</v>
      </c>
      <c r="H569" s="27" t="s">
        <v>3490</v>
      </c>
      <c r="I569" s="27"/>
      <c r="J569" s="27"/>
      <c r="K569" s="27"/>
      <c r="L569" s="27" t="str">
        <f t="shared" si="2"/>
        <v>R</v>
      </c>
      <c r="M569" s="27" t="str">
        <f>IFERROR(__xludf.DUMMYFUNCTION("GOOGLETRANSLATE(C569,""EN"",""KN"")"),"ರ್ಯಾಲಿ ಮಾಡುತ್ತಿದೆ")</f>
        <v>ರ್ಯಾಲಿ ಮಾಡುತ್ತಿದೆ</v>
      </c>
      <c r="N569" s="27" t="str">
        <f t="array" ref="N569">_xlfn.XLOOKUP(B569,'Sets Progress'!I:I,'Sets Progress'!I:I,"NOT YET")</f>
        <v>NOT YET</v>
      </c>
      <c r="O569" s="27" t="str">
        <f t="array" ref="O569">_xlfn.XLOOKUP(L:L,'Overall Progress'!L:L,'Overall Progress'!L:L,"NOT YET")</f>
        <v>NOT YET</v>
      </c>
      <c r="P569" s="27"/>
      <c r="Q569" s="27"/>
      <c r="R569" s="27"/>
      <c r="S569" s="27"/>
      <c r="T569" s="27"/>
      <c r="U569" s="27"/>
      <c r="V569" s="27"/>
      <c r="W569" s="27"/>
      <c r="X569" s="27"/>
      <c r="Y569" s="27"/>
      <c r="Z569" s="27"/>
    </row>
    <row r="570" customHeight="1" spans="1:26">
      <c r="A570" s="26">
        <v>1181</v>
      </c>
      <c r="B570" s="26">
        <v>36</v>
      </c>
      <c r="C570" s="26" t="s">
        <v>1512</v>
      </c>
      <c r="D570" s="26" t="s">
        <v>1721</v>
      </c>
      <c r="E570" s="26" t="s">
        <v>2889</v>
      </c>
      <c r="F570" s="26" t="str">
        <f t="shared" si="0"/>
        <v>Temporal Latin Origin</v>
      </c>
      <c r="G570" s="26">
        <f t="shared" si="1"/>
        <v>10</v>
      </c>
      <c r="H570" s="26"/>
      <c r="I570" s="26"/>
      <c r="J570" s="26"/>
      <c r="K570" s="26"/>
      <c r="L570" s="26" t="str">
        <f t="shared" si="2"/>
        <v>R</v>
      </c>
      <c r="M570" s="26" t="str">
        <f>IFERROR(__xludf.DUMMYFUNCTION("GOOGLETRANSLATE(C570,""EN"",""KN"")"),"ರಿಕ್ರೂಡೆಸ್ಸೆ")</f>
        <v>ರಿಕ್ರೂಡೆಸ್ಸೆ</v>
      </c>
      <c r="N570" s="26" t="str">
        <f t="array" ref="N570">_xlfn.XLOOKUP(B570,'Sets Progress'!I:I,'Sets Progress'!I:I,"NOT YET")</f>
        <v>NOT YET</v>
      </c>
      <c r="O570" s="26" t="str">
        <f t="array" ref="O570">_xlfn.XLOOKUP(L:L,'Overall Progress'!L:L,'Overall Progress'!L:L,"NOT YET")</f>
        <v>NOT YET</v>
      </c>
      <c r="P570" s="26"/>
      <c r="Q570" s="26"/>
      <c r="R570" s="26"/>
      <c r="S570" s="26"/>
      <c r="T570" s="26"/>
      <c r="U570" s="26"/>
      <c r="V570" s="26"/>
      <c r="W570" s="26"/>
      <c r="X570" s="26"/>
      <c r="Y570" s="26"/>
      <c r="Z570" s="26"/>
    </row>
    <row r="571" hidden="1" customHeight="1" spans="1:26">
      <c r="A571" s="27">
        <v>1191</v>
      </c>
      <c r="B571" s="27">
        <v>36</v>
      </c>
      <c r="C571" s="27" t="s">
        <v>1522</v>
      </c>
      <c r="D571" s="27" t="s">
        <v>1721</v>
      </c>
      <c r="E571" s="27" t="s">
        <v>2908</v>
      </c>
      <c r="F571" s="27" t="str">
        <f t="shared" si="0"/>
        <v>Temporal Old English Origin</v>
      </c>
      <c r="G571" s="27">
        <f t="shared" si="1"/>
        <v>4</v>
      </c>
      <c r="H571" s="27" t="s">
        <v>3491</v>
      </c>
      <c r="I571" s="27"/>
      <c r="J571" s="27"/>
      <c r="K571" s="27"/>
      <c r="L571" s="27" t="str">
        <f t="shared" si="2"/>
        <v>R</v>
      </c>
      <c r="M571" s="27" t="str">
        <f>IFERROR(__xludf.DUMMYFUNCTION("GOOGLETRANSLATE(C571,""EN"",""KN"")"),"ರೀನ್")</f>
        <v>ರೀನ್</v>
      </c>
      <c r="N571" s="27" t="str">
        <f t="array" ref="N571">_xlfn.XLOOKUP(B571,'Sets Progress'!I:I,'Sets Progress'!I:I,"NOT YET")</f>
        <v>NOT YET</v>
      </c>
      <c r="O571" s="27" t="str">
        <f t="array" ref="O571">_xlfn.XLOOKUP(L:L,'Overall Progress'!L:L,'Overall Progress'!L:L,"NOT YET")</f>
        <v>NOT YET</v>
      </c>
      <c r="P571" s="27"/>
      <c r="Q571" s="27"/>
      <c r="R571" s="27"/>
      <c r="S571" s="27"/>
      <c r="T571" s="27"/>
      <c r="U571" s="27"/>
      <c r="V571" s="27"/>
      <c r="W571" s="27"/>
      <c r="X571" s="27"/>
      <c r="Y571" s="27"/>
      <c r="Z571" s="27"/>
    </row>
    <row r="572" customHeight="1" spans="1:26">
      <c r="A572" s="26">
        <v>1316</v>
      </c>
      <c r="B572" s="26">
        <v>36</v>
      </c>
      <c r="C572" s="26" t="s">
        <v>1647</v>
      </c>
      <c r="D572" s="26" t="s">
        <v>2716</v>
      </c>
      <c r="E572" s="26" t="s">
        <v>2889</v>
      </c>
      <c r="F572" s="26" t="str">
        <f t="shared" si="0"/>
        <v>Negative Traits Latin Origin</v>
      </c>
      <c r="G572" s="26">
        <f t="shared" si="1"/>
        <v>8</v>
      </c>
      <c r="H572" s="26"/>
      <c r="I572" s="26"/>
      <c r="J572" s="26"/>
      <c r="K572" s="26"/>
      <c r="L572" s="26" t="str">
        <f t="shared" si="2"/>
        <v>S</v>
      </c>
      <c r="M572" s="26" t="str">
        <f>IFERROR(__xludf.DUMMYFUNCTION("GOOGLETRANSLATE(C572,""EN"",""KN"")"),"ನಕಲಿ")</f>
        <v>ನಕಲಿ</v>
      </c>
      <c r="N572" s="26" t="str">
        <f t="array" ref="N572">_xlfn.XLOOKUP(B572,'Sets Progress'!I:I,'Sets Progress'!I:I,"NOT YET")</f>
        <v>NOT YET</v>
      </c>
      <c r="O572" s="26" t="str">
        <f t="array" ref="O572">_xlfn.XLOOKUP(L:L,'Overall Progress'!L:L,'Overall Progress'!L:L,"NOT YET")</f>
        <v>NOT YET</v>
      </c>
      <c r="P572" s="26"/>
      <c r="Q572" s="26"/>
      <c r="R572" s="26"/>
      <c r="S572" s="26"/>
      <c r="T572" s="26"/>
      <c r="U572" s="26"/>
      <c r="V572" s="26"/>
      <c r="W572" s="26"/>
      <c r="X572" s="26"/>
      <c r="Y572" s="26"/>
      <c r="Z572" s="26"/>
    </row>
    <row r="573" hidden="1" customHeight="1" spans="1:26">
      <c r="A573" s="27">
        <v>326</v>
      </c>
      <c r="B573" s="27">
        <v>37</v>
      </c>
      <c r="C573" s="27" t="s">
        <v>676</v>
      </c>
      <c r="D573" s="27" t="s">
        <v>2892</v>
      </c>
      <c r="E573" s="27" t="s">
        <v>2899</v>
      </c>
      <c r="F573" s="27" t="str">
        <f t="shared" si="0"/>
        <v>Spatial Middle English Origin</v>
      </c>
      <c r="G573" s="27">
        <f t="shared" si="1"/>
        <v>6</v>
      </c>
      <c r="H573" s="27" t="s">
        <v>3492</v>
      </c>
      <c r="I573" s="27"/>
      <c r="J573" s="27"/>
      <c r="K573" s="27"/>
      <c r="L573" s="27" t="str">
        <f t="shared" si="2"/>
        <v>C</v>
      </c>
      <c r="M573" s="27" t="str">
        <f>IFERROR(__xludf.DUMMYFUNCTION("GOOGLETRANSLATE(C573,""EN"",""KN"")"),"ಕುತಂತ್ರ")</f>
        <v>ಕುತಂತ್ರ</v>
      </c>
      <c r="N573" s="27" t="str">
        <f t="array" ref="N573">_xlfn.XLOOKUP(B573,'Sets Progress'!I:I,'Sets Progress'!I:I,"NOT YET")</f>
        <v>NOT YET</v>
      </c>
      <c r="O573" s="27" t="str">
        <f t="array" ref="O573">_xlfn.XLOOKUP(L:L,'Overall Progress'!L:L,'Overall Progress'!L:L,"NOT YET")</f>
        <v>NOT YET</v>
      </c>
      <c r="P573" s="27"/>
      <c r="Q573" s="27"/>
      <c r="R573" s="27"/>
      <c r="S573" s="27"/>
      <c r="T573" s="27"/>
      <c r="U573" s="27"/>
      <c r="V573" s="27"/>
      <c r="W573" s="27"/>
      <c r="X573" s="27"/>
      <c r="Y573" s="27"/>
      <c r="Z573" s="27"/>
    </row>
    <row r="574" hidden="1" customHeight="1" spans="1:26">
      <c r="A574" s="26">
        <v>380</v>
      </c>
      <c r="B574" s="26">
        <v>37</v>
      </c>
      <c r="C574" s="26" t="s">
        <v>730</v>
      </c>
      <c r="D574" s="26" t="s">
        <v>2946</v>
      </c>
      <c r="E574" s="26" t="s">
        <v>2889</v>
      </c>
      <c r="F574" s="26" t="str">
        <f t="shared" si="0"/>
        <v>Emotional Latin Origin</v>
      </c>
      <c r="G574" s="26">
        <f t="shared" si="1"/>
        <v>7</v>
      </c>
      <c r="H574" s="26" t="s">
        <v>3493</v>
      </c>
      <c r="I574" s="26"/>
      <c r="J574" s="26"/>
      <c r="K574" s="26"/>
      <c r="L574" s="26" t="str">
        <f t="shared" si="2"/>
        <v>D</v>
      </c>
      <c r="M574" s="26" t="str">
        <f>IFERROR(__xludf.DUMMYFUNCTION("GOOGLETRANSLATE(C574,""EN"",""KN"")"),"ಹತಾಶೆ")</f>
        <v>ಹತಾಶೆ</v>
      </c>
      <c r="N574" s="26" t="str">
        <f t="array" ref="N574">_xlfn.XLOOKUP(B574,'Sets Progress'!I:I,'Sets Progress'!I:I,"NOT YET")</f>
        <v>NOT YET</v>
      </c>
      <c r="O574" s="26" t="str">
        <f t="array" ref="O574">_xlfn.XLOOKUP(L:L,'Overall Progress'!L:L,'Overall Progress'!L:L,"NOT YET")</f>
        <v>NOT YET</v>
      </c>
      <c r="P574" s="26"/>
      <c r="Q574" s="26"/>
      <c r="R574" s="26"/>
      <c r="S574" s="26"/>
      <c r="T574" s="26"/>
      <c r="U574" s="26"/>
      <c r="V574" s="26"/>
      <c r="W574" s="26"/>
      <c r="X574" s="26"/>
      <c r="Y574" s="26"/>
      <c r="Z574" s="26"/>
    </row>
    <row r="575" customHeight="1" spans="1:26">
      <c r="A575" s="27">
        <v>392</v>
      </c>
      <c r="B575" s="27">
        <v>37</v>
      </c>
      <c r="C575" s="27" t="s">
        <v>742</v>
      </c>
      <c r="D575" s="27" t="s">
        <v>2716</v>
      </c>
      <c r="E575" s="27" t="s">
        <v>2893</v>
      </c>
      <c r="F575" s="27" t="str">
        <f t="shared" si="0"/>
        <v>Negative Traits Greek Origin</v>
      </c>
      <c r="G575" s="27">
        <f t="shared" si="1"/>
        <v>8</v>
      </c>
      <c r="H575" s="27"/>
      <c r="I575" s="27"/>
      <c r="J575" s="27"/>
      <c r="K575" s="27"/>
      <c r="L575" s="27" t="str">
        <f t="shared" si="2"/>
        <v>D</v>
      </c>
      <c r="M575" s="27" t="str">
        <f>IFERROR(__xludf.DUMMYFUNCTION("GOOGLETRANSLATE(C575,""EN"",""KN"")"),"ಡಯಾಟ್ರಿಬ್")</f>
        <v>ಡಯಾಟ್ರಿಬ್</v>
      </c>
      <c r="N575" s="27" t="str">
        <f t="array" ref="N575">_xlfn.XLOOKUP(B575,'Sets Progress'!I:I,'Sets Progress'!I:I,"NOT YET")</f>
        <v>NOT YET</v>
      </c>
      <c r="O575" s="27" t="str">
        <f t="array" ref="O575">_xlfn.XLOOKUP(L:L,'Overall Progress'!L:L,'Overall Progress'!L:L,"NOT YET")</f>
        <v>NOT YET</v>
      </c>
      <c r="P575" s="27"/>
      <c r="Q575" s="27"/>
      <c r="R575" s="27"/>
      <c r="S575" s="27"/>
      <c r="T575" s="27"/>
      <c r="U575" s="27"/>
      <c r="V575" s="27"/>
      <c r="W575" s="27"/>
      <c r="X575" s="27"/>
      <c r="Y575" s="27"/>
      <c r="Z575" s="27"/>
    </row>
    <row r="576" hidden="1" customHeight="1" spans="1:26">
      <c r="A576" s="26">
        <v>446</v>
      </c>
      <c r="B576" s="26">
        <v>37</v>
      </c>
      <c r="C576" s="26" t="s">
        <v>795</v>
      </c>
      <c r="D576" s="26" t="s">
        <v>2892</v>
      </c>
      <c r="E576" s="26" t="s">
        <v>2889</v>
      </c>
      <c r="F576" s="26" t="str">
        <f t="shared" si="0"/>
        <v>Spatial Latin Origin</v>
      </c>
      <c r="G576" s="26">
        <f t="shared" si="1"/>
        <v>9</v>
      </c>
      <c r="H576" s="26" t="s">
        <v>3494</v>
      </c>
      <c r="I576" s="26"/>
      <c r="J576" s="26"/>
      <c r="K576" s="26"/>
      <c r="L576" s="26" t="str">
        <f t="shared" si="2"/>
        <v>D</v>
      </c>
      <c r="M576" s="26" t="str">
        <f>IFERROR(__xludf.DUMMYFUNCTION("GOOGLETRANSLATE(C576,""EN"",""KN"")"),"ವಿಭಿನ್ನ")</f>
        <v>ವಿಭಿನ್ನ</v>
      </c>
      <c r="N576" s="26" t="str">
        <f t="array" ref="N576">_xlfn.XLOOKUP(B576,'Sets Progress'!I:I,'Sets Progress'!I:I,"NOT YET")</f>
        <v>NOT YET</v>
      </c>
      <c r="O576" s="26" t="str">
        <f t="array" ref="O576">_xlfn.XLOOKUP(L:L,'Overall Progress'!L:L,'Overall Progress'!L:L,"NOT YET")</f>
        <v>NOT YET</v>
      </c>
      <c r="P576" s="26"/>
      <c r="Q576" s="26"/>
      <c r="R576" s="26"/>
      <c r="S576" s="26"/>
      <c r="T576" s="26"/>
      <c r="U576" s="26"/>
      <c r="V576" s="26"/>
      <c r="W576" s="26"/>
      <c r="X576" s="26"/>
      <c r="Y576" s="26"/>
      <c r="Z576" s="26"/>
    </row>
    <row r="577" hidden="1" customHeight="1" spans="1:26">
      <c r="A577" s="27">
        <v>521</v>
      </c>
      <c r="B577" s="27">
        <v>37</v>
      </c>
      <c r="C577" s="27" t="s">
        <v>870</v>
      </c>
      <c r="D577" s="27" t="s">
        <v>2717</v>
      </c>
      <c r="E577" s="27" t="s">
        <v>2889</v>
      </c>
      <c r="F577" s="27" t="str">
        <f t="shared" si="0"/>
        <v>Positive Traits Latin Origin</v>
      </c>
      <c r="G577" s="27">
        <f t="shared" si="1"/>
        <v>8</v>
      </c>
      <c r="H577" s="27" t="s">
        <v>3495</v>
      </c>
      <c r="I577" s="27"/>
      <c r="J577" s="27"/>
      <c r="K577" s="27"/>
      <c r="L577" s="27" t="str">
        <f t="shared" si="2"/>
        <v>E</v>
      </c>
      <c r="M577" s="27" t="str">
        <f>IFERROR(__xludf.DUMMYFUNCTION("GOOGLETRANSLATE(C577,""EN"",""KN"")"),"ಅಸೂಯೆಪಡುವ")</f>
        <v>ಅಸೂಯೆಪಡುವ</v>
      </c>
      <c r="N577" s="27" t="str">
        <f t="array" ref="N577">_xlfn.XLOOKUP(B577,'Sets Progress'!I:I,'Sets Progress'!I:I,"NOT YET")</f>
        <v>NOT YET</v>
      </c>
      <c r="O577" s="27" t="str">
        <f t="array" ref="O577">_xlfn.XLOOKUP(L:L,'Overall Progress'!L:L,'Overall Progress'!L:L,"NOT YET")</f>
        <v>NOT YET</v>
      </c>
      <c r="P577" s="27"/>
      <c r="Q577" s="27"/>
      <c r="R577" s="27"/>
      <c r="S577" s="27"/>
      <c r="T577" s="27"/>
      <c r="U577" s="27"/>
      <c r="V577" s="27"/>
      <c r="W577" s="27"/>
      <c r="X577" s="27"/>
      <c r="Y577" s="27"/>
      <c r="Z577" s="27"/>
    </row>
    <row r="578" hidden="1" customHeight="1" spans="1:26">
      <c r="A578" s="26">
        <v>531</v>
      </c>
      <c r="B578" s="26">
        <v>37</v>
      </c>
      <c r="C578" s="26" t="s">
        <v>878</v>
      </c>
      <c r="D578" s="26" t="s">
        <v>1721</v>
      </c>
      <c r="E578" s="26" t="s">
        <v>2908</v>
      </c>
      <c r="F578" s="26" t="str">
        <f t="shared" si="0"/>
        <v>Temporal Old English Origin</v>
      </c>
      <c r="G578" s="26">
        <f t="shared" si="1"/>
        <v>9</v>
      </c>
      <c r="H578" s="26" t="s">
        <v>3496</v>
      </c>
      <c r="I578" s="26"/>
      <c r="J578" s="26"/>
      <c r="K578" s="26"/>
      <c r="L578" s="26" t="str">
        <f t="shared" si="2"/>
        <v>E</v>
      </c>
      <c r="M578" s="26" t="str">
        <f>IFERROR(__xludf.DUMMYFUNCTION("GOOGLETRANSLATE(C578,""EN"",""KN"")"),"ಹಿಂದಿನ ಕಾಲದಲ್ಲಿ")</f>
        <v>ಹಿಂದಿನ ಕಾಲದಲ್ಲಿ</v>
      </c>
      <c r="N578" s="26" t="str">
        <f t="array" ref="N578">_xlfn.XLOOKUP(B578,'Sets Progress'!I:I,'Sets Progress'!I:I,"NOT YET")</f>
        <v>NOT YET</v>
      </c>
      <c r="O578" s="26" t="str">
        <f t="array" ref="O578">_xlfn.XLOOKUP(L:L,'Overall Progress'!L:L,'Overall Progress'!L:L,"NOT YET")</f>
        <v>NOT YET</v>
      </c>
      <c r="P578" s="26"/>
      <c r="Q578" s="26"/>
      <c r="R578" s="26"/>
      <c r="S578" s="26"/>
      <c r="T578" s="26"/>
      <c r="U578" s="26"/>
      <c r="V578" s="26"/>
      <c r="W578" s="26"/>
      <c r="X578" s="26"/>
      <c r="Y578" s="26"/>
      <c r="Z578" s="26"/>
    </row>
    <row r="579" hidden="1" customHeight="1" spans="1:26">
      <c r="A579" s="27">
        <v>536</v>
      </c>
      <c r="B579" s="27">
        <v>37</v>
      </c>
      <c r="C579" s="27" t="s">
        <v>882</v>
      </c>
      <c r="D579" s="27" t="s">
        <v>2717</v>
      </c>
      <c r="E579" s="27" t="s">
        <v>2889</v>
      </c>
      <c r="F579" s="27" t="str">
        <f t="shared" si="0"/>
        <v>Positive Traits Latin Origin</v>
      </c>
      <c r="G579" s="27">
        <f t="shared" si="1"/>
        <v>9</v>
      </c>
      <c r="H579" s="27" t="s">
        <v>3497</v>
      </c>
      <c r="I579" s="27"/>
      <c r="J579" s="27"/>
      <c r="K579" s="27"/>
      <c r="L579" s="27" t="str">
        <f t="shared" si="2"/>
        <v>E</v>
      </c>
      <c r="M579" s="27" t="str">
        <f>IFERROR(__xludf.DUMMYFUNCTION("GOOGLETRANSLATE(C579,""EN"",""KN"")"),"ಅಂದಾಜು ಮಾಡಬಹುದಾದ")</f>
        <v>ಅಂದಾಜು ಮಾಡಬಹುದಾದ</v>
      </c>
      <c r="N579" s="27" t="str">
        <f t="array" ref="N579">_xlfn.XLOOKUP(B579,'Sets Progress'!I:I,'Sets Progress'!I:I,"NOT YET")</f>
        <v>NOT YET</v>
      </c>
      <c r="O579" s="27" t="str">
        <f t="array" ref="O579">_xlfn.XLOOKUP(L:L,'Overall Progress'!L:L,'Overall Progress'!L:L,"NOT YET")</f>
        <v>NOT YET</v>
      </c>
      <c r="P579" s="27"/>
      <c r="Q579" s="27"/>
      <c r="R579" s="27"/>
      <c r="S579" s="27"/>
      <c r="T579" s="27"/>
      <c r="U579" s="27"/>
      <c r="V579" s="27"/>
      <c r="W579" s="27"/>
      <c r="X579" s="27"/>
      <c r="Y579" s="27"/>
      <c r="Z579" s="27"/>
    </row>
    <row r="580" hidden="1" customHeight="1" spans="1:26">
      <c r="A580" s="26">
        <v>693</v>
      </c>
      <c r="B580" s="26">
        <v>37</v>
      </c>
      <c r="C580" s="26" t="s">
        <v>1035</v>
      </c>
      <c r="D580" s="26" t="s">
        <v>1721</v>
      </c>
      <c r="E580" s="26" t="s">
        <v>2889</v>
      </c>
      <c r="F580" s="26" t="str">
        <f t="shared" si="0"/>
        <v>Temporal Latin Origin</v>
      </c>
      <c r="G580" s="26">
        <f t="shared" si="1"/>
        <v>10</v>
      </c>
      <c r="H580" s="26" t="s">
        <v>3498</v>
      </c>
      <c r="I580" s="26"/>
      <c r="J580" s="26"/>
      <c r="K580" s="26"/>
      <c r="L580" s="26" t="str">
        <f t="shared" si="2"/>
        <v>H</v>
      </c>
      <c r="M580" s="26" t="str">
        <f>IFERROR(__xludf.DUMMYFUNCTION("GOOGLETRANSLATE(C580,""EN"",""KN"")"),"ಆತಿಥ್ಯಕಾರಿ")</f>
        <v>ಆತಿಥ್ಯಕಾರಿ</v>
      </c>
      <c r="N580" s="26" t="str">
        <f t="array" ref="N580">_xlfn.XLOOKUP(B580,'Sets Progress'!I:I,'Sets Progress'!I:I,"NOT YET")</f>
        <v>NOT YET</v>
      </c>
      <c r="O580" s="26" t="str">
        <f t="array" ref="O580">_xlfn.XLOOKUP(L:L,'Overall Progress'!L:L,'Overall Progress'!L:L,"NOT YET")</f>
        <v>NOT YET</v>
      </c>
      <c r="P580" s="26"/>
      <c r="Q580" s="26"/>
      <c r="R580" s="26"/>
      <c r="S580" s="26"/>
      <c r="T580" s="26"/>
      <c r="U580" s="26"/>
      <c r="V580" s="26"/>
      <c r="W580" s="26"/>
      <c r="X580" s="26"/>
      <c r="Y580" s="26"/>
      <c r="Z580" s="26"/>
    </row>
    <row r="581" hidden="1" customHeight="1" spans="1:26">
      <c r="A581" s="27">
        <v>929</v>
      </c>
      <c r="B581" s="27">
        <v>37</v>
      </c>
      <c r="C581" s="27" t="s">
        <v>1265</v>
      </c>
      <c r="D581" s="27" t="s">
        <v>2716</v>
      </c>
      <c r="E581" s="27" t="s">
        <v>2889</v>
      </c>
      <c r="F581" s="27" t="str">
        <f t="shared" si="0"/>
        <v>Negative Traits Latin Origin</v>
      </c>
      <c r="G581" s="27">
        <f t="shared" si="1"/>
        <v>6</v>
      </c>
      <c r="H581" s="27" t="s">
        <v>3499</v>
      </c>
      <c r="I581" s="27"/>
      <c r="J581" s="27"/>
      <c r="K581" s="27"/>
      <c r="L581" s="27" t="str">
        <f t="shared" si="2"/>
        <v>M</v>
      </c>
      <c r="M581" s="27" t="str">
        <f>IFERROR(__xludf.DUMMYFUNCTION("GOOGLETRANSLATE(C581,""EN"",""KN"")"),"ಮೋರೋಸ್")</f>
        <v>ಮೋರೋಸ್</v>
      </c>
      <c r="N581" s="27" t="str">
        <f t="array" ref="N581">_xlfn.XLOOKUP(B581,'Sets Progress'!I:I,'Sets Progress'!I:I,"NOT YET")</f>
        <v>NOT YET</v>
      </c>
      <c r="O581" s="27" t="str">
        <f t="array" ref="O581">_xlfn.XLOOKUP(L:L,'Overall Progress'!L:L,'Overall Progress'!L:L,"NOT YET")</f>
        <v>NOT YET</v>
      </c>
      <c r="P581" s="27"/>
      <c r="Q581" s="27"/>
      <c r="R581" s="27"/>
      <c r="S581" s="27"/>
      <c r="T581" s="27"/>
      <c r="U581" s="27"/>
      <c r="V581" s="27"/>
      <c r="W581" s="27"/>
      <c r="X581" s="27"/>
      <c r="Y581" s="27"/>
      <c r="Z581" s="27"/>
    </row>
    <row r="582" hidden="1" customHeight="1" spans="1:26">
      <c r="A582" s="26">
        <v>937</v>
      </c>
      <c r="B582" s="26">
        <v>37</v>
      </c>
      <c r="C582" s="26" t="s">
        <v>1273</v>
      </c>
      <c r="D582" s="26" t="s">
        <v>2716</v>
      </c>
      <c r="E582" s="26" t="s">
        <v>2911</v>
      </c>
      <c r="F582" s="26" t="str">
        <f t="shared" si="0"/>
        <v>Negative Traits French Origin</v>
      </c>
      <c r="G582" s="26">
        <f t="shared" si="1"/>
        <v>6</v>
      </c>
      <c r="H582" s="26" t="s">
        <v>3500</v>
      </c>
      <c r="I582" s="26"/>
      <c r="J582" s="26"/>
      <c r="K582" s="26"/>
      <c r="L582" s="26" t="str">
        <f t="shared" si="2"/>
        <v>M</v>
      </c>
      <c r="M582" s="26" t="str">
        <f>IFERROR(__xludf.DUMMYFUNCTION("GOOGLETRANSLATE(C582,""EN"",""KN"")"),"ದಂಗೆ")</f>
        <v>ದಂಗೆ</v>
      </c>
      <c r="N582" s="26" t="str">
        <f t="array" ref="N582">_xlfn.XLOOKUP(B582,'Sets Progress'!I:I,'Sets Progress'!I:I,"NOT YET")</f>
        <v>NOT YET</v>
      </c>
      <c r="O582" s="26" t="str">
        <f t="array" ref="O582">_xlfn.XLOOKUP(L:L,'Overall Progress'!L:L,'Overall Progress'!L:L,"NOT YET")</f>
        <v>NOT YET</v>
      </c>
      <c r="P582" s="26"/>
      <c r="Q582" s="26"/>
      <c r="R582" s="26"/>
      <c r="S582" s="26"/>
      <c r="T582" s="26"/>
      <c r="U582" s="26"/>
      <c r="V582" s="26"/>
      <c r="W582" s="26"/>
      <c r="X582" s="26"/>
      <c r="Y582" s="26"/>
      <c r="Z582" s="26"/>
    </row>
    <row r="583" hidden="1" customHeight="1" spans="1:26">
      <c r="A583" s="27">
        <v>1018</v>
      </c>
      <c r="B583" s="27">
        <v>37</v>
      </c>
      <c r="C583" s="27" t="s">
        <v>1353</v>
      </c>
      <c r="D583" s="27" t="s">
        <v>2716</v>
      </c>
      <c r="E583" s="27" t="s">
        <v>2889</v>
      </c>
      <c r="F583" s="27" t="str">
        <f t="shared" si="0"/>
        <v>Negative Traits Latin Origin</v>
      </c>
      <c r="G583" s="27">
        <f t="shared" si="1"/>
        <v>12</v>
      </c>
      <c r="H583" s="27" t="s">
        <v>3501</v>
      </c>
      <c r="I583" s="27"/>
      <c r="J583" s="27"/>
      <c r="K583" s="27"/>
      <c r="L583" s="27" t="str">
        <f t="shared" si="2"/>
        <v>P</v>
      </c>
      <c r="M583" s="27" t="str">
        <f>IFERROR(__xludf.DUMMYFUNCTION("GOOGLETRANSLATE(C583,""EN"",""KN"")"),"ಪಾರ್ಸಿಮೋನಿಯಸ್")</f>
        <v>ಪಾರ್ಸಿಮೋನಿಯಸ್</v>
      </c>
      <c r="N583" s="27" t="str">
        <f t="array" ref="N583">_xlfn.XLOOKUP(B583,'Sets Progress'!I:I,'Sets Progress'!I:I,"NOT YET")</f>
        <v>NOT YET</v>
      </c>
      <c r="O583" s="27" t="str">
        <f t="array" ref="O583">_xlfn.XLOOKUP(L:L,'Overall Progress'!L:L,'Overall Progress'!L:L,"NOT YET")</f>
        <v>NOT YET</v>
      </c>
      <c r="P583" s="27"/>
      <c r="Q583" s="27"/>
      <c r="R583" s="27"/>
      <c r="S583" s="27"/>
      <c r="T583" s="27"/>
      <c r="U583" s="27"/>
      <c r="V583" s="27"/>
      <c r="W583" s="27"/>
      <c r="X583" s="27"/>
      <c r="Y583" s="27"/>
      <c r="Z583" s="27"/>
    </row>
    <row r="584" hidden="1" customHeight="1" spans="1:26">
      <c r="A584" s="26">
        <v>1021</v>
      </c>
      <c r="B584" s="26">
        <v>37</v>
      </c>
      <c r="C584" s="26" t="s">
        <v>1356</v>
      </c>
      <c r="D584" s="26" t="s">
        <v>2716</v>
      </c>
      <c r="E584" s="26" t="s">
        <v>3019</v>
      </c>
      <c r="F584" s="26" t="str">
        <f t="shared" si="0"/>
        <v>Negative Traits Italian Origin</v>
      </c>
      <c r="G584" s="26">
        <f t="shared" si="1"/>
        <v>8</v>
      </c>
      <c r="H584" s="26" t="s">
        <v>3502</v>
      </c>
      <c r="I584" s="26"/>
      <c r="J584" s="26"/>
      <c r="K584" s="26"/>
      <c r="L584" s="26" t="str">
        <f t="shared" si="2"/>
        <v>P</v>
      </c>
      <c r="M584" s="26" t="str">
        <f>IFERROR(__xludf.DUMMYFUNCTION("GOOGLETRANSLATE(C584,""EN"",""KN"")"),"ಪಕ್ಷಪಾತಿ")</f>
        <v>ಪಕ್ಷಪಾತಿ</v>
      </c>
      <c r="N584" s="26" t="str">
        <f t="array" ref="N584">_xlfn.XLOOKUP(B584,'Sets Progress'!I:I,'Sets Progress'!I:I,"NOT YET")</f>
        <v>NOT YET</v>
      </c>
      <c r="O584" s="26" t="str">
        <f t="array" ref="O584">_xlfn.XLOOKUP(L:L,'Overall Progress'!L:L,'Overall Progress'!L:L,"NOT YET")</f>
        <v>NOT YET</v>
      </c>
      <c r="P584" s="26"/>
      <c r="Q584" s="26"/>
      <c r="R584" s="26"/>
      <c r="S584" s="26"/>
      <c r="T584" s="26"/>
      <c r="U584" s="26"/>
      <c r="V584" s="26"/>
      <c r="W584" s="26"/>
      <c r="X584" s="26"/>
      <c r="Y584" s="26"/>
      <c r="Z584" s="26"/>
    </row>
    <row r="585" hidden="1" customHeight="1" spans="1:26">
      <c r="A585" s="27">
        <v>1322</v>
      </c>
      <c r="B585" s="27">
        <v>37</v>
      </c>
      <c r="C585" s="27" t="s">
        <v>1653</v>
      </c>
      <c r="D585" s="27" t="s">
        <v>1721</v>
      </c>
      <c r="E585" s="27" t="s">
        <v>2908</v>
      </c>
      <c r="F585" s="27" t="str">
        <f t="shared" si="0"/>
        <v>Temporal Old English Origin</v>
      </c>
      <c r="G585" s="27">
        <f t="shared" si="1"/>
        <v>6</v>
      </c>
      <c r="H585" s="27" t="s">
        <v>3503</v>
      </c>
      <c r="I585" s="27"/>
      <c r="J585" s="27"/>
      <c r="K585" s="27"/>
      <c r="L585" s="27" t="str">
        <f t="shared" si="2"/>
        <v>S</v>
      </c>
      <c r="M585" s="27" t="str">
        <f>IFERROR(__xludf.DUMMYFUNCTION("GOOGLETRANSLATE(C585,""EN"",""KN"")"),"ಪ್ರಧಾನ")</f>
        <v>ಪ್ರಧಾನ</v>
      </c>
      <c r="N585" s="27" t="str">
        <f t="array" ref="N585">_xlfn.XLOOKUP(B585,'Sets Progress'!I:I,'Sets Progress'!I:I,"NOT YET")</f>
        <v>NOT YET</v>
      </c>
      <c r="O585" s="27" t="str">
        <f t="array" ref="O585">_xlfn.XLOOKUP(L:L,'Overall Progress'!L:L,'Overall Progress'!L:L,"NOT YET")</f>
        <v>NOT YET</v>
      </c>
      <c r="P585" s="27"/>
      <c r="Q585" s="27"/>
      <c r="R585" s="27"/>
      <c r="S585" s="27"/>
      <c r="T585" s="27"/>
      <c r="U585" s="27"/>
      <c r="V585" s="27"/>
      <c r="W585" s="27"/>
      <c r="X585" s="27"/>
      <c r="Y585" s="27"/>
      <c r="Z585" s="27"/>
    </row>
    <row r="586" hidden="1" customHeight="1" spans="1:26">
      <c r="A586" s="26">
        <v>1392</v>
      </c>
      <c r="B586" s="26">
        <v>37</v>
      </c>
      <c r="C586" s="26" t="s">
        <v>1723</v>
      </c>
      <c r="D586" s="26" t="s">
        <v>2717</v>
      </c>
      <c r="E586" s="26" t="s">
        <v>2889</v>
      </c>
      <c r="F586" s="26" t="str">
        <f t="shared" si="0"/>
        <v>Positive Traits Latin Origin</v>
      </c>
      <c r="G586" s="26">
        <f t="shared" si="1"/>
        <v>7</v>
      </c>
      <c r="H586" s="26" t="s">
        <v>3504</v>
      </c>
      <c r="I586" s="26"/>
      <c r="J586" s="26"/>
      <c r="K586" s="26"/>
      <c r="L586" s="26" t="str">
        <f t="shared" si="2"/>
        <v>T</v>
      </c>
      <c r="M586" s="26" t="str">
        <f>IFERROR(__xludf.DUMMYFUNCTION("GOOGLETRANSLATE(C586,""EN"",""KN"")"),"ಟೆನೆಬಲ್")</f>
        <v>ಟೆನೆಬಲ್</v>
      </c>
      <c r="N586" s="26" t="str">
        <f t="array" ref="N586">_xlfn.XLOOKUP(B586,'Sets Progress'!I:I,'Sets Progress'!I:I,"NOT YET")</f>
        <v>NOT YET</v>
      </c>
      <c r="O586" s="26" t="str">
        <f t="array" ref="O586">_xlfn.XLOOKUP(L:L,'Overall Progress'!L:L,'Overall Progress'!L:L,"NOT YET")</f>
        <v>NOT YET</v>
      </c>
      <c r="P586" s="26"/>
      <c r="Q586" s="26"/>
      <c r="R586" s="26"/>
      <c r="S586" s="26"/>
      <c r="T586" s="26"/>
      <c r="U586" s="26"/>
      <c r="V586" s="26"/>
      <c r="W586" s="26"/>
      <c r="X586" s="26"/>
      <c r="Y586" s="26"/>
      <c r="Z586" s="26"/>
    </row>
    <row r="587" hidden="1" customHeight="1" spans="1:26">
      <c r="A587" s="27">
        <v>1426</v>
      </c>
      <c r="B587" s="27">
        <v>37</v>
      </c>
      <c r="C587" s="27" t="s">
        <v>1756</v>
      </c>
      <c r="D587" s="27" t="s">
        <v>2717</v>
      </c>
      <c r="E587" s="27" t="s">
        <v>2896</v>
      </c>
      <c r="F587" s="27" t="str">
        <f t="shared" si="0"/>
        <v>Positive Traits Old French Origin</v>
      </c>
      <c r="G587" s="27">
        <f t="shared" si="1"/>
        <v>7</v>
      </c>
      <c r="H587" s="27" t="s">
        <v>3505</v>
      </c>
      <c r="I587" s="27"/>
      <c r="J587" s="27"/>
      <c r="K587" s="27"/>
      <c r="L587" s="27" t="str">
        <f t="shared" si="2"/>
        <v>T</v>
      </c>
      <c r="M587" s="27" t="str">
        <f>IFERROR(__xludf.DUMMYFUNCTION("GOOGLETRANSLATE(C587,""EN"",""KN"")"),"ವಿಜಯೋತ್ಸವ")</f>
        <v>ವಿಜಯೋತ್ಸವ</v>
      </c>
      <c r="N587" s="27" t="str">
        <f t="array" ref="N587">_xlfn.XLOOKUP(B587,'Sets Progress'!I:I,'Sets Progress'!I:I,"NOT YET")</f>
        <v>NOT YET</v>
      </c>
      <c r="O587" s="27" t="str">
        <f t="array" ref="O587">_xlfn.XLOOKUP(L:L,'Overall Progress'!L:L,'Overall Progress'!L:L,"NOT YET")</f>
        <v>NOT YET</v>
      </c>
      <c r="P587" s="27"/>
      <c r="Q587" s="27"/>
      <c r="R587" s="27"/>
      <c r="S587" s="27"/>
      <c r="T587" s="27"/>
      <c r="U587" s="27"/>
      <c r="V587" s="27"/>
      <c r="W587" s="27"/>
      <c r="X587" s="27"/>
      <c r="Y587" s="27"/>
      <c r="Z587" s="27"/>
    </row>
    <row r="588" hidden="1" customHeight="1" spans="1:26">
      <c r="A588" s="26">
        <v>1484</v>
      </c>
      <c r="B588" s="26">
        <v>37</v>
      </c>
      <c r="C588" s="26" t="s">
        <v>1812</v>
      </c>
      <c r="D588" s="26" t="s">
        <v>1721</v>
      </c>
      <c r="E588" s="26" t="s">
        <v>2908</v>
      </c>
      <c r="F588" s="26" t="str">
        <f t="shared" si="0"/>
        <v>Temporal Old English Origin</v>
      </c>
      <c r="G588" s="26">
        <f t="shared" si="1"/>
        <v>12</v>
      </c>
      <c r="H588" s="26" t="s">
        <v>3506</v>
      </c>
      <c r="I588" s="26"/>
      <c r="J588" s="26"/>
      <c r="K588" s="26"/>
      <c r="L588" s="26" t="str">
        <f t="shared" si="2"/>
        <v>U</v>
      </c>
      <c r="M588" s="26" t="str">
        <f>IFERROR(__xludf.DUMMYFUNCTION("GOOGLETRANSLATE(C588,""EN"",""KN"")"),"ಪರಿಶೀಲಿಸಲಾಗುವುದಿಲ್ಲ")</f>
        <v>ಪರಿಶೀಲಿಸಲಾಗುವುದಿಲ್ಲ</v>
      </c>
      <c r="N588" s="26" t="str">
        <f t="array" ref="N588">_xlfn.XLOOKUP(B588,'Sets Progress'!I:I,'Sets Progress'!I:I,"NOT YET")</f>
        <v>NOT YET</v>
      </c>
      <c r="O588" s="26" t="str">
        <f t="array" ref="O588">_xlfn.XLOOKUP(L:L,'Overall Progress'!L:L,'Overall Progress'!L:L,"NOT YET")</f>
        <v>NOT YET</v>
      </c>
      <c r="P588" s="26"/>
      <c r="Q588" s="26"/>
      <c r="R588" s="26"/>
      <c r="S588" s="26"/>
      <c r="T588" s="26"/>
      <c r="U588" s="26"/>
      <c r="V588" s="26"/>
      <c r="W588" s="26"/>
      <c r="X588" s="26"/>
      <c r="Y588" s="26"/>
      <c r="Z588" s="26"/>
    </row>
    <row r="589" hidden="1" customHeight="1" spans="1:26">
      <c r="A589" s="27">
        <v>122</v>
      </c>
      <c r="B589" s="27">
        <v>38</v>
      </c>
      <c r="C589" s="27" t="s">
        <v>471</v>
      </c>
      <c r="D589" s="27" t="s">
        <v>2928</v>
      </c>
      <c r="E589" s="27" t="s">
        <v>2889</v>
      </c>
      <c r="F589" s="27" t="str">
        <f t="shared" si="0"/>
        <v>Philosophical Latin Origin</v>
      </c>
      <c r="G589" s="27">
        <f t="shared" si="1"/>
        <v>10</v>
      </c>
      <c r="H589" s="27" t="s">
        <v>3507</v>
      </c>
      <c r="I589" s="27"/>
      <c r="J589" s="27"/>
      <c r="K589" s="27"/>
      <c r="L589" s="27" t="str">
        <f t="shared" si="2"/>
        <v>A</v>
      </c>
      <c r="M589" s="27" t="str">
        <f>IFERROR(__xludf.DUMMYFUNCTION("GOOGLETRANSLATE(C589,""EN"",""KN"")"),"ಸಾಧನೆ")</f>
        <v>ಸಾಧನೆ</v>
      </c>
      <c r="N589" s="27" t="str">
        <f t="array" ref="N589">_xlfn.XLOOKUP(B589,'Sets Progress'!I:I,'Sets Progress'!I:I,"NOT YET")</f>
        <v>NOT YET</v>
      </c>
      <c r="O589" s="27" t="str">
        <f t="array" ref="O589">_xlfn.XLOOKUP(L:L,'Overall Progress'!L:L,'Overall Progress'!L:L,"NOT YET")</f>
        <v>NOT YET</v>
      </c>
      <c r="P589" s="27"/>
      <c r="Q589" s="27"/>
      <c r="R589" s="27"/>
      <c r="S589" s="27"/>
      <c r="T589" s="27"/>
      <c r="U589" s="27"/>
      <c r="V589" s="27"/>
      <c r="W589" s="27"/>
      <c r="X589" s="27"/>
      <c r="Y589" s="27"/>
      <c r="Z589" s="27"/>
    </row>
    <row r="590" hidden="1" customHeight="1" spans="1:26">
      <c r="A590" s="26">
        <v>245</v>
      </c>
      <c r="B590" s="26">
        <v>38</v>
      </c>
      <c r="C590" s="26" t="s">
        <v>596</v>
      </c>
      <c r="D590" s="26" t="s">
        <v>2946</v>
      </c>
      <c r="E590" s="26" t="s">
        <v>2899</v>
      </c>
      <c r="F590" s="26" t="str">
        <f t="shared" si="0"/>
        <v>Emotional Middle English Origin</v>
      </c>
      <c r="G590" s="26">
        <f t="shared" si="1"/>
        <v>6</v>
      </c>
      <c r="H590" s="26" t="s">
        <v>3508</v>
      </c>
      <c r="I590" s="26"/>
      <c r="J590" s="26"/>
      <c r="K590" s="26"/>
      <c r="L590" s="26" t="str">
        <f t="shared" si="2"/>
        <v>C</v>
      </c>
      <c r="M590" s="26" t="str">
        <f>IFERROR(__xludf.DUMMYFUNCTION("GOOGLETRANSLATE(C590,""EN"",""KN"")"),"ಕೊಡಲ್")</f>
        <v>ಕೊಡಲ್</v>
      </c>
      <c r="N590" s="26" t="str">
        <f t="array" ref="N590">_xlfn.XLOOKUP(B590,'Sets Progress'!I:I,'Sets Progress'!I:I,"NOT YET")</f>
        <v>NOT YET</v>
      </c>
      <c r="O590" s="26" t="str">
        <f t="array" ref="O590">_xlfn.XLOOKUP(L:L,'Overall Progress'!L:L,'Overall Progress'!L:L,"NOT YET")</f>
        <v>NOT YET</v>
      </c>
      <c r="P590" s="26"/>
      <c r="Q590" s="26"/>
      <c r="R590" s="26"/>
      <c r="S590" s="26"/>
      <c r="T590" s="26"/>
      <c r="U590" s="26"/>
      <c r="V590" s="26"/>
      <c r="W590" s="26"/>
      <c r="X590" s="26"/>
      <c r="Y590" s="26"/>
      <c r="Z590" s="26"/>
    </row>
    <row r="591" hidden="1" customHeight="1" spans="1:26">
      <c r="A591" s="27">
        <v>300</v>
      </c>
      <c r="B591" s="27">
        <v>38</v>
      </c>
      <c r="C591" s="27" t="s">
        <v>653</v>
      </c>
      <c r="D591" s="27" t="s">
        <v>1721</v>
      </c>
      <c r="E591" s="27" t="s">
        <v>2889</v>
      </c>
      <c r="F591" s="27" t="str">
        <f t="shared" si="0"/>
        <v>Temporal Latin Origin</v>
      </c>
      <c r="G591" s="27">
        <f t="shared" si="1"/>
        <v>10</v>
      </c>
      <c r="H591" s="27" t="s">
        <v>3509</v>
      </c>
      <c r="I591" s="27"/>
      <c r="J591" s="27"/>
      <c r="K591" s="27"/>
      <c r="L591" s="27" t="str">
        <f t="shared" si="2"/>
        <v>C</v>
      </c>
      <c r="M591" s="27" t="str">
        <f>IFERROR(__xludf.DUMMYFUNCTION("GOOGLETRANSLATE(C591,""EN"",""KN"")"),"ಕಾಂಟ್ರಾವೆನ್")</f>
        <v>ಕಾಂಟ್ರಾವೆನ್</v>
      </c>
      <c r="N591" s="27" t="str">
        <f t="array" ref="N591">_xlfn.XLOOKUP(B591,'Sets Progress'!I:I,'Sets Progress'!I:I,"NOT YET")</f>
        <v>NOT YET</v>
      </c>
      <c r="O591" s="27" t="str">
        <f t="array" ref="O591">_xlfn.XLOOKUP(L:L,'Overall Progress'!L:L,'Overall Progress'!L:L,"NOT YET")</f>
        <v>NOT YET</v>
      </c>
      <c r="P591" s="27"/>
      <c r="Q591" s="27"/>
      <c r="R591" s="27"/>
      <c r="S591" s="27"/>
      <c r="T591" s="27"/>
      <c r="U591" s="27"/>
      <c r="V591" s="27"/>
      <c r="W591" s="27"/>
      <c r="X591" s="27"/>
      <c r="Y591" s="27"/>
      <c r="Z591" s="27"/>
    </row>
    <row r="592" hidden="1" customHeight="1" spans="1:26">
      <c r="A592" s="26">
        <v>399</v>
      </c>
      <c r="B592" s="26">
        <v>38</v>
      </c>
      <c r="C592" s="26" t="s">
        <v>748</v>
      </c>
      <c r="D592" s="26" t="s">
        <v>1721</v>
      </c>
      <c r="E592" s="26" t="s">
        <v>2889</v>
      </c>
      <c r="F592" s="26" t="str">
        <f t="shared" si="0"/>
        <v>Temporal Latin Origin</v>
      </c>
      <c r="G592" s="26">
        <f t="shared" si="1"/>
        <v>10</v>
      </c>
      <c r="H592" s="26" t="s">
        <v>3510</v>
      </c>
      <c r="I592" s="26"/>
      <c r="J592" s="26"/>
      <c r="K592" s="26"/>
      <c r="L592" s="26" t="str">
        <f t="shared" si="2"/>
        <v>D</v>
      </c>
      <c r="M592" s="26" t="str">
        <f>IFERROR(__xludf.DUMMYFUNCTION("GOOGLETRANSLATE(C592,""EN"",""KN"")"),"ವಿಷಯಾಂತರ")</f>
        <v>ವಿಷಯಾಂತರ</v>
      </c>
      <c r="N592" s="26" t="str">
        <f t="array" ref="N592">_xlfn.XLOOKUP(B592,'Sets Progress'!I:I,'Sets Progress'!I:I,"NOT YET")</f>
        <v>NOT YET</v>
      </c>
      <c r="O592" s="26" t="str">
        <f t="array" ref="O592">_xlfn.XLOOKUP(L:L,'Overall Progress'!L:L,'Overall Progress'!L:L,"NOT YET")</f>
        <v>NOT YET</v>
      </c>
      <c r="P592" s="26"/>
      <c r="Q592" s="26"/>
      <c r="R592" s="26"/>
      <c r="S592" s="26"/>
      <c r="T592" s="26"/>
      <c r="U592" s="26"/>
      <c r="V592" s="26"/>
      <c r="W592" s="26"/>
      <c r="X592" s="26"/>
      <c r="Y592" s="26"/>
      <c r="Z592" s="26"/>
    </row>
    <row r="593" customHeight="1" spans="1:26">
      <c r="A593" s="27">
        <v>403</v>
      </c>
      <c r="B593" s="27">
        <v>38</v>
      </c>
      <c r="C593" s="27" t="s">
        <v>752</v>
      </c>
      <c r="D593" s="27" t="s">
        <v>2716</v>
      </c>
      <c r="E593" s="27" t="s">
        <v>3019</v>
      </c>
      <c r="F593" s="27" t="str">
        <f t="shared" si="0"/>
        <v>Negative Traits Italian Origin</v>
      </c>
      <c r="G593" s="27">
        <f t="shared" si="1"/>
        <v>10</v>
      </c>
      <c r="H593" s="27"/>
      <c r="I593" s="27"/>
      <c r="J593" s="27"/>
      <c r="K593" s="27"/>
      <c r="L593" s="27" t="str">
        <f t="shared" si="2"/>
        <v>D</v>
      </c>
      <c r="M593" s="27" t="str">
        <f>IFERROR(__xludf.DUMMYFUNCTION("GOOGLETRANSLATE(C593,""EN"",""KN"")"),"ಡಿಲೆಟ್ಟಾಂಟೆ")</f>
        <v>ಡಿಲೆಟ್ಟಾಂಟೆ</v>
      </c>
      <c r="N593" s="27" t="str">
        <f t="array" ref="N593">_xlfn.XLOOKUP(B593,'Sets Progress'!I:I,'Sets Progress'!I:I,"NOT YET")</f>
        <v>NOT YET</v>
      </c>
      <c r="O593" s="27" t="str">
        <f t="array" ref="O593">_xlfn.XLOOKUP(L:L,'Overall Progress'!L:L,'Overall Progress'!L:L,"NOT YET")</f>
        <v>NOT YET</v>
      </c>
      <c r="P593" s="27"/>
      <c r="Q593" s="27"/>
      <c r="R593" s="27"/>
      <c r="S593" s="27"/>
      <c r="T593" s="27"/>
      <c r="U593" s="27"/>
      <c r="V593" s="27"/>
      <c r="W593" s="27"/>
      <c r="X593" s="27"/>
      <c r="Y593" s="27"/>
      <c r="Z593" s="27"/>
    </row>
    <row r="594" hidden="1" customHeight="1" spans="1:26">
      <c r="A594" s="26">
        <v>586</v>
      </c>
      <c r="B594" s="26">
        <v>38</v>
      </c>
      <c r="C594" s="26" t="s">
        <v>159</v>
      </c>
      <c r="D594" s="26" t="s">
        <v>1721</v>
      </c>
      <c r="E594" s="26" t="s">
        <v>2889</v>
      </c>
      <c r="F594" s="26" t="str">
        <f t="shared" si="0"/>
        <v>Temporal Latin Origin</v>
      </c>
      <c r="G594" s="26">
        <f t="shared" si="1"/>
        <v>10</v>
      </c>
      <c r="H594" s="26" t="s">
        <v>3511</v>
      </c>
      <c r="I594" s="26"/>
      <c r="J594" s="26"/>
      <c r="K594" s="26"/>
      <c r="L594" s="26" t="str">
        <f t="shared" si="2"/>
        <v>F</v>
      </c>
      <c r="M594" s="26" t="str">
        <f>IFERROR(__xludf.DUMMYFUNCTION("GOOGLETRANSLATE(C594,""EN"",""KN"")"),"ವೇಗದ")</f>
        <v>ವೇಗದ</v>
      </c>
      <c r="N594" s="26" t="str">
        <f t="array" ref="N594">_xlfn.XLOOKUP(B594,'Sets Progress'!I:I,'Sets Progress'!I:I,"NOT YET")</f>
        <v>NOT YET</v>
      </c>
      <c r="O594" s="26" t="str">
        <f t="array" ref="O594">_xlfn.XLOOKUP(L:L,'Overall Progress'!L:L,'Overall Progress'!L:L,"NOT YET")</f>
        <v>NOT YET</v>
      </c>
      <c r="P594" s="26"/>
      <c r="Q594" s="26"/>
      <c r="R594" s="26"/>
      <c r="S594" s="26"/>
      <c r="T594" s="26"/>
      <c r="U594" s="26"/>
      <c r="V594" s="26"/>
      <c r="W594" s="26"/>
      <c r="X594" s="26"/>
      <c r="Y594" s="26"/>
      <c r="Z594" s="26"/>
    </row>
    <row r="595" hidden="1" customHeight="1" spans="1:26">
      <c r="A595" s="27">
        <v>665</v>
      </c>
      <c r="B595" s="27">
        <v>38</v>
      </c>
      <c r="C595" s="27" t="s">
        <v>1008</v>
      </c>
      <c r="D595" s="27" t="s">
        <v>2898</v>
      </c>
      <c r="E595" s="27" t="s">
        <v>2889</v>
      </c>
      <c r="F595" s="27" t="str">
        <f t="shared" si="0"/>
        <v>Physical Sensation Latin Origin</v>
      </c>
      <c r="G595" s="27">
        <f t="shared" si="1"/>
        <v>7</v>
      </c>
      <c r="H595" s="27" t="s">
        <v>3512</v>
      </c>
      <c r="I595" s="27"/>
      <c r="J595" s="27"/>
      <c r="K595" s="27"/>
      <c r="L595" s="27" t="str">
        <f t="shared" si="2"/>
        <v>G</v>
      </c>
      <c r="M595" s="27" t="str">
        <f>IFERROR(__xludf.DUMMYFUNCTION("GOOGLETRANSLATE(C595,""EN"",""KN"")"),"ಗುರುತ್ವಾಕರ್ಷಣೆ")</f>
        <v>ಗುರುತ್ವಾಕರ್ಷಣೆ</v>
      </c>
      <c r="N595" s="27" t="str">
        <f t="array" ref="N595">_xlfn.XLOOKUP(B595,'Sets Progress'!I:I,'Sets Progress'!I:I,"NOT YET")</f>
        <v>NOT YET</v>
      </c>
      <c r="O595" s="27" t="str">
        <f t="array" ref="O595">_xlfn.XLOOKUP(L:L,'Overall Progress'!L:L,'Overall Progress'!L:L,"NOT YET")</f>
        <v>NOT YET</v>
      </c>
      <c r="P595" s="27"/>
      <c r="Q595" s="27"/>
      <c r="R595" s="27"/>
      <c r="S595" s="27"/>
      <c r="T595" s="27"/>
      <c r="U595" s="27"/>
      <c r="V595" s="27"/>
      <c r="W595" s="27"/>
      <c r="X595" s="27"/>
      <c r="Y595" s="27"/>
      <c r="Z595" s="27"/>
    </row>
    <row r="596" hidden="1" customHeight="1" spans="1:26">
      <c r="A596" s="26">
        <v>692</v>
      </c>
      <c r="B596" s="26">
        <v>38</v>
      </c>
      <c r="C596" s="26" t="s">
        <v>1034</v>
      </c>
      <c r="D596" s="26" t="s">
        <v>1721</v>
      </c>
      <c r="E596" s="26" t="s">
        <v>2889</v>
      </c>
      <c r="F596" s="26" t="str">
        <f t="shared" si="0"/>
        <v>Temporal Latin Origin</v>
      </c>
      <c r="G596" s="26">
        <f t="shared" si="1"/>
        <v>9</v>
      </c>
      <c r="H596" s="26" t="s">
        <v>3513</v>
      </c>
      <c r="I596" s="26"/>
      <c r="J596" s="26"/>
      <c r="K596" s="26"/>
      <c r="L596" s="26" t="str">
        <f t="shared" si="2"/>
        <v>H</v>
      </c>
      <c r="M596" s="26" t="str">
        <f>IFERROR(__xludf.DUMMYFUNCTION("GOOGLETRANSLATE(C596,""EN"",""KN"")"),"ಹೋರ್ಟೇಟರಿ")</f>
        <v>ಹೋರ್ಟೇಟರಿ</v>
      </c>
      <c r="N596" s="26" t="str">
        <f t="array" ref="N596">_xlfn.XLOOKUP(B596,'Sets Progress'!I:I,'Sets Progress'!I:I,"NOT YET")</f>
        <v>NOT YET</v>
      </c>
      <c r="O596" s="26" t="str">
        <f t="array" ref="O596">_xlfn.XLOOKUP(L:L,'Overall Progress'!L:L,'Overall Progress'!L:L,"NOT YET")</f>
        <v>NOT YET</v>
      </c>
      <c r="P596" s="26"/>
      <c r="Q596" s="26"/>
      <c r="R596" s="26"/>
      <c r="S596" s="26"/>
      <c r="T596" s="26"/>
      <c r="U596" s="26"/>
      <c r="V596" s="26"/>
      <c r="W596" s="26"/>
      <c r="X596" s="26"/>
      <c r="Y596" s="26"/>
      <c r="Z596" s="26"/>
    </row>
    <row r="597" hidden="1" customHeight="1" spans="1:26">
      <c r="A597" s="27">
        <v>890</v>
      </c>
      <c r="B597" s="27">
        <v>38</v>
      </c>
      <c r="C597" s="27" t="s">
        <v>1227</v>
      </c>
      <c r="D597" s="27" t="s">
        <v>1721</v>
      </c>
      <c r="E597" s="27" t="s">
        <v>2889</v>
      </c>
      <c r="F597" s="27" t="str">
        <f t="shared" si="0"/>
        <v>Temporal Latin Origin</v>
      </c>
      <c r="G597" s="27">
        <f t="shared" si="1"/>
        <v>8</v>
      </c>
      <c r="H597" s="27" t="s">
        <v>3514</v>
      </c>
      <c r="I597" s="27"/>
      <c r="J597" s="27"/>
      <c r="K597" s="27"/>
      <c r="L597" s="27" t="str">
        <f t="shared" si="2"/>
        <v>M</v>
      </c>
      <c r="M597" s="27" t="str">
        <f>IFERROR(__xludf.DUMMYFUNCTION("GOOGLETRANSLATE(C597,""EN"",""KN"")"),"ಮ್ಯಾನಿಫೆಸ್ಟ್")</f>
        <v>ಮ್ಯಾನಿಫೆಸ್ಟ್</v>
      </c>
      <c r="N597" s="27" t="str">
        <f t="array" ref="N597">_xlfn.XLOOKUP(B597,'Sets Progress'!I:I,'Sets Progress'!I:I,"NOT YET")</f>
        <v>NOT YET</v>
      </c>
      <c r="O597" s="27" t="str">
        <f t="array" ref="O597">_xlfn.XLOOKUP(L:L,'Overall Progress'!L:L,'Overall Progress'!L:L,"NOT YET")</f>
        <v>NOT YET</v>
      </c>
      <c r="P597" s="27"/>
      <c r="Q597" s="27"/>
      <c r="R597" s="27"/>
      <c r="S597" s="27"/>
      <c r="T597" s="27"/>
      <c r="U597" s="27"/>
      <c r="V597" s="27"/>
      <c r="W597" s="27"/>
      <c r="X597" s="27"/>
      <c r="Y597" s="27"/>
      <c r="Z597" s="27"/>
    </row>
    <row r="598" hidden="1" customHeight="1" spans="1:26">
      <c r="A598" s="26">
        <v>931</v>
      </c>
      <c r="B598" s="26">
        <v>38</v>
      </c>
      <c r="C598" s="26" t="s">
        <v>1267</v>
      </c>
      <c r="D598" s="26" t="s">
        <v>1721</v>
      </c>
      <c r="E598" s="26" t="s">
        <v>2896</v>
      </c>
      <c r="F598" s="26" t="str">
        <f t="shared" si="0"/>
        <v>Temporal Old French Origin</v>
      </c>
      <c r="G598" s="26">
        <f t="shared" si="1"/>
        <v>8</v>
      </c>
      <c r="H598" s="26" t="s">
        <v>3515</v>
      </c>
      <c r="I598" s="26"/>
      <c r="J598" s="26"/>
      <c r="K598" s="26"/>
      <c r="L598" s="26" t="str">
        <f t="shared" si="2"/>
        <v>M</v>
      </c>
      <c r="M598" s="26" t="str">
        <f>IFERROR(__xludf.DUMMYFUNCTION("GOOGLETRANSLATE(C598,""EN"",""KN"")"),"ಆರೋಹಿಸುವಾಗ")</f>
        <v>ಆರೋಹಿಸುವಾಗ</v>
      </c>
      <c r="N598" s="26" t="str">
        <f t="array" ref="N598">_xlfn.XLOOKUP(B598,'Sets Progress'!I:I,'Sets Progress'!I:I,"NOT YET")</f>
        <v>NOT YET</v>
      </c>
      <c r="O598" s="26" t="str">
        <f t="array" ref="O598">_xlfn.XLOOKUP(L:L,'Overall Progress'!L:L,'Overall Progress'!L:L,"NOT YET")</f>
        <v>NOT YET</v>
      </c>
      <c r="P598" s="26"/>
      <c r="Q598" s="26"/>
      <c r="R598" s="26"/>
      <c r="S598" s="26"/>
      <c r="T598" s="26"/>
      <c r="U598" s="26"/>
      <c r="V598" s="26"/>
      <c r="W598" s="26"/>
      <c r="X598" s="26"/>
      <c r="Y598" s="26"/>
      <c r="Z598" s="26"/>
    </row>
    <row r="599" hidden="1" customHeight="1" spans="1:26">
      <c r="A599" s="27">
        <v>962</v>
      </c>
      <c r="B599" s="27">
        <v>38</v>
      </c>
      <c r="C599" s="27" t="s">
        <v>1298</v>
      </c>
      <c r="D599" s="27" t="s">
        <v>1721</v>
      </c>
      <c r="E599" s="27" t="s">
        <v>2889</v>
      </c>
      <c r="F599" s="27" t="str">
        <f t="shared" si="0"/>
        <v>Temporal Latin Origin</v>
      </c>
      <c r="G599" s="27">
        <f t="shared" si="1"/>
        <v>7</v>
      </c>
      <c r="H599" s="27" t="s">
        <v>3516</v>
      </c>
      <c r="I599" s="27"/>
      <c r="J599" s="27"/>
      <c r="K599" s="27"/>
      <c r="L599" s="27" t="str">
        <f t="shared" si="2"/>
        <v>N</v>
      </c>
      <c r="M599" s="27" t="str">
        <f>IFERROR(__xludf.DUMMYFUNCTION("GOOGLETRANSLATE(C599,""EN"",""KN"")"),"ಶೂನ್ಯಗೊಳಿಸಿ")</f>
        <v>ಶೂನ್ಯಗೊಳಿಸಿ</v>
      </c>
      <c r="N599" s="27" t="str">
        <f t="array" ref="N599">_xlfn.XLOOKUP(B599,'Sets Progress'!I:I,'Sets Progress'!I:I,"NOT YET")</f>
        <v>NOT YET</v>
      </c>
      <c r="O599" s="27" t="str">
        <f t="array" ref="O599">_xlfn.XLOOKUP(L:L,'Overall Progress'!L:L,'Overall Progress'!L:L,"NOT YET")</f>
        <v>NOT YET</v>
      </c>
      <c r="P599" s="27"/>
      <c r="Q599" s="27"/>
      <c r="R599" s="27"/>
      <c r="S599" s="27"/>
      <c r="T599" s="27"/>
      <c r="U599" s="27"/>
      <c r="V599" s="27"/>
      <c r="W599" s="27"/>
      <c r="X599" s="27"/>
      <c r="Y599" s="27"/>
      <c r="Z599" s="27"/>
    </row>
    <row r="600" hidden="1" customHeight="1" spans="1:26">
      <c r="A600" s="26">
        <v>994</v>
      </c>
      <c r="B600" s="26">
        <v>38</v>
      </c>
      <c r="C600" s="26" t="s">
        <v>1329</v>
      </c>
      <c r="D600" s="26" t="s">
        <v>2716</v>
      </c>
      <c r="E600" s="26" t="s">
        <v>2889</v>
      </c>
      <c r="F600" s="26" t="str">
        <f t="shared" si="0"/>
        <v>Negative Traits Latin Origin</v>
      </c>
      <c r="G600" s="26">
        <f t="shared" si="1"/>
        <v>12</v>
      </c>
      <c r="H600" s="26" t="s">
        <v>3517</v>
      </c>
      <c r="I600" s="26"/>
      <c r="J600" s="26"/>
      <c r="K600" s="26"/>
      <c r="L600" s="26" t="str">
        <f t="shared" si="2"/>
        <v>O</v>
      </c>
      <c r="M600" s="26" t="str">
        <f>IFERROR(__xludf.DUMMYFUNCTION("GOOGLETRANSLATE(C600,""EN"",""KN"")"),"ಆಡಂಬರದ")</f>
        <v>ಆಡಂಬರದ</v>
      </c>
      <c r="N600" s="26" t="str">
        <f t="array" ref="N600">_xlfn.XLOOKUP(B600,'Sets Progress'!I:I,'Sets Progress'!I:I,"NOT YET")</f>
        <v>NOT YET</v>
      </c>
      <c r="O600" s="26" t="str">
        <f t="array" ref="O600">_xlfn.XLOOKUP(L:L,'Overall Progress'!L:L,'Overall Progress'!L:L,"NOT YET")</f>
        <v>NOT YET</v>
      </c>
      <c r="P600" s="26"/>
      <c r="Q600" s="26"/>
      <c r="R600" s="26"/>
      <c r="S600" s="26"/>
      <c r="T600" s="26"/>
      <c r="U600" s="26"/>
      <c r="V600" s="26"/>
      <c r="W600" s="26"/>
      <c r="X600" s="26"/>
      <c r="Y600" s="26"/>
      <c r="Z600" s="26"/>
    </row>
    <row r="601" hidden="1" customHeight="1" spans="1:26">
      <c r="A601" s="27">
        <v>1124</v>
      </c>
      <c r="B601" s="27">
        <v>38</v>
      </c>
      <c r="C601" s="27" t="s">
        <v>1457</v>
      </c>
      <c r="D601" s="27" t="s">
        <v>2717</v>
      </c>
      <c r="E601" s="27" t="s">
        <v>2889</v>
      </c>
      <c r="F601" s="27" t="str">
        <f t="shared" si="0"/>
        <v>Positive Traits Latin Origin</v>
      </c>
      <c r="G601" s="27">
        <f t="shared" si="1"/>
        <v>8</v>
      </c>
      <c r="H601" s="27" t="s">
        <v>3518</v>
      </c>
      <c r="I601" s="27"/>
      <c r="J601" s="27"/>
      <c r="K601" s="27"/>
      <c r="L601" s="27" t="str">
        <f t="shared" si="2"/>
        <v>P</v>
      </c>
      <c r="M601" s="27" t="str">
        <f>IFERROR(__xludf.DUMMYFUNCTION("GOOGLETRANSLATE(C601,""EN"",""KN"")"),"ಆಳವಾದ")</f>
        <v>ಆಳವಾದ</v>
      </c>
      <c r="N601" s="27" t="str">
        <f t="array" ref="N601">_xlfn.XLOOKUP(B601,'Sets Progress'!I:I,'Sets Progress'!I:I,"NOT YET")</f>
        <v>NOT YET</v>
      </c>
      <c r="O601" s="27" t="str">
        <f t="array" ref="O601">_xlfn.XLOOKUP(L:L,'Overall Progress'!L:L,'Overall Progress'!L:L,"NOT YET")</f>
        <v>NOT YET</v>
      </c>
      <c r="P601" s="27"/>
      <c r="Q601" s="27"/>
      <c r="R601" s="27"/>
      <c r="S601" s="27"/>
      <c r="T601" s="27"/>
      <c r="U601" s="27"/>
      <c r="V601" s="27"/>
      <c r="W601" s="27"/>
      <c r="X601" s="27"/>
      <c r="Y601" s="27"/>
      <c r="Z601" s="27"/>
    </row>
    <row r="602" hidden="1" customHeight="1" spans="1:26">
      <c r="A602" s="26">
        <v>1478</v>
      </c>
      <c r="B602" s="26">
        <v>38</v>
      </c>
      <c r="C602" s="26" t="s">
        <v>1806</v>
      </c>
      <c r="D602" s="26" t="s">
        <v>1721</v>
      </c>
      <c r="E602" s="26" t="s">
        <v>2896</v>
      </c>
      <c r="F602" s="26" t="str">
        <f t="shared" si="0"/>
        <v>Temporal Old French Origin</v>
      </c>
      <c r="G602" s="26">
        <f t="shared" si="1"/>
        <v>12</v>
      </c>
      <c r="H602" s="26" t="s">
        <v>3519</v>
      </c>
      <c r="I602" s="26"/>
      <c r="J602" s="26"/>
      <c r="K602" s="26"/>
      <c r="L602" s="26" t="str">
        <f t="shared" si="2"/>
        <v>U</v>
      </c>
      <c r="M602" s="26" t="str">
        <f>IFERROR(__xludf.DUMMYFUNCTION("GOOGLETRANSLATE(C602,""EN"",""KN"")"),"ಅನಿಯಂತ್ರಿತ")</f>
        <v>ಅನಿಯಂತ್ರಿತ</v>
      </c>
      <c r="N602" s="26" t="str">
        <f t="array" ref="N602">_xlfn.XLOOKUP(B602,'Sets Progress'!I:I,'Sets Progress'!I:I,"NOT YET")</f>
        <v>NOT YET</v>
      </c>
      <c r="O602" s="26" t="str">
        <f t="array" ref="O602">_xlfn.XLOOKUP(L:L,'Overall Progress'!L:L,'Overall Progress'!L:L,"NOT YET")</f>
        <v>NOT YET</v>
      </c>
      <c r="P602" s="26"/>
      <c r="Q602" s="26"/>
      <c r="R602" s="26"/>
      <c r="S602" s="26"/>
      <c r="T602" s="26"/>
      <c r="U602" s="26"/>
      <c r="V602" s="26"/>
      <c r="W602" s="26"/>
      <c r="X602" s="26"/>
      <c r="Y602" s="26"/>
      <c r="Z602" s="26"/>
    </row>
    <row r="603" hidden="1" customHeight="1" spans="1:26">
      <c r="A603" s="27">
        <v>1491</v>
      </c>
      <c r="B603" s="27">
        <v>38</v>
      </c>
      <c r="C603" s="27" t="s">
        <v>1819</v>
      </c>
      <c r="D603" s="27" t="s">
        <v>2716</v>
      </c>
      <c r="E603" s="27" t="s">
        <v>2889</v>
      </c>
      <c r="F603" s="27" t="str">
        <f t="shared" si="0"/>
        <v>Negative Traits Latin Origin</v>
      </c>
      <c r="G603" s="27">
        <f t="shared" si="1"/>
        <v>7</v>
      </c>
      <c r="H603" s="27" t="s">
        <v>3520</v>
      </c>
      <c r="I603" s="27"/>
      <c r="J603" s="27"/>
      <c r="K603" s="27"/>
      <c r="L603" s="27" t="str">
        <f t="shared" si="2"/>
        <v>V</v>
      </c>
      <c r="M603" s="27" t="str">
        <f>IFERROR(__xludf.DUMMYFUNCTION("GOOGLETRANSLATE(C603,""EN"",""KN"")"),"ನಿರ್ವಾತ")</f>
        <v>ನಿರ್ವಾತ</v>
      </c>
      <c r="N603" s="27" t="str">
        <f t="array" ref="N603">_xlfn.XLOOKUP(B603,'Sets Progress'!I:I,'Sets Progress'!I:I,"NOT YET")</f>
        <v>NOT YET</v>
      </c>
      <c r="O603" s="27" t="str">
        <f t="array" ref="O603">_xlfn.XLOOKUP(L:L,'Overall Progress'!L:L,'Overall Progress'!L:L,"NOT YET")</f>
        <v>NOT YET</v>
      </c>
      <c r="P603" s="27"/>
      <c r="Q603" s="27"/>
      <c r="R603" s="27"/>
      <c r="S603" s="27"/>
      <c r="T603" s="27"/>
      <c r="U603" s="27"/>
      <c r="V603" s="27"/>
      <c r="W603" s="27"/>
      <c r="X603" s="27"/>
      <c r="Y603" s="27"/>
      <c r="Z603" s="27"/>
    </row>
    <row r="604" hidden="1" customHeight="1" spans="1:26">
      <c r="A604" s="26">
        <v>1535</v>
      </c>
      <c r="B604" s="26">
        <v>38</v>
      </c>
      <c r="C604" s="26" t="s">
        <v>1863</v>
      </c>
      <c r="D604" s="26" t="s">
        <v>2716</v>
      </c>
      <c r="E604" s="26" t="s">
        <v>2908</v>
      </c>
      <c r="F604" s="26" t="str">
        <f t="shared" si="0"/>
        <v>Negative Traits Old English Origin</v>
      </c>
      <c r="G604" s="26">
        <f t="shared" si="1"/>
        <v>7</v>
      </c>
      <c r="H604" s="26" t="s">
        <v>3521</v>
      </c>
      <c r="I604" s="26"/>
      <c r="J604" s="26"/>
      <c r="K604" s="26"/>
      <c r="L604" s="26" t="str">
        <f t="shared" si="2"/>
        <v>W</v>
      </c>
      <c r="M604" s="26" t="str">
        <f>IFERROR(__xludf.DUMMYFUNCTION("GOOGLETRANSLATE(C604,""EN"",""KN"")"),"ವಿಸ್ಫುಲ್")</f>
        <v>ವಿಸ್ಫುಲ್</v>
      </c>
      <c r="N604" s="26" t="str">
        <f t="array" ref="N604">_xlfn.XLOOKUP(B604,'Sets Progress'!I:I,'Sets Progress'!I:I,"NOT YET")</f>
        <v>NOT YET</v>
      </c>
      <c r="O604" s="26" t="str">
        <f t="array" ref="O604">_xlfn.XLOOKUP(L:L,'Overall Progress'!L:L,'Overall Progress'!L:L,"NOT YET")</f>
        <v>NOT YET</v>
      </c>
      <c r="P604" s="26"/>
      <c r="Q604" s="26"/>
      <c r="R604" s="26"/>
      <c r="S604" s="26"/>
      <c r="T604" s="26"/>
      <c r="U604" s="26"/>
      <c r="V604" s="26"/>
      <c r="W604" s="26"/>
      <c r="X604" s="26"/>
      <c r="Y604" s="26"/>
      <c r="Z604" s="26"/>
    </row>
    <row r="605" hidden="1" customHeight="1" spans="1:26">
      <c r="A605" s="27">
        <v>160</v>
      </c>
      <c r="B605" s="27">
        <v>39</v>
      </c>
      <c r="C605" s="27" t="s">
        <v>509</v>
      </c>
      <c r="D605" s="27" t="s">
        <v>2946</v>
      </c>
      <c r="E605" s="27" t="s">
        <v>2889</v>
      </c>
      <c r="F605" s="27" t="str">
        <f t="shared" si="0"/>
        <v>Emotional Latin Origin</v>
      </c>
      <c r="G605" s="27">
        <f t="shared" si="1"/>
        <v>11</v>
      </c>
      <c r="H605" s="27" t="s">
        <v>3522</v>
      </c>
      <c r="I605" s="27"/>
      <c r="J605" s="27"/>
      <c r="K605" s="27"/>
      <c r="L605" s="27" t="str">
        <f t="shared" si="2"/>
        <v>B</v>
      </c>
      <c r="M605" s="27" t="str">
        <f>IFERROR(__xludf.DUMMYFUNCTION("GOOGLETRANSLATE(C605,""EN"",""KN"")"),"ಯುದ್ಧಮಾಡುವ")</f>
        <v>ಯುದ್ಧಮಾಡುವ</v>
      </c>
      <c r="N605" s="27">
        <f t="array" ref="N605">_xlfn.XLOOKUP(B605,'Sets Progress'!I:I,'Sets Progress'!I:I,"NOT YET")</f>
        <v>39</v>
      </c>
      <c r="O605" s="27" t="str">
        <f t="array" ref="O605">_xlfn.XLOOKUP(L:L,'Overall Progress'!L:L,'Overall Progress'!L:L,"NOT YET")</f>
        <v>NOT YET</v>
      </c>
      <c r="P605" s="27"/>
      <c r="Q605" s="27"/>
      <c r="R605" s="27"/>
      <c r="S605" s="27"/>
      <c r="T605" s="27"/>
      <c r="U605" s="27"/>
      <c r="V605" s="27"/>
      <c r="W605" s="27"/>
      <c r="X605" s="27"/>
      <c r="Y605" s="27"/>
      <c r="Z605" s="27"/>
    </row>
    <row r="606" hidden="1" customHeight="1" spans="1:26">
      <c r="A606" s="26">
        <v>194</v>
      </c>
      <c r="B606" s="26">
        <v>39</v>
      </c>
      <c r="C606" s="26" t="s">
        <v>544</v>
      </c>
      <c r="D606" s="26" t="s">
        <v>1638</v>
      </c>
      <c r="E606" s="26" t="s">
        <v>2893</v>
      </c>
      <c r="F606" s="26" t="str">
        <f t="shared" si="0"/>
        <v>Sound Greek Origin</v>
      </c>
      <c r="G606" s="26">
        <f t="shared" si="1"/>
        <v>11</v>
      </c>
      <c r="H606" s="26" t="s">
        <v>3523</v>
      </c>
      <c r="I606" s="26"/>
      <c r="J606" s="26"/>
      <c r="K606" s="26"/>
      <c r="L606" s="26" t="str">
        <f t="shared" si="2"/>
        <v>C</v>
      </c>
      <c r="M606" s="26" t="str">
        <f>IFERROR(__xludf.DUMMYFUNCTION("GOOGLETRANSLATE(C606,""EN"",""KN"")"),"ಕಾಕೋಫೋನಸ್")</f>
        <v>ಕಾಕೋಫೋನಸ್</v>
      </c>
      <c r="N606" s="26">
        <f t="array" ref="N606">_xlfn.XLOOKUP(B606,'Sets Progress'!I:I,'Sets Progress'!I:I,"NOT YET")</f>
        <v>39</v>
      </c>
      <c r="O606" s="26" t="str">
        <f t="array" ref="O606">_xlfn.XLOOKUP(L:L,'Overall Progress'!L:L,'Overall Progress'!L:L,"NOT YET")</f>
        <v>NOT YET</v>
      </c>
      <c r="P606" s="26"/>
      <c r="Q606" s="26"/>
      <c r="R606" s="26"/>
      <c r="S606" s="26"/>
      <c r="T606" s="26"/>
      <c r="U606" s="26"/>
      <c r="V606" s="26"/>
      <c r="W606" s="26"/>
      <c r="X606" s="26"/>
      <c r="Y606" s="26"/>
      <c r="Z606" s="26"/>
    </row>
    <row r="607" hidden="1" customHeight="1" spans="1:26">
      <c r="A607" s="27">
        <v>211</v>
      </c>
      <c r="B607" s="27">
        <v>39</v>
      </c>
      <c r="C607" s="27" t="s">
        <v>560</v>
      </c>
      <c r="D607" s="27" t="s">
        <v>2716</v>
      </c>
      <c r="E607" s="27" t="s">
        <v>2889</v>
      </c>
      <c r="F607" s="27" t="str">
        <f t="shared" si="0"/>
        <v>Negative Traits Latin Origin</v>
      </c>
      <c r="G607" s="27">
        <f t="shared" si="1"/>
        <v>9</v>
      </c>
      <c r="H607" s="27" t="s">
        <v>3524</v>
      </c>
      <c r="I607" s="27"/>
      <c r="J607" s="27"/>
      <c r="K607" s="27"/>
      <c r="L607" s="27" t="str">
        <f t="shared" si="2"/>
        <v>C</v>
      </c>
      <c r="M607" s="27" t="str">
        <f>IFERROR(__xludf.DUMMYFUNCTION("GOOGLETRANSLATE(C607,""EN"",""KN"")"),"ಜಾತಿಗೇಟ್ ಮಾಡಿ")</f>
        <v>ಜಾತಿಗೇಟ್ ಮಾಡಿ</v>
      </c>
      <c r="N607" s="27">
        <f t="array" ref="N607">_xlfn.XLOOKUP(B607,'Sets Progress'!I:I,'Sets Progress'!I:I,"NOT YET")</f>
        <v>39</v>
      </c>
      <c r="O607" s="27" t="str">
        <f t="array" ref="O607">_xlfn.XLOOKUP(L:L,'Overall Progress'!L:L,'Overall Progress'!L:L,"NOT YET")</f>
        <v>NOT YET</v>
      </c>
      <c r="P607" s="27"/>
      <c r="Q607" s="27"/>
      <c r="R607" s="27"/>
      <c r="S607" s="27"/>
      <c r="T607" s="27"/>
      <c r="U607" s="27"/>
      <c r="V607" s="27"/>
      <c r="W607" s="27"/>
      <c r="X607" s="27"/>
      <c r="Y607" s="27"/>
      <c r="Z607" s="27"/>
    </row>
    <row r="608" hidden="1" customHeight="1" spans="1:26">
      <c r="A608" s="26">
        <v>215</v>
      </c>
      <c r="B608" s="26">
        <v>39</v>
      </c>
      <c r="C608" s="26" t="s">
        <v>564</v>
      </c>
      <c r="D608" s="26" t="s">
        <v>3234</v>
      </c>
      <c r="E608" s="26" t="s">
        <v>2893</v>
      </c>
      <c r="F608" s="26" t="str">
        <f t="shared" si="0"/>
        <v>Religious Greek Origin</v>
      </c>
      <c r="G608" s="26">
        <f t="shared" si="1"/>
        <v>8</v>
      </c>
      <c r="H608" s="26" t="s">
        <v>3525</v>
      </c>
      <c r="I608" s="26"/>
      <c r="J608" s="26"/>
      <c r="K608" s="26"/>
      <c r="L608" s="26" t="str">
        <f t="shared" si="2"/>
        <v>C</v>
      </c>
      <c r="M608" s="26" t="str">
        <f>IFERROR(__xludf.DUMMYFUNCTION("GOOGLETRANSLATE(C608,""EN"",""KN"")"),"ಕ್ಯಾಥೋಲಿಕ್")</f>
        <v>ಕ್ಯಾಥೋಲಿಕ್</v>
      </c>
      <c r="N608" s="26">
        <f t="array" ref="N608">_xlfn.XLOOKUP(B608,'Sets Progress'!I:I,'Sets Progress'!I:I,"NOT YET")</f>
        <v>39</v>
      </c>
      <c r="O608" s="26" t="str">
        <f t="array" ref="O608">_xlfn.XLOOKUP(L:L,'Overall Progress'!L:L,'Overall Progress'!L:L,"NOT YET")</f>
        <v>NOT YET</v>
      </c>
      <c r="P608" s="26"/>
      <c r="Q608" s="26"/>
      <c r="R608" s="26"/>
      <c r="S608" s="26"/>
      <c r="T608" s="26"/>
      <c r="U608" s="26"/>
      <c r="V608" s="26"/>
      <c r="W608" s="26"/>
      <c r="X608" s="26"/>
      <c r="Y608" s="26"/>
      <c r="Z608" s="26"/>
    </row>
    <row r="609" hidden="1" customHeight="1" spans="1:26">
      <c r="A609" s="27">
        <v>336</v>
      </c>
      <c r="B609" s="27">
        <v>39</v>
      </c>
      <c r="C609" s="27" t="s">
        <v>686</v>
      </c>
      <c r="D609" s="27" t="s">
        <v>3526</v>
      </c>
      <c r="E609" s="27" t="s">
        <v>2889</v>
      </c>
      <c r="F609" s="27" t="str">
        <f t="shared" si="0"/>
        <v>Mythological Latin Origin</v>
      </c>
      <c r="G609" s="27">
        <f t="shared" si="1"/>
        <v>5</v>
      </c>
      <c r="H609" s="27" t="s">
        <v>3527</v>
      </c>
      <c r="I609" s="27"/>
      <c r="J609" s="27"/>
      <c r="K609" s="27"/>
      <c r="L609" s="27" t="str">
        <f t="shared" si="2"/>
        <v>C</v>
      </c>
      <c r="M609" s="27" t="str">
        <f>IFERROR(__xludf.DUMMYFUNCTION("GOOGLETRANSLATE(C609,""EN"",""KN"")"),"ಮನ್ಮಥ")</f>
        <v>ಮನ್ಮಥ</v>
      </c>
      <c r="N609" s="27">
        <f t="array" ref="N609">_xlfn.XLOOKUP(B609,'Sets Progress'!I:I,'Sets Progress'!I:I,"NOT YET")</f>
        <v>39</v>
      </c>
      <c r="O609" s="27" t="str">
        <f t="array" ref="O609">_xlfn.XLOOKUP(L:L,'Overall Progress'!L:L,'Overall Progress'!L:L,"NOT YET")</f>
        <v>NOT YET</v>
      </c>
      <c r="P609" s="27"/>
      <c r="Q609" s="27"/>
      <c r="R609" s="27"/>
      <c r="S609" s="27"/>
      <c r="T609" s="27"/>
      <c r="U609" s="27"/>
      <c r="V609" s="27"/>
      <c r="W609" s="27"/>
      <c r="X609" s="27"/>
      <c r="Y609" s="27"/>
      <c r="Z609" s="27"/>
    </row>
    <row r="610" hidden="1" customHeight="1" spans="1:26">
      <c r="A610" s="26">
        <v>576</v>
      </c>
      <c r="B610" s="26">
        <v>39</v>
      </c>
      <c r="C610" s="26" t="s">
        <v>921</v>
      </c>
      <c r="D610" s="26" t="s">
        <v>2717</v>
      </c>
      <c r="E610" s="26" t="s">
        <v>2889</v>
      </c>
      <c r="F610" s="26" t="str">
        <f t="shared" si="0"/>
        <v>Positive Traits Latin Origin</v>
      </c>
      <c r="G610" s="26">
        <f t="shared" si="1"/>
        <v>9</v>
      </c>
      <c r="H610" s="26" t="s">
        <v>3528</v>
      </c>
      <c r="I610" s="26"/>
      <c r="J610" s="26"/>
      <c r="K610" s="26"/>
      <c r="L610" s="26" t="str">
        <f t="shared" si="2"/>
        <v>F</v>
      </c>
      <c r="M610" s="26" t="str">
        <f>IFERROR(__xludf.DUMMYFUNCTION("GOOGLETRANSLATE(C610,""EN"",""KN"")"),"ಮುಖಾಮುಖಿ")</f>
        <v>ಮುಖಾಮುಖಿ</v>
      </c>
      <c r="N610" s="26">
        <f t="array" ref="N610">_xlfn.XLOOKUP(B610,'Sets Progress'!I:I,'Sets Progress'!I:I,"NOT YET")</f>
        <v>39</v>
      </c>
      <c r="O610" s="26" t="str">
        <f t="array" ref="O610">_xlfn.XLOOKUP(L:L,'Overall Progress'!L:L,'Overall Progress'!L:L,"NOT YET")</f>
        <v>NOT YET</v>
      </c>
      <c r="P610" s="26"/>
      <c r="Q610" s="26"/>
      <c r="R610" s="26"/>
      <c r="S610" s="26"/>
      <c r="T610" s="26"/>
      <c r="U610" s="26"/>
      <c r="V610" s="26"/>
      <c r="W610" s="26"/>
      <c r="X610" s="26"/>
      <c r="Y610" s="26"/>
      <c r="Z610" s="26"/>
    </row>
    <row r="611" hidden="1" customHeight="1" spans="1:26">
      <c r="A611" s="27">
        <v>688</v>
      </c>
      <c r="B611" s="27">
        <v>39</v>
      </c>
      <c r="C611" s="27" t="s">
        <v>1030</v>
      </c>
      <c r="D611" s="27" t="s">
        <v>1721</v>
      </c>
      <c r="E611" s="27" t="s">
        <v>2908</v>
      </c>
      <c r="F611" s="27" t="str">
        <f t="shared" si="0"/>
        <v>Temporal Old English Origin</v>
      </c>
      <c r="G611" s="27">
        <f t="shared" si="1"/>
        <v>6</v>
      </c>
      <c r="H611" s="27" t="s">
        <v>3529</v>
      </c>
      <c r="I611" s="27"/>
      <c r="J611" s="27"/>
      <c r="K611" s="27"/>
      <c r="L611" s="27" t="str">
        <f t="shared" si="2"/>
        <v>H</v>
      </c>
      <c r="M611" s="27" t="str">
        <f>IFERROR(__xludf.DUMMYFUNCTION("GOOGLETRANSLATE(C611,""EN"",""KN"")"),"ಅಡ್ಡಿ")</f>
        <v>ಅಡ್ಡಿ</v>
      </c>
      <c r="N611" s="27">
        <f t="array" ref="N611">_xlfn.XLOOKUP(B611,'Sets Progress'!I:I,'Sets Progress'!I:I,"NOT YET")</f>
        <v>39</v>
      </c>
      <c r="O611" s="27" t="str">
        <f t="array" ref="O611">_xlfn.XLOOKUP(L:L,'Overall Progress'!L:L,'Overall Progress'!L:L,"NOT YET")</f>
        <v>NOT YET</v>
      </c>
      <c r="P611" s="27"/>
      <c r="Q611" s="27"/>
      <c r="R611" s="27"/>
      <c r="S611" s="27"/>
      <c r="T611" s="27"/>
      <c r="U611" s="27"/>
      <c r="V611" s="27"/>
      <c r="W611" s="27"/>
      <c r="X611" s="27"/>
      <c r="Y611" s="27"/>
      <c r="Z611" s="27"/>
    </row>
    <row r="612" hidden="1" customHeight="1" spans="1:26">
      <c r="A612" s="26">
        <v>811</v>
      </c>
      <c r="B612" s="26">
        <v>39</v>
      </c>
      <c r="C612" s="26" t="s">
        <v>1151</v>
      </c>
      <c r="D612" s="26" t="s">
        <v>1721</v>
      </c>
      <c r="E612" s="26" t="s">
        <v>2889</v>
      </c>
      <c r="F612" s="26" t="str">
        <f t="shared" si="0"/>
        <v>Temporal Latin Origin</v>
      </c>
      <c r="G612" s="26">
        <f t="shared" si="1"/>
        <v>11</v>
      </c>
      <c r="H612" s="26" t="s">
        <v>3530</v>
      </c>
      <c r="I612" s="26"/>
      <c r="J612" s="26"/>
      <c r="K612" s="26"/>
      <c r="L612" s="26" t="str">
        <f t="shared" si="2"/>
        <v>I</v>
      </c>
      <c r="M612" s="26" t="str">
        <f>IFERROR(__xludf.DUMMYFUNCTION("GOOGLETRANSLATE(C612,""EN"",""KN"")"),"ದುಸ್ತರ")</f>
        <v>ದುಸ್ತರ</v>
      </c>
      <c r="N612" s="26">
        <f t="array" ref="N612">_xlfn.XLOOKUP(B612,'Sets Progress'!I:I,'Sets Progress'!I:I,"NOT YET")</f>
        <v>39</v>
      </c>
      <c r="O612" s="26" t="str">
        <f t="array" ref="O612">_xlfn.XLOOKUP(L:L,'Overall Progress'!L:L,'Overall Progress'!L:L,"NOT YET")</f>
        <v>NOT YET</v>
      </c>
      <c r="P612" s="26"/>
      <c r="Q612" s="26"/>
      <c r="R612" s="26"/>
      <c r="S612" s="26"/>
      <c r="T612" s="26"/>
      <c r="U612" s="26"/>
      <c r="V612" s="26"/>
      <c r="W612" s="26"/>
      <c r="X612" s="26"/>
      <c r="Y612" s="26"/>
      <c r="Z612" s="26"/>
    </row>
    <row r="613" hidden="1" customHeight="1" spans="1:26">
      <c r="A613" s="27">
        <v>846</v>
      </c>
      <c r="B613" s="27">
        <v>39</v>
      </c>
      <c r="C613" s="27" t="s">
        <v>1186</v>
      </c>
      <c r="D613" s="27" t="s">
        <v>1721</v>
      </c>
      <c r="E613" s="27" t="s">
        <v>2921</v>
      </c>
      <c r="F613" s="27" t="str">
        <f t="shared" si="0"/>
        <v>Temporal Unknown Origin</v>
      </c>
      <c r="G613" s="27">
        <f t="shared" si="1"/>
        <v>8</v>
      </c>
      <c r="H613" s="27" t="s">
        <v>3531</v>
      </c>
      <c r="I613" s="27"/>
      <c r="J613" s="27"/>
      <c r="K613" s="27"/>
      <c r="L613" s="27" t="str">
        <f t="shared" si="2"/>
        <v>L</v>
      </c>
      <c r="M613" s="27" t="str">
        <f>IFERROR(__xludf.DUMMYFUNCTION("GOOGLETRANSLATE(C613,""EN"",""KN"")"),"ಲ್ಯಾಂಬಾಸ್ಟ್")</f>
        <v>ಲ್ಯಾಂಬಾಸ್ಟ್</v>
      </c>
      <c r="N613" s="27">
        <f t="array" ref="N613">_xlfn.XLOOKUP(B613,'Sets Progress'!I:I,'Sets Progress'!I:I,"NOT YET")</f>
        <v>39</v>
      </c>
      <c r="O613" s="27" t="str">
        <f t="array" ref="O613">_xlfn.XLOOKUP(L:L,'Overall Progress'!L:L,'Overall Progress'!L:L,"NOT YET")</f>
        <v>NOT YET</v>
      </c>
      <c r="P613" s="27"/>
      <c r="Q613" s="27"/>
      <c r="R613" s="27"/>
      <c r="S613" s="27"/>
      <c r="T613" s="27"/>
      <c r="U613" s="27"/>
      <c r="V613" s="27"/>
      <c r="W613" s="27"/>
      <c r="X613" s="27"/>
      <c r="Y613" s="27"/>
      <c r="Z613" s="27"/>
    </row>
    <row r="614" hidden="1" customHeight="1" spans="1:26">
      <c r="A614" s="26">
        <v>849</v>
      </c>
      <c r="B614" s="26">
        <v>39</v>
      </c>
      <c r="C614" s="26" t="s">
        <v>1189</v>
      </c>
      <c r="D614" s="26" t="s">
        <v>1721</v>
      </c>
      <c r="E614" s="26" t="s">
        <v>2889</v>
      </c>
      <c r="F614" s="26" t="str">
        <f t="shared" si="0"/>
        <v>Temporal Latin Origin</v>
      </c>
      <c r="G614" s="26">
        <f t="shared" si="1"/>
        <v>7</v>
      </c>
      <c r="H614" s="26" t="s">
        <v>3532</v>
      </c>
      <c r="I614" s="26"/>
      <c r="J614" s="26"/>
      <c r="K614" s="26"/>
      <c r="L614" s="26" t="str">
        <f t="shared" si="2"/>
        <v>L</v>
      </c>
      <c r="M614" s="26" t="str">
        <f>IFERROR(__xludf.DUMMYFUNCTION("GOOGLETRANSLATE(C614,""EN"",""KN"")"),"ಸುಸ್ತಾದ")</f>
        <v>ಸುಸ್ತಾದ</v>
      </c>
      <c r="N614" s="26">
        <f t="array" ref="N614">_xlfn.XLOOKUP(B614,'Sets Progress'!I:I,'Sets Progress'!I:I,"NOT YET")</f>
        <v>39</v>
      </c>
      <c r="O614" s="26" t="str">
        <f t="array" ref="O614">_xlfn.XLOOKUP(L:L,'Overall Progress'!L:L,'Overall Progress'!L:L,"NOT YET")</f>
        <v>NOT YET</v>
      </c>
      <c r="P614" s="26"/>
      <c r="Q614" s="26"/>
      <c r="R614" s="26"/>
      <c r="S614" s="26"/>
      <c r="T614" s="26"/>
      <c r="U614" s="26"/>
      <c r="V614" s="26"/>
      <c r="W614" s="26"/>
      <c r="X614" s="26"/>
      <c r="Y614" s="26"/>
      <c r="Z614" s="26"/>
    </row>
    <row r="615" hidden="1" customHeight="1" spans="1:26">
      <c r="A615" s="27">
        <v>1120</v>
      </c>
      <c r="B615" s="27">
        <v>39</v>
      </c>
      <c r="C615" s="27" t="s">
        <v>243</v>
      </c>
      <c r="D615" s="27" t="s">
        <v>2716</v>
      </c>
      <c r="E615" s="27" t="s">
        <v>2889</v>
      </c>
      <c r="F615" s="27" t="str">
        <f t="shared" si="0"/>
        <v>Negative Traits Latin Origin</v>
      </c>
      <c r="G615" s="27">
        <f t="shared" si="1"/>
        <v>8</v>
      </c>
      <c r="H615" s="27" t="s">
        <v>3533</v>
      </c>
      <c r="I615" s="27"/>
      <c r="J615" s="27"/>
      <c r="K615" s="27"/>
      <c r="L615" s="27" t="str">
        <f t="shared" si="2"/>
        <v>P</v>
      </c>
      <c r="M615" s="27" t="str">
        <f>IFERROR(__xludf.DUMMYFUNCTION("GOOGLETRANSLATE(C615,""EN"",""KN"")"),"ಪೋಡಿಗಲ್")</f>
        <v>ಪೋಡಿಗಲ್</v>
      </c>
      <c r="N615" s="27">
        <f t="array" ref="N615">_xlfn.XLOOKUP(B615,'Sets Progress'!I:I,'Sets Progress'!I:I,"NOT YET")</f>
        <v>39</v>
      </c>
      <c r="O615" s="27" t="str">
        <f t="array" ref="O615">_xlfn.XLOOKUP(L:L,'Overall Progress'!L:L,'Overall Progress'!L:L,"NOT YET")</f>
        <v>NOT YET</v>
      </c>
      <c r="P615" s="27"/>
      <c r="Q615" s="27"/>
      <c r="R615" s="27"/>
      <c r="S615" s="27"/>
      <c r="T615" s="27"/>
      <c r="U615" s="27"/>
      <c r="V615" s="27"/>
      <c r="W615" s="27"/>
      <c r="X615" s="27"/>
      <c r="Y615" s="27"/>
      <c r="Z615" s="27"/>
    </row>
    <row r="616" hidden="1" customHeight="1" spans="1:26">
      <c r="A616" s="26">
        <v>1159</v>
      </c>
      <c r="B616" s="26">
        <v>39</v>
      </c>
      <c r="C616" s="26" t="s">
        <v>1490</v>
      </c>
      <c r="D616" s="26" t="s">
        <v>1721</v>
      </c>
      <c r="E616" s="26" t="s">
        <v>2889</v>
      </c>
      <c r="F616" s="26" t="str">
        <f t="shared" si="0"/>
        <v>Temporal Latin Origin</v>
      </c>
      <c r="G616" s="26">
        <f t="shared" si="1"/>
        <v>9</v>
      </c>
      <c r="H616" s="26" t="s">
        <v>3534</v>
      </c>
      <c r="I616" s="26"/>
      <c r="J616" s="26"/>
      <c r="K616" s="26"/>
      <c r="L616" s="26" t="str">
        <f t="shared" si="2"/>
        <v>Q</v>
      </c>
      <c r="M616" s="26" t="str">
        <f>IFERROR(__xludf.DUMMYFUNCTION("GOOGLETRANSLATE(C616,""EN"",""KN"")"),"ನಿಶ್ಚಲ")</f>
        <v>ನಿಶ್ಚಲ</v>
      </c>
      <c r="N616" s="26">
        <f t="array" ref="N616">_xlfn.XLOOKUP(B616,'Sets Progress'!I:I,'Sets Progress'!I:I,"NOT YET")</f>
        <v>39</v>
      </c>
      <c r="O616" s="26" t="str">
        <f t="array" ref="O616">_xlfn.XLOOKUP(L:L,'Overall Progress'!L:L,'Overall Progress'!L:L,"NOT YET")</f>
        <v>NOT YET</v>
      </c>
      <c r="P616" s="26"/>
      <c r="Q616" s="26"/>
      <c r="R616" s="26"/>
      <c r="S616" s="26"/>
      <c r="T616" s="26"/>
      <c r="U616" s="26"/>
      <c r="V616" s="26"/>
      <c r="W616" s="26"/>
      <c r="X616" s="26"/>
      <c r="Y616" s="26"/>
      <c r="Z616" s="26"/>
    </row>
    <row r="617" hidden="1" customHeight="1" spans="1:26">
      <c r="A617" s="27">
        <v>1311</v>
      </c>
      <c r="B617" s="27">
        <v>39</v>
      </c>
      <c r="C617" s="27" t="s">
        <v>1642</v>
      </c>
      <c r="D617" s="27" t="s">
        <v>2716</v>
      </c>
      <c r="E617" s="27" t="s">
        <v>2893</v>
      </c>
      <c r="F617" s="27" t="str">
        <f t="shared" si="0"/>
        <v>Negative Traits Greek Origin</v>
      </c>
      <c r="G617" s="27">
        <f t="shared" si="1"/>
        <v>7</v>
      </c>
      <c r="H617" s="27" t="s">
        <v>3535</v>
      </c>
      <c r="I617" s="27"/>
      <c r="J617" s="27"/>
      <c r="K617" s="27"/>
      <c r="L617" s="27" t="str">
        <f t="shared" si="2"/>
        <v>S</v>
      </c>
      <c r="M617" s="27" t="str">
        <f>IFERROR(__xludf.DUMMYFUNCTION("GOOGLETRANSLATE(C617,""EN"",""KN"")"),"ಸ್ಪಾರ್ಟಾನ್")</f>
        <v>ಸ್ಪಾರ್ಟಾನ್</v>
      </c>
      <c r="N617" s="27">
        <f t="array" ref="N617">_xlfn.XLOOKUP(B617,'Sets Progress'!I:I,'Sets Progress'!I:I,"NOT YET")</f>
        <v>39</v>
      </c>
      <c r="O617" s="27" t="str">
        <f t="array" ref="O617">_xlfn.XLOOKUP(L:L,'Overall Progress'!L:L,'Overall Progress'!L:L,"NOT YET")</f>
        <v>NOT YET</v>
      </c>
      <c r="P617" s="27"/>
      <c r="Q617" s="27"/>
      <c r="R617" s="27"/>
      <c r="S617" s="27"/>
      <c r="T617" s="27"/>
      <c r="U617" s="27"/>
      <c r="V617" s="27"/>
      <c r="W617" s="27"/>
      <c r="X617" s="27"/>
      <c r="Y617" s="27"/>
      <c r="Z617" s="27"/>
    </row>
    <row r="618" hidden="1" customHeight="1" spans="1:26">
      <c r="A618" s="26">
        <v>1360</v>
      </c>
      <c r="B618" s="26">
        <v>39</v>
      </c>
      <c r="C618" s="26" t="s">
        <v>1691</v>
      </c>
      <c r="D618" s="26" t="s">
        <v>1721</v>
      </c>
      <c r="E618" s="26" t="s">
        <v>2896</v>
      </c>
      <c r="F618" s="26" t="str">
        <f t="shared" si="0"/>
        <v>Temporal Old French Origin</v>
      </c>
      <c r="G618" s="26">
        <f t="shared" si="1"/>
        <v>8</v>
      </c>
      <c r="H618" s="26" t="s">
        <v>3536</v>
      </c>
      <c r="I618" s="26"/>
      <c r="J618" s="26"/>
      <c r="K618" s="26"/>
      <c r="L618" s="26" t="str">
        <f t="shared" si="2"/>
        <v>S</v>
      </c>
      <c r="M618" s="26" t="str">
        <f>IFERROR(__xludf.DUMMYFUNCTION("GOOGLETRANSLATE(C618,""EN"",""KN"")"),"ಅತಿಕ್ರಮಣ")</f>
        <v>ಅತಿಕ್ರಮಣ</v>
      </c>
      <c r="N618" s="26">
        <f t="array" ref="N618">_xlfn.XLOOKUP(B618,'Sets Progress'!I:I,'Sets Progress'!I:I,"NOT YET")</f>
        <v>39</v>
      </c>
      <c r="O618" s="26" t="str">
        <f t="array" ref="O618">_xlfn.XLOOKUP(L:L,'Overall Progress'!L:L,'Overall Progress'!L:L,"NOT YET")</f>
        <v>NOT YET</v>
      </c>
      <c r="P618" s="26"/>
      <c r="Q618" s="26"/>
      <c r="R618" s="26"/>
      <c r="S618" s="26"/>
      <c r="T618" s="26"/>
      <c r="U618" s="26"/>
      <c r="V618" s="26"/>
      <c r="W618" s="26"/>
      <c r="X618" s="26"/>
      <c r="Y618" s="26"/>
      <c r="Z618" s="26"/>
    </row>
    <row r="619" hidden="1" customHeight="1" spans="1:26">
      <c r="A619" s="27">
        <v>1384</v>
      </c>
      <c r="B619" s="27">
        <v>39</v>
      </c>
      <c r="C619" s="27" t="s">
        <v>1715</v>
      </c>
      <c r="D619" s="27" t="s">
        <v>2716</v>
      </c>
      <c r="E619" s="27" t="s">
        <v>2889</v>
      </c>
      <c r="F619" s="27" t="str">
        <f t="shared" si="0"/>
        <v>Negative Traits Latin Origin</v>
      </c>
      <c r="G619" s="27">
        <f t="shared" si="1"/>
        <v>7</v>
      </c>
      <c r="H619" s="27" t="s">
        <v>3537</v>
      </c>
      <c r="I619" s="27"/>
      <c r="J619" s="27"/>
      <c r="K619" s="27"/>
      <c r="L619" s="27" t="str">
        <f t="shared" si="2"/>
        <v>T</v>
      </c>
      <c r="M619" s="27" t="str">
        <f>IFERROR(__xludf.DUMMYFUNCTION("GOOGLETRANSLATE(C619,""EN"",""KN"")"),"ಬೇಸರದ")</f>
        <v>ಬೇಸರದ</v>
      </c>
      <c r="N619" s="27">
        <f t="array" ref="N619">_xlfn.XLOOKUP(B619,'Sets Progress'!I:I,'Sets Progress'!I:I,"NOT YET")</f>
        <v>39</v>
      </c>
      <c r="O619" s="27" t="str">
        <f t="array" ref="O619">_xlfn.XLOOKUP(L:L,'Overall Progress'!L:L,'Overall Progress'!L:L,"NOT YET")</f>
        <v>NOT YET</v>
      </c>
      <c r="P619" s="27"/>
      <c r="Q619" s="27"/>
      <c r="R619" s="27"/>
      <c r="S619" s="27"/>
      <c r="T619" s="27"/>
      <c r="U619" s="27"/>
      <c r="V619" s="27"/>
      <c r="W619" s="27"/>
      <c r="X619" s="27"/>
      <c r="Y619" s="27"/>
      <c r="Z619" s="27"/>
    </row>
    <row r="620" hidden="1" customHeight="1" spans="1:26">
      <c r="A620" s="26">
        <v>1514</v>
      </c>
      <c r="B620" s="26">
        <v>39</v>
      </c>
      <c r="C620" s="26" t="s">
        <v>1842</v>
      </c>
      <c r="D620" s="26" t="s">
        <v>2717</v>
      </c>
      <c r="E620" s="26" t="s">
        <v>2889</v>
      </c>
      <c r="F620" s="26" t="str">
        <f t="shared" si="0"/>
        <v>Positive Traits Latin Origin</v>
      </c>
      <c r="G620" s="26">
        <f t="shared" si="1"/>
        <v>9</v>
      </c>
      <c r="H620" s="26" t="s">
        <v>3538</v>
      </c>
      <c r="I620" s="26"/>
      <c r="J620" s="26"/>
      <c r="K620" s="26"/>
      <c r="L620" s="26" t="str">
        <f t="shared" si="2"/>
        <v>V</v>
      </c>
      <c r="M620" s="26" t="str">
        <f>IFERROR(__xludf.DUMMYFUNCTION("GOOGLETRANSLATE(C620,""EN"",""KN"")"),"ದಾರ್ಶನಿಕ")</f>
        <v>ದಾರ್ಶನಿಕ</v>
      </c>
      <c r="N620" s="26">
        <f t="array" ref="N620">_xlfn.XLOOKUP(B620,'Sets Progress'!I:I,'Sets Progress'!I:I,"NOT YET")</f>
        <v>39</v>
      </c>
      <c r="O620" s="26" t="str">
        <f t="array" ref="O620">_xlfn.XLOOKUP(L:L,'Overall Progress'!L:L,'Overall Progress'!L:L,"NOT YET")</f>
        <v>NOT YET</v>
      </c>
      <c r="P620" s="26"/>
      <c r="Q620" s="26"/>
      <c r="R620" s="26"/>
      <c r="S620" s="26"/>
      <c r="T620" s="26"/>
      <c r="U620" s="26"/>
      <c r="V620" s="26"/>
      <c r="W620" s="26"/>
      <c r="X620" s="26"/>
      <c r="Y620" s="26"/>
      <c r="Z620" s="26"/>
    </row>
    <row r="621" hidden="1" customHeight="1" spans="1:26">
      <c r="A621" s="27">
        <v>150</v>
      </c>
      <c r="B621" s="27">
        <v>40</v>
      </c>
      <c r="C621" s="27" t="s">
        <v>499</v>
      </c>
      <c r="D621" s="27" t="s">
        <v>2716</v>
      </c>
      <c r="E621" s="27" t="s">
        <v>2889</v>
      </c>
      <c r="F621" s="27" t="str">
        <f t="shared" si="0"/>
        <v>Negative Traits Latin Origin</v>
      </c>
      <c r="G621" s="27">
        <f t="shared" si="1"/>
        <v>4</v>
      </c>
      <c r="H621" s="27" t="s">
        <v>3539</v>
      </c>
      <c r="I621" s="27"/>
      <c r="J621" s="27"/>
      <c r="K621" s="27"/>
      <c r="L621" s="27" t="str">
        <f t="shared" si="2"/>
        <v>B</v>
      </c>
      <c r="M621" s="27" t="str">
        <f>IFERROR(__xludf.DUMMYFUNCTION("GOOGLETRANSLATE(C621,""EN"",""KN"")"),"ಬೇಸ್")</f>
        <v>ಬೇಸ್</v>
      </c>
      <c r="N621" s="27" t="str">
        <f t="array" ref="N621">_xlfn.XLOOKUP(B621,'Sets Progress'!I:I,'Sets Progress'!I:I,"NOT YET")</f>
        <v>NOT YET</v>
      </c>
      <c r="O621" s="27" t="str">
        <f t="array" ref="O621">_xlfn.XLOOKUP(L:L,'Overall Progress'!L:L,'Overall Progress'!L:L,"NOT YET")</f>
        <v>NOT YET</v>
      </c>
      <c r="P621" s="27"/>
      <c r="Q621" s="27"/>
      <c r="R621" s="27"/>
      <c r="S621" s="27"/>
      <c r="T621" s="27"/>
      <c r="U621" s="27"/>
      <c r="V621" s="27"/>
      <c r="W621" s="27"/>
      <c r="X621" s="27"/>
      <c r="Y621" s="27"/>
      <c r="Z621" s="27"/>
    </row>
    <row r="622" hidden="1" customHeight="1" spans="1:26">
      <c r="A622" s="26">
        <v>655</v>
      </c>
      <c r="B622" s="26">
        <v>40</v>
      </c>
      <c r="C622" s="26" t="s">
        <v>998</v>
      </c>
      <c r="D622" s="26" t="s">
        <v>2946</v>
      </c>
      <c r="E622" s="26" t="s">
        <v>2921</v>
      </c>
      <c r="F622" s="26" t="str">
        <f t="shared" si="0"/>
        <v>Emotional Unknown Origin</v>
      </c>
      <c r="G622" s="26">
        <f t="shared" si="1"/>
        <v>5</v>
      </c>
      <c r="H622" s="26" t="s">
        <v>3540</v>
      </c>
      <c r="I622" s="26"/>
      <c r="J622" s="26"/>
      <c r="K622" s="26"/>
      <c r="L622" s="26" t="str">
        <f t="shared" si="2"/>
        <v>G</v>
      </c>
      <c r="M622" s="26" t="str">
        <f>IFERROR(__xludf.DUMMYFUNCTION("GOOGLETRANSLATE(C622,""EN"",""KN"")"),"ಗ್ಲೋಟ್")</f>
        <v>ಗ್ಲೋಟ್</v>
      </c>
      <c r="N622" s="26" t="str">
        <f t="array" ref="N622">_xlfn.XLOOKUP(B622,'Sets Progress'!I:I,'Sets Progress'!I:I,"NOT YET")</f>
        <v>NOT YET</v>
      </c>
      <c r="O622" s="26" t="str">
        <f t="array" ref="O622">_xlfn.XLOOKUP(L:L,'Overall Progress'!L:L,'Overall Progress'!L:L,"NOT YET")</f>
        <v>NOT YET</v>
      </c>
      <c r="P622" s="26"/>
      <c r="Q622" s="26"/>
      <c r="R622" s="26"/>
      <c r="S622" s="26"/>
      <c r="T622" s="26"/>
      <c r="U622" s="26"/>
      <c r="V622" s="26"/>
      <c r="W622" s="26"/>
      <c r="X622" s="26"/>
      <c r="Y622" s="26"/>
      <c r="Z622" s="26"/>
    </row>
    <row r="623" customHeight="1" spans="1:26">
      <c r="A623" s="27">
        <v>823</v>
      </c>
      <c r="B623" s="27">
        <v>40</v>
      </c>
      <c r="C623" s="27" t="s">
        <v>1163</v>
      </c>
      <c r="D623" s="27" t="s">
        <v>1721</v>
      </c>
      <c r="E623" s="27" t="s">
        <v>2889</v>
      </c>
      <c r="F623" s="27" t="str">
        <f t="shared" si="0"/>
        <v>Temporal Latin Origin</v>
      </c>
      <c r="G623" s="27">
        <f t="shared" si="1"/>
        <v>9</v>
      </c>
      <c r="H623" s="27"/>
      <c r="I623" s="27"/>
      <c r="J623" s="27"/>
      <c r="K623" s="27"/>
      <c r="L623" s="27" t="str">
        <f t="shared" si="2"/>
        <v>I</v>
      </c>
      <c r="M623" s="27" t="str">
        <f>IFERROR(__xludf.DUMMYFUNCTION("GOOGLETRANSLATE(C623,""EN"",""KN"")"),"ಉಲ್ಲಂಘಿಸು")</f>
        <v>ಉಲ್ಲಂಘಿಸು</v>
      </c>
      <c r="N623" s="27" t="str">
        <f t="array" ref="N623">_xlfn.XLOOKUP(B623,'Sets Progress'!I:I,'Sets Progress'!I:I,"NOT YET")</f>
        <v>NOT YET</v>
      </c>
      <c r="O623" s="27" t="str">
        <f t="array" ref="O623">_xlfn.XLOOKUP(L:L,'Overall Progress'!L:L,'Overall Progress'!L:L,"NOT YET")</f>
        <v>NOT YET</v>
      </c>
      <c r="P623" s="27"/>
      <c r="Q623" s="27"/>
      <c r="R623" s="27"/>
      <c r="S623" s="27"/>
      <c r="T623" s="27"/>
      <c r="U623" s="27"/>
      <c r="V623" s="27"/>
      <c r="W623" s="27"/>
      <c r="X623" s="27"/>
      <c r="Y623" s="27"/>
      <c r="Z623" s="27"/>
    </row>
    <row r="624" hidden="1" customHeight="1" spans="1:26">
      <c r="A624" s="26">
        <v>877</v>
      </c>
      <c r="B624" s="26">
        <v>40</v>
      </c>
      <c r="C624" s="26" t="s">
        <v>1215</v>
      </c>
      <c r="D624" s="26" t="s">
        <v>2716</v>
      </c>
      <c r="E624" s="26" t="s">
        <v>2889</v>
      </c>
      <c r="F624" s="26" t="str">
        <f t="shared" si="0"/>
        <v>Negative Traits Latin Origin</v>
      </c>
      <c r="G624" s="26">
        <f t="shared" si="1"/>
        <v>5</v>
      </c>
      <c r="H624" s="26" t="s">
        <v>3541</v>
      </c>
      <c r="I624" s="26"/>
      <c r="J624" s="26"/>
      <c r="K624" s="26"/>
      <c r="L624" s="26" t="str">
        <f t="shared" si="2"/>
        <v>L</v>
      </c>
      <c r="M624" s="26" t="str">
        <f>IFERROR(__xludf.DUMMYFUNCTION("GOOGLETRANSLATE(C624,""EN"",""KN"")"),"ಲೂರಿಡ್")</f>
        <v>ಲೂರಿಡ್</v>
      </c>
      <c r="N624" s="26" t="str">
        <f t="array" ref="N624">_xlfn.XLOOKUP(B624,'Sets Progress'!I:I,'Sets Progress'!I:I,"NOT YET")</f>
        <v>NOT YET</v>
      </c>
      <c r="O624" s="26" t="str">
        <f t="array" ref="O624">_xlfn.XLOOKUP(L:L,'Overall Progress'!L:L,'Overall Progress'!L:L,"NOT YET")</f>
        <v>NOT YET</v>
      </c>
      <c r="P624" s="26"/>
      <c r="Q624" s="26"/>
      <c r="R624" s="26"/>
      <c r="S624" s="26"/>
      <c r="T624" s="26"/>
      <c r="U624" s="26"/>
      <c r="V624" s="26"/>
      <c r="W624" s="26"/>
      <c r="X624" s="26"/>
      <c r="Y624" s="26"/>
      <c r="Z624" s="26"/>
    </row>
    <row r="625" hidden="1" customHeight="1" spans="1:26">
      <c r="A625" s="27">
        <v>1102</v>
      </c>
      <c r="B625" s="27">
        <v>40</v>
      </c>
      <c r="C625" s="27" t="s">
        <v>1436</v>
      </c>
      <c r="D625" s="27" t="s">
        <v>2717</v>
      </c>
      <c r="E625" s="27" t="s">
        <v>2889</v>
      </c>
      <c r="F625" s="27" t="str">
        <f t="shared" si="0"/>
        <v>Positive Traits Latin Origin</v>
      </c>
      <c r="G625" s="27">
        <f t="shared" si="1"/>
        <v>10</v>
      </c>
      <c r="H625" s="27" t="s">
        <v>3542</v>
      </c>
      <c r="I625" s="27"/>
      <c r="J625" s="27"/>
      <c r="K625" s="27"/>
      <c r="L625" s="27" t="str">
        <f t="shared" si="2"/>
        <v>P</v>
      </c>
      <c r="M625" s="27" t="str">
        <f>IFERROR(__xludf.DUMMYFUNCTION("GOOGLETRANSLATE(C625,""EN"",""KN"")"),"ಅಗ್ರಮಾನ್ಯ")</f>
        <v>ಅಗ್ರಮಾನ್ಯ</v>
      </c>
      <c r="N625" s="27" t="str">
        <f t="array" ref="N625">_xlfn.XLOOKUP(B625,'Sets Progress'!I:I,'Sets Progress'!I:I,"NOT YET")</f>
        <v>NOT YET</v>
      </c>
      <c r="O625" s="27" t="str">
        <f t="array" ref="O625">_xlfn.XLOOKUP(L:L,'Overall Progress'!L:L,'Overall Progress'!L:L,"NOT YET")</f>
        <v>NOT YET</v>
      </c>
      <c r="P625" s="27"/>
      <c r="Q625" s="27"/>
      <c r="R625" s="27"/>
      <c r="S625" s="27"/>
      <c r="T625" s="27"/>
      <c r="U625" s="27"/>
      <c r="V625" s="27"/>
      <c r="W625" s="27"/>
      <c r="X625" s="27"/>
      <c r="Y625" s="27"/>
      <c r="Z625" s="27"/>
    </row>
    <row r="626" hidden="1" customHeight="1" spans="1:26">
      <c r="A626" s="26">
        <v>1103</v>
      </c>
      <c r="B626" s="26">
        <v>40</v>
      </c>
      <c r="C626" s="26" t="s">
        <v>1437</v>
      </c>
      <c r="D626" s="26" t="s">
        <v>1721</v>
      </c>
      <c r="E626" s="26" t="s">
        <v>2889</v>
      </c>
      <c r="F626" s="26" t="str">
        <f t="shared" si="0"/>
        <v>Temporal Latin Origin</v>
      </c>
      <c r="G626" s="26">
        <f t="shared" si="1"/>
        <v>9</v>
      </c>
      <c r="H626" s="26" t="s">
        <v>3543</v>
      </c>
      <c r="I626" s="26"/>
      <c r="J626" s="26"/>
      <c r="K626" s="26"/>
      <c r="L626" s="26" t="str">
        <f t="shared" si="2"/>
        <v>P</v>
      </c>
      <c r="M626" s="26" t="str">
        <f>IFERROR(__xludf.DUMMYFUNCTION("GOOGLETRANSLATE(C626,""EN"",""KN"")"),"ಪೂರ್ವಾಕೃತಿ")</f>
        <v>ಪೂರ್ವಾಕೃತಿ</v>
      </c>
      <c r="N626" s="26" t="str">
        <f t="array" ref="N626">_xlfn.XLOOKUP(B626,'Sets Progress'!I:I,'Sets Progress'!I:I,"NOT YET")</f>
        <v>NOT YET</v>
      </c>
      <c r="O626" s="26" t="str">
        <f t="array" ref="O626">_xlfn.XLOOKUP(L:L,'Overall Progress'!L:L,'Overall Progress'!L:L,"NOT YET")</f>
        <v>NOT YET</v>
      </c>
      <c r="P626" s="26"/>
      <c r="Q626" s="26"/>
      <c r="R626" s="26"/>
      <c r="S626" s="26"/>
      <c r="T626" s="26"/>
      <c r="U626" s="26"/>
      <c r="V626" s="26"/>
      <c r="W626" s="26"/>
      <c r="X626" s="26"/>
      <c r="Y626" s="26"/>
      <c r="Z626" s="26"/>
    </row>
    <row r="627" customHeight="1" spans="1:26">
      <c r="A627" s="27">
        <v>1174</v>
      </c>
      <c r="B627" s="27">
        <v>40</v>
      </c>
      <c r="C627" s="27" t="s">
        <v>1505</v>
      </c>
      <c r="D627" s="27" t="s">
        <v>1721</v>
      </c>
      <c r="E627" s="27" t="s">
        <v>2889</v>
      </c>
      <c r="F627" s="27" t="str">
        <f t="shared" si="0"/>
        <v>Temporal Latin Origin</v>
      </c>
      <c r="G627" s="27">
        <f t="shared" si="1"/>
        <v>6</v>
      </c>
      <c r="H627" s="27"/>
      <c r="I627" s="27"/>
      <c r="J627" s="27"/>
      <c r="K627" s="27"/>
      <c r="L627" s="27" t="str">
        <f t="shared" si="2"/>
        <v>R</v>
      </c>
      <c r="M627" s="27" t="str">
        <f>IFERROR(__xludf.DUMMYFUNCTION("GOOGLETRANSLATE(C627,""EN"",""KN"")"),"ನಿರಾಕರಣೆ")</f>
        <v>ನಿರಾಕರಣೆ</v>
      </c>
      <c r="N627" s="27" t="str">
        <f t="array" ref="N627">_xlfn.XLOOKUP(B627,'Sets Progress'!I:I,'Sets Progress'!I:I,"NOT YET")</f>
        <v>NOT YET</v>
      </c>
      <c r="O627" s="27" t="str">
        <f t="array" ref="O627">_xlfn.XLOOKUP(L:L,'Overall Progress'!L:L,'Overall Progress'!L:L,"NOT YET")</f>
        <v>NOT YET</v>
      </c>
      <c r="P627" s="27"/>
      <c r="Q627" s="27"/>
      <c r="R627" s="27"/>
      <c r="S627" s="27"/>
      <c r="T627" s="27"/>
      <c r="U627" s="27"/>
      <c r="V627" s="27"/>
      <c r="W627" s="27"/>
      <c r="X627" s="27"/>
      <c r="Y627" s="27"/>
      <c r="Z627" s="27"/>
    </row>
    <row r="628" hidden="1" customHeight="1" spans="1:26">
      <c r="A628" s="26">
        <v>1193</v>
      </c>
      <c r="B628" s="26">
        <v>40</v>
      </c>
      <c r="C628" s="26" t="s">
        <v>1524</v>
      </c>
      <c r="D628" s="26" t="s">
        <v>1721</v>
      </c>
      <c r="E628" s="26" t="s">
        <v>2889</v>
      </c>
      <c r="F628" s="26" t="str">
        <f t="shared" si="0"/>
        <v>Temporal Latin Origin</v>
      </c>
      <c r="G628" s="26">
        <f t="shared" si="1"/>
        <v>8</v>
      </c>
      <c r="H628" s="26" t="s">
        <v>3544</v>
      </c>
      <c r="I628" s="26"/>
      <c r="J628" s="26"/>
      <c r="K628" s="26"/>
      <c r="L628" s="26" t="str">
        <f t="shared" si="2"/>
        <v>R</v>
      </c>
      <c r="M628" s="26" t="str">
        <f>IFERROR(__xludf.DUMMYFUNCTION("GOOGLETRANSLATE(C628,""EN"",""KN"")"),"ಮರುಶೋಧನೆ")</f>
        <v>ಮರುಶೋಧನೆ</v>
      </c>
      <c r="N628" s="26" t="str">
        <f t="array" ref="N628">_xlfn.XLOOKUP(B628,'Sets Progress'!I:I,'Sets Progress'!I:I,"NOT YET")</f>
        <v>NOT YET</v>
      </c>
      <c r="O628" s="26" t="str">
        <f t="array" ref="O628">_xlfn.XLOOKUP(L:L,'Overall Progress'!L:L,'Overall Progress'!L:L,"NOT YET")</f>
        <v>NOT YET</v>
      </c>
      <c r="P628" s="26"/>
      <c r="Q628" s="26"/>
      <c r="R628" s="26"/>
      <c r="S628" s="26"/>
      <c r="T628" s="26"/>
      <c r="U628" s="26"/>
      <c r="V628" s="26"/>
      <c r="W628" s="26"/>
      <c r="X628" s="26"/>
      <c r="Y628" s="26"/>
      <c r="Z628" s="26"/>
    </row>
    <row r="629" hidden="1" customHeight="1" spans="1:26">
      <c r="A629" s="27">
        <v>1215</v>
      </c>
      <c r="B629" s="27">
        <v>40</v>
      </c>
      <c r="C629" s="27" t="s">
        <v>1546</v>
      </c>
      <c r="D629" s="27" t="s">
        <v>2716</v>
      </c>
      <c r="E629" s="27" t="s">
        <v>2889</v>
      </c>
      <c r="F629" s="27" t="str">
        <f t="shared" si="0"/>
        <v>Negative Traits Latin Origin</v>
      </c>
      <c r="G629" s="27">
        <f t="shared" si="1"/>
        <v>6</v>
      </c>
      <c r="H629" s="27" t="s">
        <v>3545</v>
      </c>
      <c r="I629" s="27"/>
      <c r="J629" s="27"/>
      <c r="K629" s="27"/>
      <c r="L629" s="27" t="str">
        <f t="shared" si="2"/>
        <v>R</v>
      </c>
      <c r="M629" s="27" t="str">
        <f>IFERROR(__xludf.DUMMYFUNCTION("GOOGLETRANSLATE(C629,""EN"",""KN"")"),"ಮರುಕಳಿಸು")</f>
        <v>ಮರುಕಳಿಸು</v>
      </c>
      <c r="N629" s="27" t="str">
        <f t="array" ref="N629">_xlfn.XLOOKUP(B629,'Sets Progress'!I:I,'Sets Progress'!I:I,"NOT YET")</f>
        <v>NOT YET</v>
      </c>
      <c r="O629" s="27" t="str">
        <f t="array" ref="O629">_xlfn.XLOOKUP(L:L,'Overall Progress'!L:L,'Overall Progress'!L:L,"NOT YET")</f>
        <v>NOT YET</v>
      </c>
      <c r="P629" s="27"/>
      <c r="Q629" s="27"/>
      <c r="R629" s="27"/>
      <c r="S629" s="27"/>
      <c r="T629" s="27"/>
      <c r="U629" s="27"/>
      <c r="V629" s="27"/>
      <c r="W629" s="27"/>
      <c r="X629" s="27"/>
      <c r="Y629" s="27"/>
      <c r="Z629" s="27"/>
    </row>
    <row r="630" hidden="1" customHeight="1" spans="1:26">
      <c r="A630" s="26">
        <v>1272</v>
      </c>
      <c r="B630" s="26">
        <v>40</v>
      </c>
      <c r="C630" s="26" t="s">
        <v>1603</v>
      </c>
      <c r="D630" s="26" t="s">
        <v>2716</v>
      </c>
      <c r="E630" s="26" t="s">
        <v>2889</v>
      </c>
      <c r="F630" s="26" t="str">
        <f t="shared" si="0"/>
        <v>Negative Traits Latin Origin</v>
      </c>
      <c r="G630" s="26">
        <f t="shared" si="1"/>
        <v>5</v>
      </c>
      <c r="H630" s="26" t="s">
        <v>3546</v>
      </c>
      <c r="I630" s="26"/>
      <c r="J630" s="26"/>
      <c r="K630" s="26"/>
      <c r="L630" s="26" t="str">
        <f t="shared" si="2"/>
        <v>S</v>
      </c>
      <c r="M630" s="26" t="str">
        <f>IFERROR(__xludf.DUMMYFUNCTION("GOOGLETRANSLATE(C630,""EN"",""KN"")"),"ಸೆವೆರ್")</f>
        <v>ಸೆವೆರ್</v>
      </c>
      <c r="N630" s="26" t="str">
        <f t="array" ref="N630">_xlfn.XLOOKUP(B630,'Sets Progress'!I:I,'Sets Progress'!I:I,"NOT YET")</f>
        <v>NOT YET</v>
      </c>
      <c r="O630" s="26" t="str">
        <f t="array" ref="O630">_xlfn.XLOOKUP(L:L,'Overall Progress'!L:L,'Overall Progress'!L:L,"NOT YET")</f>
        <v>NOT YET</v>
      </c>
      <c r="P630" s="26"/>
      <c r="Q630" s="26"/>
      <c r="R630" s="26"/>
      <c r="S630" s="26"/>
      <c r="T630" s="26"/>
      <c r="U630" s="26"/>
      <c r="V630" s="26"/>
      <c r="W630" s="26"/>
      <c r="X630" s="26"/>
      <c r="Y630" s="26"/>
      <c r="Z630" s="26"/>
    </row>
    <row r="631" hidden="1" customHeight="1" spans="1:26">
      <c r="A631" s="27">
        <v>1419</v>
      </c>
      <c r="B631" s="27">
        <v>40</v>
      </c>
      <c r="C631" s="27" t="s">
        <v>1750</v>
      </c>
      <c r="D631" s="27" t="s">
        <v>1721</v>
      </c>
      <c r="E631" s="27" t="s">
        <v>2889</v>
      </c>
      <c r="F631" s="27" t="str">
        <f t="shared" si="0"/>
        <v>Temporal Latin Origin</v>
      </c>
      <c r="G631" s="27">
        <f t="shared" si="1"/>
        <v>9</v>
      </c>
      <c r="H631" s="27" t="s">
        <v>3547</v>
      </c>
      <c r="I631" s="27"/>
      <c r="J631" s="27"/>
      <c r="K631" s="27"/>
      <c r="L631" s="27" t="str">
        <f t="shared" si="2"/>
        <v>T</v>
      </c>
      <c r="M631" s="27" t="str">
        <f>IFERROR(__xludf.DUMMYFUNCTION("GOOGLETRANSLATE(C631,""EN"",""KN"")"),"ಕ್ಷಣಿಕ")</f>
        <v>ಕ್ಷಣಿಕ</v>
      </c>
      <c r="N631" s="27" t="str">
        <f t="array" ref="N631">_xlfn.XLOOKUP(B631,'Sets Progress'!I:I,'Sets Progress'!I:I,"NOT YET")</f>
        <v>NOT YET</v>
      </c>
      <c r="O631" s="27" t="str">
        <f t="array" ref="O631">_xlfn.XLOOKUP(L:L,'Overall Progress'!L:L,'Overall Progress'!L:L,"NOT YET")</f>
        <v>NOT YET</v>
      </c>
      <c r="P631" s="27"/>
      <c r="Q631" s="27"/>
      <c r="R631" s="27"/>
      <c r="S631" s="27"/>
      <c r="T631" s="27"/>
      <c r="U631" s="27"/>
      <c r="V631" s="27"/>
      <c r="W631" s="27"/>
      <c r="X631" s="27"/>
      <c r="Y631" s="27"/>
      <c r="Z631" s="27"/>
    </row>
    <row r="632" hidden="1" customHeight="1" spans="1:26">
      <c r="A632" s="26">
        <v>1470</v>
      </c>
      <c r="B632" s="26">
        <v>40</v>
      </c>
      <c r="C632" s="26" t="s">
        <v>1798</v>
      </c>
      <c r="D632" s="26" t="s">
        <v>1721</v>
      </c>
      <c r="E632" s="26" t="s">
        <v>2893</v>
      </c>
      <c r="F632" s="26" t="str">
        <f t="shared" si="0"/>
        <v>Temporal Greek Origin</v>
      </c>
      <c r="G632" s="26">
        <f t="shared" si="1"/>
        <v>10</v>
      </c>
      <c r="H632" s="26" t="s">
        <v>3548</v>
      </c>
      <c r="I632" s="26"/>
      <c r="J632" s="26"/>
      <c r="K632" s="26"/>
      <c r="L632" s="26" t="str">
        <f t="shared" si="2"/>
        <v>U</v>
      </c>
      <c r="M632" s="26" t="str">
        <f>IFERROR(__xludf.DUMMYFUNCTION("GOOGLETRANSLATE(C632,""EN"",""KN"")"),"ಅಸಾಂಪ್ರದಾಯಿಕ")</f>
        <v>ಅಸಾಂಪ್ರದಾಯಿಕ</v>
      </c>
      <c r="N632" s="26" t="str">
        <f t="array" ref="N632">_xlfn.XLOOKUP(B632,'Sets Progress'!I:I,'Sets Progress'!I:I,"NOT YET")</f>
        <v>NOT YET</v>
      </c>
      <c r="O632" s="26" t="str">
        <f t="array" ref="O632">_xlfn.XLOOKUP(L:L,'Overall Progress'!L:L,'Overall Progress'!L:L,"NOT YET")</f>
        <v>NOT YET</v>
      </c>
      <c r="P632" s="26"/>
      <c r="Q632" s="26"/>
      <c r="R632" s="26"/>
      <c r="S632" s="26"/>
      <c r="T632" s="26"/>
      <c r="U632" s="26"/>
      <c r="V632" s="26"/>
      <c r="W632" s="26"/>
      <c r="X632" s="26"/>
      <c r="Y632" s="26"/>
      <c r="Z632" s="26"/>
    </row>
    <row r="633" hidden="1" customHeight="1" spans="1:26">
      <c r="A633" s="27">
        <v>149</v>
      </c>
      <c r="B633" s="27">
        <v>41</v>
      </c>
      <c r="C633" s="27" t="s">
        <v>498</v>
      </c>
      <c r="D633" s="27" t="s">
        <v>2892</v>
      </c>
      <c r="E633" s="27" t="s">
        <v>2908</v>
      </c>
      <c r="F633" s="27" t="str">
        <f t="shared" si="0"/>
        <v>Spatial Old English Origin</v>
      </c>
      <c r="G633" s="27">
        <f t="shared" si="1"/>
        <v>6</v>
      </c>
      <c r="H633" s="27" t="s">
        <v>3549</v>
      </c>
      <c r="I633" s="27"/>
      <c r="J633" s="27"/>
      <c r="K633" s="27"/>
      <c r="L633" s="27" t="str">
        <f t="shared" si="2"/>
        <v>B</v>
      </c>
      <c r="M633" s="27" t="str">
        <f>IFERROR(__xludf.DUMMYFUNCTION("GOOGLETRANSLATE(C633,""EN"",""KN"")"),"ಬಂಜರು")</f>
        <v>ಬಂಜರು</v>
      </c>
      <c r="N633" s="27">
        <f t="array" ref="N633">_xlfn.XLOOKUP(B633,'Sets Progress'!I:I,'Sets Progress'!I:I,"NOT YET")</f>
        <v>41</v>
      </c>
      <c r="O633" s="27" t="str">
        <f t="array" ref="O633">_xlfn.XLOOKUP(L:L,'Overall Progress'!L:L,'Overall Progress'!L:L,"NOT YET")</f>
        <v>NOT YET</v>
      </c>
      <c r="P633" s="27"/>
      <c r="Q633" s="27"/>
      <c r="R633" s="27"/>
      <c r="S633" s="27"/>
      <c r="T633" s="27"/>
      <c r="U633" s="27"/>
      <c r="V633" s="27"/>
      <c r="W633" s="27"/>
      <c r="X633" s="27"/>
      <c r="Y633" s="27"/>
      <c r="Z633" s="27"/>
    </row>
    <row r="634" hidden="1" customHeight="1" spans="1:26">
      <c r="A634" s="26">
        <v>264</v>
      </c>
      <c r="B634" s="26">
        <v>41</v>
      </c>
      <c r="C634" s="26" t="s">
        <v>617</v>
      </c>
      <c r="D634" s="26" t="s">
        <v>2717</v>
      </c>
      <c r="E634" s="26" t="s">
        <v>2889</v>
      </c>
      <c r="F634" s="26" t="str">
        <f t="shared" si="0"/>
        <v>Positive Traits Latin Origin</v>
      </c>
      <c r="G634" s="26">
        <f t="shared" si="1"/>
        <v>9</v>
      </c>
      <c r="H634" s="26" t="s">
        <v>3550</v>
      </c>
      <c r="I634" s="26"/>
      <c r="J634" s="26"/>
      <c r="K634" s="26"/>
      <c r="L634" s="26" t="str">
        <f t="shared" si="2"/>
        <v>C</v>
      </c>
      <c r="M634" s="26" t="str">
        <f>IFERROR(__xludf.DUMMYFUNCTION("GOOGLETRANSLATE(C634,""EN"",""KN"")"),"ಸಮರ್ಥ")</f>
        <v>ಸಮರ್ಥ</v>
      </c>
      <c r="N634" s="26">
        <f t="array" ref="N634">_xlfn.XLOOKUP(B634,'Sets Progress'!I:I,'Sets Progress'!I:I,"NOT YET")</f>
        <v>41</v>
      </c>
      <c r="O634" s="26" t="str">
        <f t="array" ref="O634">_xlfn.XLOOKUP(L:L,'Overall Progress'!L:L,'Overall Progress'!L:L,"NOT YET")</f>
        <v>NOT YET</v>
      </c>
      <c r="P634" s="26"/>
      <c r="Q634" s="26"/>
      <c r="R634" s="26"/>
      <c r="S634" s="26"/>
      <c r="T634" s="26"/>
      <c r="U634" s="26"/>
      <c r="V634" s="26"/>
      <c r="W634" s="26"/>
      <c r="X634" s="26"/>
      <c r="Y634" s="26"/>
      <c r="Z634" s="26"/>
    </row>
    <row r="635" hidden="1" customHeight="1" spans="1:26">
      <c r="A635" s="27">
        <v>332</v>
      </c>
      <c r="B635" s="27">
        <v>41</v>
      </c>
      <c r="C635" s="27" t="s">
        <v>682</v>
      </c>
      <c r="D635" s="27" t="s">
        <v>1721</v>
      </c>
      <c r="E635" s="27" t="s">
        <v>2899</v>
      </c>
      <c r="F635" s="27" t="str">
        <f t="shared" si="0"/>
        <v>Temporal Middle English Origin</v>
      </c>
      <c r="G635" s="27">
        <f t="shared" si="1"/>
        <v>7</v>
      </c>
      <c r="H635" s="27" t="s">
        <v>3551</v>
      </c>
      <c r="I635" s="27"/>
      <c r="J635" s="27"/>
      <c r="K635" s="27"/>
      <c r="L635" s="27" t="str">
        <f t="shared" si="2"/>
        <v>C</v>
      </c>
      <c r="M635" s="27" t="str">
        <f>IFERROR(__xludf.DUMMYFUNCTION("GOOGLETRANSLATE(C635,""EN"",""KN"")"),"ಕುಸಿಯಲು")</f>
        <v>ಕುಸಿಯಲು</v>
      </c>
      <c r="N635" s="27">
        <f t="array" ref="N635">_xlfn.XLOOKUP(B635,'Sets Progress'!I:I,'Sets Progress'!I:I,"NOT YET")</f>
        <v>41</v>
      </c>
      <c r="O635" s="27" t="str">
        <f t="array" ref="O635">_xlfn.XLOOKUP(L:L,'Overall Progress'!L:L,'Overall Progress'!L:L,"NOT YET")</f>
        <v>NOT YET</v>
      </c>
      <c r="P635" s="27"/>
      <c r="Q635" s="27"/>
      <c r="R635" s="27"/>
      <c r="S635" s="27"/>
      <c r="T635" s="27"/>
      <c r="U635" s="27"/>
      <c r="V635" s="27"/>
      <c r="W635" s="27"/>
      <c r="X635" s="27"/>
      <c r="Y635" s="27"/>
      <c r="Z635" s="27"/>
    </row>
    <row r="636" hidden="1" customHeight="1" spans="1:26">
      <c r="A636" s="26">
        <v>478</v>
      </c>
      <c r="B636" s="26">
        <v>41</v>
      </c>
      <c r="C636" s="26" t="s">
        <v>827</v>
      </c>
      <c r="D636" s="26" t="s">
        <v>2717</v>
      </c>
      <c r="E636" s="26" t="s">
        <v>2911</v>
      </c>
      <c r="F636" s="26" t="str">
        <f t="shared" si="0"/>
        <v>Positive Traits French Origin</v>
      </c>
      <c r="G636" s="26">
        <f t="shared" si="1"/>
        <v>11</v>
      </c>
      <c r="H636" s="26" t="s">
        <v>3552</v>
      </c>
      <c r="I636" s="26"/>
      <c r="J636" s="26"/>
      <c r="K636" s="26"/>
      <c r="L636" s="26" t="str">
        <f t="shared" si="2"/>
        <v>E</v>
      </c>
      <c r="M636" s="26" t="str">
        <f>IFERROR(__xludf.DUMMYFUNCTION("GOOGLETRANSLATE(C636,""EN"",""KN"")"),"ಸಮತಾವಾದಿ")</f>
        <v>ಸಮತಾವಾದಿ</v>
      </c>
      <c r="N636" s="26">
        <f t="array" ref="N636">_xlfn.XLOOKUP(B636,'Sets Progress'!I:I,'Sets Progress'!I:I,"NOT YET")</f>
        <v>41</v>
      </c>
      <c r="O636" s="26" t="str">
        <f t="array" ref="O636">_xlfn.XLOOKUP(L:L,'Overall Progress'!L:L,'Overall Progress'!L:L,"NOT YET")</f>
        <v>NOT YET</v>
      </c>
      <c r="P636" s="26"/>
      <c r="Q636" s="26"/>
      <c r="R636" s="26"/>
      <c r="S636" s="26"/>
      <c r="T636" s="26"/>
      <c r="U636" s="26"/>
      <c r="V636" s="26"/>
      <c r="W636" s="26"/>
      <c r="X636" s="26"/>
      <c r="Y636" s="26"/>
      <c r="Z636" s="26"/>
    </row>
    <row r="637" hidden="1" customHeight="1" spans="1:26">
      <c r="A637" s="27">
        <v>485</v>
      </c>
      <c r="B637" s="27">
        <v>41</v>
      </c>
      <c r="C637" s="27" t="s">
        <v>834</v>
      </c>
      <c r="D637" s="27" t="s">
        <v>2717</v>
      </c>
      <c r="E637" s="27" t="s">
        <v>2889</v>
      </c>
      <c r="F637" s="27" t="str">
        <f t="shared" si="0"/>
        <v>Positive Traits Latin Origin</v>
      </c>
      <c r="G637" s="27">
        <f t="shared" si="1"/>
        <v>7</v>
      </c>
      <c r="H637" s="27" t="s">
        <v>3553</v>
      </c>
      <c r="I637" s="27"/>
      <c r="J637" s="27"/>
      <c r="K637" s="27"/>
      <c r="L637" s="27" t="str">
        <f t="shared" si="2"/>
        <v>E</v>
      </c>
      <c r="M637" s="27" t="str">
        <f>IFERROR(__xludf.DUMMYFUNCTION("GOOGLETRANSLATE(C637,""EN"",""KN"")"),"ಎತ್ತರಿಸಿ")</f>
        <v>ಎತ್ತರಿಸಿ</v>
      </c>
      <c r="N637" s="27">
        <f t="array" ref="N637">_xlfn.XLOOKUP(B637,'Sets Progress'!I:I,'Sets Progress'!I:I,"NOT YET")</f>
        <v>41</v>
      </c>
      <c r="O637" s="27" t="str">
        <f t="array" ref="O637">_xlfn.XLOOKUP(L:L,'Overall Progress'!L:L,'Overall Progress'!L:L,"NOT YET")</f>
        <v>NOT YET</v>
      </c>
      <c r="P637" s="27"/>
      <c r="Q637" s="27"/>
      <c r="R637" s="27"/>
      <c r="S637" s="27"/>
      <c r="T637" s="27"/>
      <c r="U637" s="27"/>
      <c r="V637" s="27"/>
      <c r="W637" s="27"/>
      <c r="X637" s="27"/>
      <c r="Y637" s="27"/>
      <c r="Z637" s="27"/>
    </row>
    <row r="638" hidden="1" customHeight="1" spans="1:26">
      <c r="A638" s="26">
        <v>726</v>
      </c>
      <c r="B638" s="26">
        <v>41</v>
      </c>
      <c r="C638" s="26" t="s">
        <v>1068</v>
      </c>
      <c r="D638" s="26" t="s">
        <v>1721</v>
      </c>
      <c r="E638" s="26" t="s">
        <v>2889</v>
      </c>
      <c r="F638" s="26" t="str">
        <f t="shared" si="0"/>
        <v>Temporal Latin Origin</v>
      </c>
      <c r="G638" s="26">
        <f t="shared" si="1"/>
        <v>13</v>
      </c>
      <c r="H638" s="26" t="s">
        <v>3554</v>
      </c>
      <c r="I638" s="26"/>
      <c r="J638" s="26"/>
      <c r="K638" s="26"/>
      <c r="L638" s="26" t="str">
        <f t="shared" si="2"/>
        <v>I</v>
      </c>
      <c r="M638" s="26" t="str">
        <f>IFERROR(__xludf.DUMMYFUNCTION("GOOGLETRANSLATE(C638,""EN"",""KN"")"),"ಅಡೆತಡೆಯಿಲ್ಲದ")</f>
        <v>ಅಡೆತಡೆಯಿಲ್ಲದ</v>
      </c>
      <c r="N638" s="26">
        <f t="array" ref="N638">_xlfn.XLOOKUP(B638,'Sets Progress'!I:I,'Sets Progress'!I:I,"NOT YET")</f>
        <v>41</v>
      </c>
      <c r="O638" s="26" t="str">
        <f t="array" ref="O638">_xlfn.XLOOKUP(L:L,'Overall Progress'!L:L,'Overall Progress'!L:L,"NOT YET")</f>
        <v>NOT YET</v>
      </c>
      <c r="P638" s="26"/>
      <c r="Q638" s="26"/>
      <c r="R638" s="26"/>
      <c r="S638" s="26"/>
      <c r="T638" s="26"/>
      <c r="U638" s="26"/>
      <c r="V638" s="26"/>
      <c r="W638" s="26"/>
      <c r="X638" s="26"/>
      <c r="Y638" s="26"/>
      <c r="Z638" s="26"/>
    </row>
    <row r="639" hidden="1" customHeight="1" spans="1:26">
      <c r="A639" s="27">
        <v>772</v>
      </c>
      <c r="B639" s="27">
        <v>41</v>
      </c>
      <c r="C639" s="27" t="s">
        <v>1113</v>
      </c>
      <c r="D639" s="27" t="s">
        <v>1721</v>
      </c>
      <c r="E639" s="27" t="s">
        <v>2889</v>
      </c>
      <c r="F639" s="27" t="str">
        <f t="shared" si="0"/>
        <v>Temporal Latin Origin</v>
      </c>
      <c r="G639" s="27">
        <f t="shared" si="1"/>
        <v>11</v>
      </c>
      <c r="H639" s="27" t="s">
        <v>3555</v>
      </c>
      <c r="I639" s="27"/>
      <c r="J639" s="27"/>
      <c r="K639" s="27"/>
      <c r="L639" s="27" t="str">
        <f t="shared" si="2"/>
        <v>I</v>
      </c>
      <c r="M639" s="27" t="str">
        <f>IFERROR(__xludf.DUMMYFUNCTION("GOOGLETRANSLATE(C639,""EN"",""KN"")"),"ತಡೆಯಲಾಗದ")</f>
        <v>ತಡೆಯಲಾಗದ</v>
      </c>
      <c r="N639" s="27">
        <f t="array" ref="N639">_xlfn.XLOOKUP(B639,'Sets Progress'!I:I,'Sets Progress'!I:I,"NOT YET")</f>
        <v>41</v>
      </c>
      <c r="O639" s="27" t="str">
        <f t="array" ref="O639">_xlfn.XLOOKUP(L:L,'Overall Progress'!L:L,'Overall Progress'!L:L,"NOT YET")</f>
        <v>NOT YET</v>
      </c>
      <c r="P639" s="27"/>
      <c r="Q639" s="27"/>
      <c r="R639" s="27"/>
      <c r="S639" s="27"/>
      <c r="T639" s="27"/>
      <c r="U639" s="27"/>
      <c r="V639" s="27"/>
      <c r="W639" s="27"/>
      <c r="X639" s="27"/>
      <c r="Y639" s="27"/>
      <c r="Z639" s="27"/>
    </row>
    <row r="640" hidden="1" customHeight="1" spans="1:26">
      <c r="A640" s="26">
        <v>783</v>
      </c>
      <c r="B640" s="26">
        <v>41</v>
      </c>
      <c r="C640" s="26" t="s">
        <v>1124</v>
      </c>
      <c r="D640" s="26" t="s">
        <v>1721</v>
      </c>
      <c r="E640" s="26" t="s">
        <v>2889</v>
      </c>
      <c r="F640" s="26" t="str">
        <f t="shared" si="0"/>
        <v>Temporal Latin Origin</v>
      </c>
      <c r="G640" s="26">
        <f t="shared" si="1"/>
        <v>9</v>
      </c>
      <c r="H640" s="26" t="s">
        <v>3556</v>
      </c>
      <c r="I640" s="26"/>
      <c r="J640" s="26"/>
      <c r="K640" s="26"/>
      <c r="L640" s="26" t="str">
        <f t="shared" si="2"/>
        <v>I</v>
      </c>
      <c r="M640" s="26" t="str">
        <f>IFERROR(__xludf.DUMMYFUNCTION("GOOGLETRANSLATE(C640,""EN"",""KN"")"),"ಬೇರೂರಿದೆ")</f>
        <v>ಬೇರೂರಿದೆ</v>
      </c>
      <c r="N640" s="26">
        <f t="array" ref="N640">_xlfn.XLOOKUP(B640,'Sets Progress'!I:I,'Sets Progress'!I:I,"NOT YET")</f>
        <v>41</v>
      </c>
      <c r="O640" s="26" t="str">
        <f t="array" ref="O640">_xlfn.XLOOKUP(L:L,'Overall Progress'!L:L,'Overall Progress'!L:L,"NOT YET")</f>
        <v>NOT YET</v>
      </c>
      <c r="P640" s="26"/>
      <c r="Q640" s="26"/>
      <c r="R640" s="26"/>
      <c r="S640" s="26"/>
      <c r="T640" s="26"/>
      <c r="U640" s="26"/>
      <c r="V640" s="26"/>
      <c r="W640" s="26"/>
      <c r="X640" s="26"/>
      <c r="Y640" s="26"/>
      <c r="Z640" s="26"/>
    </row>
    <row r="641" hidden="1" customHeight="1" spans="1:26">
      <c r="A641" s="27">
        <v>795</v>
      </c>
      <c r="B641" s="27">
        <v>41</v>
      </c>
      <c r="C641" s="27" t="s">
        <v>1135</v>
      </c>
      <c r="D641" s="27" t="s">
        <v>1721</v>
      </c>
      <c r="E641" s="27" t="s">
        <v>2889</v>
      </c>
      <c r="F641" s="27" t="str">
        <f t="shared" si="0"/>
        <v>Temporal Latin Origin</v>
      </c>
      <c r="G641" s="27">
        <f t="shared" si="1"/>
        <v>16</v>
      </c>
      <c r="H641" s="27" t="s">
        <v>3557</v>
      </c>
      <c r="I641" s="27"/>
      <c r="J641" s="27"/>
      <c r="K641" s="27"/>
      <c r="L641" s="27" t="str">
        <f t="shared" si="2"/>
        <v>I</v>
      </c>
      <c r="M641" s="27" t="str">
        <f>IFERROR(__xludf.DUMMYFUNCTION("GOOGLETRANSLATE(C641,""EN"",""KN"")"),"ಸಾಂಸ್ಥಿಕಗೊಳಿಸು")</f>
        <v>ಸಾಂಸ್ಥಿಕಗೊಳಿಸು</v>
      </c>
      <c r="N641" s="27">
        <f t="array" ref="N641">_xlfn.XLOOKUP(B641,'Sets Progress'!I:I,'Sets Progress'!I:I,"NOT YET")</f>
        <v>41</v>
      </c>
      <c r="O641" s="27" t="str">
        <f t="array" ref="O641">_xlfn.XLOOKUP(L:L,'Overall Progress'!L:L,'Overall Progress'!L:L,"NOT YET")</f>
        <v>NOT YET</v>
      </c>
      <c r="P641" s="27"/>
      <c r="Q641" s="27"/>
      <c r="R641" s="27"/>
      <c r="S641" s="27"/>
      <c r="T641" s="27"/>
      <c r="U641" s="27"/>
      <c r="V641" s="27"/>
      <c r="W641" s="27"/>
      <c r="X641" s="27"/>
      <c r="Y641" s="27"/>
      <c r="Z641" s="27"/>
    </row>
    <row r="642" hidden="1" customHeight="1" spans="1:26">
      <c r="A642" s="26">
        <v>824</v>
      </c>
      <c r="B642" s="26">
        <v>41</v>
      </c>
      <c r="C642" s="26" t="s">
        <v>1164</v>
      </c>
      <c r="D642" s="26" t="s">
        <v>2717</v>
      </c>
      <c r="E642" s="26" t="s">
        <v>2889</v>
      </c>
      <c r="F642" s="26" t="str">
        <f t="shared" si="0"/>
        <v>Positive Traits Latin Origin</v>
      </c>
      <c r="G642" s="26">
        <f t="shared" si="1"/>
        <v>8</v>
      </c>
      <c r="H642" s="26" t="s">
        <v>3558</v>
      </c>
      <c r="I642" s="26"/>
      <c r="J642" s="26"/>
      <c r="K642" s="26"/>
      <c r="L642" s="26" t="str">
        <f t="shared" si="2"/>
        <v>I</v>
      </c>
      <c r="M642" s="26" t="str">
        <f>IFERROR(__xludf.DUMMYFUNCTION("GOOGLETRANSLATE(C642,""EN"",""KN"")"),"ಆಹ್ವಾನಿಸುತ್ತಿದೆ")</f>
        <v>ಆಹ್ವಾನಿಸುತ್ತಿದೆ</v>
      </c>
      <c r="N642" s="26">
        <f t="array" ref="N642">_xlfn.XLOOKUP(B642,'Sets Progress'!I:I,'Sets Progress'!I:I,"NOT YET")</f>
        <v>41</v>
      </c>
      <c r="O642" s="26" t="str">
        <f t="array" ref="O642">_xlfn.XLOOKUP(L:L,'Overall Progress'!L:L,'Overall Progress'!L:L,"NOT YET")</f>
        <v>NOT YET</v>
      </c>
      <c r="P642" s="26"/>
      <c r="Q642" s="26"/>
      <c r="R642" s="26"/>
      <c r="S642" s="26"/>
      <c r="T642" s="26"/>
      <c r="U642" s="26"/>
      <c r="V642" s="26"/>
      <c r="W642" s="26"/>
      <c r="X642" s="26"/>
      <c r="Y642" s="26"/>
      <c r="Z642" s="26"/>
    </row>
    <row r="643" hidden="1" customHeight="1" spans="1:26">
      <c r="A643" s="27">
        <v>874</v>
      </c>
      <c r="B643" s="27">
        <v>41</v>
      </c>
      <c r="C643" s="27" t="s">
        <v>1212</v>
      </c>
      <c r="D643" s="27" t="s">
        <v>1721</v>
      </c>
      <c r="E643" s="27" t="s">
        <v>2921</v>
      </c>
      <c r="F643" s="27" t="str">
        <f t="shared" si="0"/>
        <v>Temporal Unknown Origin</v>
      </c>
      <c r="G643" s="27">
        <f t="shared" si="1"/>
        <v>4</v>
      </c>
      <c r="H643" s="27" t="s">
        <v>3559</v>
      </c>
      <c r="I643" s="27"/>
      <c r="J643" s="27"/>
      <c r="K643" s="27"/>
      <c r="L643" s="27" t="str">
        <f t="shared" si="2"/>
        <v>L</v>
      </c>
      <c r="M643" s="27" t="str">
        <f>IFERROR(__xludf.DUMMYFUNCTION("GOOGLETRANSLATE(C643,""EN"",""KN"")"),"ವಿರಾಮ")</f>
        <v>ವಿರಾಮ</v>
      </c>
      <c r="N643" s="27">
        <f t="array" ref="N643">_xlfn.XLOOKUP(B643,'Sets Progress'!I:I,'Sets Progress'!I:I,"NOT YET")</f>
        <v>41</v>
      </c>
      <c r="O643" s="27" t="str">
        <f t="array" ref="O643">_xlfn.XLOOKUP(L:L,'Overall Progress'!L:L,'Overall Progress'!L:L,"NOT YET")</f>
        <v>NOT YET</v>
      </c>
      <c r="P643" s="27"/>
      <c r="Q643" s="27"/>
      <c r="R643" s="27"/>
      <c r="S643" s="27"/>
      <c r="T643" s="27"/>
      <c r="U643" s="27"/>
      <c r="V643" s="27"/>
      <c r="W643" s="27"/>
      <c r="X643" s="27"/>
      <c r="Y643" s="27"/>
      <c r="Z643" s="27"/>
    </row>
    <row r="644" hidden="1" customHeight="1" spans="1:26">
      <c r="A644" s="26">
        <v>917</v>
      </c>
      <c r="B644" s="26">
        <v>41</v>
      </c>
      <c r="C644" s="26" t="s">
        <v>1253</v>
      </c>
      <c r="D644" s="26" t="s">
        <v>2716</v>
      </c>
      <c r="E644" s="26" t="s">
        <v>2896</v>
      </c>
      <c r="F644" s="26" t="str">
        <f t="shared" si="0"/>
        <v>Negative Traits Old French Origin</v>
      </c>
      <c r="G644" s="26">
        <f t="shared" si="1"/>
        <v>9</v>
      </c>
      <c r="H644" s="26" t="s">
        <v>3560</v>
      </c>
      <c r="I644" s="26"/>
      <c r="J644" s="26"/>
      <c r="K644" s="26"/>
      <c r="L644" s="26" t="str">
        <f t="shared" si="2"/>
        <v>M</v>
      </c>
      <c r="M644" s="26" t="str">
        <f>IFERROR(__xludf.DUMMYFUNCTION("GOOGLETRANSLATE(C644,""EN"",""KN"")"),"ದುಷ್ಕರ್ಮಿ")</f>
        <v>ದುಷ್ಕರ್ಮಿ</v>
      </c>
      <c r="N644" s="26">
        <f t="array" ref="N644">_xlfn.XLOOKUP(B644,'Sets Progress'!I:I,'Sets Progress'!I:I,"NOT YET")</f>
        <v>41</v>
      </c>
      <c r="O644" s="26" t="str">
        <f t="array" ref="O644">_xlfn.XLOOKUP(L:L,'Overall Progress'!L:L,'Overall Progress'!L:L,"NOT YET")</f>
        <v>NOT YET</v>
      </c>
      <c r="P644" s="26"/>
      <c r="Q644" s="26"/>
      <c r="R644" s="26"/>
      <c r="S644" s="26"/>
      <c r="T644" s="26"/>
      <c r="U644" s="26"/>
      <c r="V644" s="26"/>
      <c r="W644" s="26"/>
      <c r="X644" s="26"/>
      <c r="Y644" s="26"/>
      <c r="Z644" s="26"/>
    </row>
    <row r="645" hidden="1" customHeight="1" spans="1:26">
      <c r="A645" s="27">
        <v>923</v>
      </c>
      <c r="B645" s="27">
        <v>41</v>
      </c>
      <c r="C645" s="27" t="s">
        <v>1259</v>
      </c>
      <c r="D645" s="27" t="s">
        <v>2717</v>
      </c>
      <c r="E645" s="27" t="s">
        <v>2889</v>
      </c>
      <c r="F645" s="27" t="str">
        <f t="shared" si="0"/>
        <v>Positive Traits Latin Origin</v>
      </c>
      <c r="G645" s="27">
        <f t="shared" si="1"/>
        <v>7</v>
      </c>
      <c r="H645" s="27" t="s">
        <v>3561</v>
      </c>
      <c r="I645" s="27"/>
      <c r="J645" s="27"/>
      <c r="K645" s="27"/>
      <c r="L645" s="27" t="str">
        <f t="shared" si="2"/>
        <v>M</v>
      </c>
      <c r="M645" s="27" t="str">
        <f>IFERROR(__xludf.DUMMYFUNCTION("GOOGLETRANSLATE(C645,""EN"",""KN"")"),"ಮೊಲಿಫೈ")</f>
        <v>ಮೊಲಿಫೈ</v>
      </c>
      <c r="N645" s="27">
        <f t="array" ref="N645">_xlfn.XLOOKUP(B645,'Sets Progress'!I:I,'Sets Progress'!I:I,"NOT YET")</f>
        <v>41</v>
      </c>
      <c r="O645" s="27" t="str">
        <f t="array" ref="O645">_xlfn.XLOOKUP(L:L,'Overall Progress'!L:L,'Overall Progress'!L:L,"NOT YET")</f>
        <v>NOT YET</v>
      </c>
      <c r="P645" s="27"/>
      <c r="Q645" s="27"/>
      <c r="R645" s="27"/>
      <c r="S645" s="27"/>
      <c r="T645" s="27"/>
      <c r="U645" s="27"/>
      <c r="V645" s="27"/>
      <c r="W645" s="27"/>
      <c r="X645" s="27"/>
      <c r="Y645" s="27"/>
      <c r="Z645" s="27"/>
    </row>
    <row r="646" hidden="1" customHeight="1" spans="1:26">
      <c r="A646" s="26">
        <v>960</v>
      </c>
      <c r="B646" s="26">
        <v>41</v>
      </c>
      <c r="C646" s="26" t="s">
        <v>1296</v>
      </c>
      <c r="D646" s="26" t="s">
        <v>1721</v>
      </c>
      <c r="E646" s="26" t="s">
        <v>3562</v>
      </c>
      <c r="F646" s="26" t="str">
        <f t="shared" si="0"/>
        <v>Temporal Old French/Latin Origin</v>
      </c>
      <c r="G646" s="26">
        <f t="shared" si="1"/>
        <v>7</v>
      </c>
      <c r="H646" s="26" t="s">
        <v>3563</v>
      </c>
      <c r="I646" s="26"/>
      <c r="J646" s="26"/>
      <c r="K646" s="26"/>
      <c r="L646" s="26" t="str">
        <f t="shared" si="2"/>
        <v>N</v>
      </c>
      <c r="M646" s="26" t="str">
        <f>IFERROR(__xludf.DUMMYFUNCTION("GOOGLETRANSLATE(C646,""EN"",""KN"")"),"ನವೀನತೆ")</f>
        <v>ನವೀನತೆ</v>
      </c>
      <c r="N646" s="26">
        <f t="array" ref="N646">_xlfn.XLOOKUP(B646,'Sets Progress'!I:I,'Sets Progress'!I:I,"NOT YET")</f>
        <v>41</v>
      </c>
      <c r="O646" s="26" t="str">
        <f t="array" ref="O646">_xlfn.XLOOKUP(L:L,'Overall Progress'!L:L,'Overall Progress'!L:L,"NOT YET")</f>
        <v>NOT YET</v>
      </c>
      <c r="P646" s="26"/>
      <c r="Q646" s="26"/>
      <c r="R646" s="26"/>
      <c r="S646" s="26"/>
      <c r="T646" s="26"/>
      <c r="U646" s="26"/>
      <c r="V646" s="26"/>
      <c r="W646" s="26"/>
      <c r="X646" s="26"/>
      <c r="Y646" s="26"/>
      <c r="Z646" s="26"/>
    </row>
    <row r="647" hidden="1" customHeight="1" spans="1:26">
      <c r="A647" s="27">
        <v>1044</v>
      </c>
      <c r="B647" s="27">
        <v>41</v>
      </c>
      <c r="C647" s="27" t="s">
        <v>1379</v>
      </c>
      <c r="D647" s="27" t="s">
        <v>2716</v>
      </c>
      <c r="E647" s="27" t="s">
        <v>2889</v>
      </c>
      <c r="F647" s="27" t="str">
        <f t="shared" si="0"/>
        <v>Negative Traits Latin Origin</v>
      </c>
      <c r="G647" s="27">
        <f t="shared" si="1"/>
        <v>8</v>
      </c>
      <c r="H647" s="27" t="s">
        <v>3564</v>
      </c>
      <c r="I647" s="27"/>
      <c r="J647" s="27"/>
      <c r="K647" s="27"/>
      <c r="L647" s="27" t="str">
        <f t="shared" si="2"/>
        <v>P</v>
      </c>
      <c r="M647" s="27" t="str">
        <f>IFERROR(__xludf.DUMMYFUNCTION("GOOGLETRANSLATE(C647,""EN"",""KN"")"),"ಅಪಾಯಕಾರಿ")</f>
        <v>ಅಪಾಯಕಾರಿ</v>
      </c>
      <c r="N647" s="27">
        <f t="array" ref="N647">_xlfn.XLOOKUP(B647,'Sets Progress'!I:I,'Sets Progress'!I:I,"NOT YET")</f>
        <v>41</v>
      </c>
      <c r="O647" s="27" t="str">
        <f t="array" ref="O647">_xlfn.XLOOKUP(L:L,'Overall Progress'!L:L,'Overall Progress'!L:L,"NOT YET")</f>
        <v>NOT YET</v>
      </c>
      <c r="P647" s="27"/>
      <c r="Q647" s="27"/>
      <c r="R647" s="27"/>
      <c r="S647" s="27"/>
      <c r="T647" s="27"/>
      <c r="U647" s="27"/>
      <c r="V647" s="27"/>
      <c r="W647" s="27"/>
      <c r="X647" s="27"/>
      <c r="Y647" s="27"/>
      <c r="Z647" s="27"/>
    </row>
    <row r="648" hidden="1" customHeight="1" spans="1:26">
      <c r="A648" s="26">
        <v>1069</v>
      </c>
      <c r="B648" s="26">
        <v>41</v>
      </c>
      <c r="C648" s="26" t="s">
        <v>1404</v>
      </c>
      <c r="D648" s="26" t="s">
        <v>2717</v>
      </c>
      <c r="E648" s="26" t="s">
        <v>2889</v>
      </c>
      <c r="F648" s="26" t="str">
        <f t="shared" si="0"/>
        <v>Positive Traits Latin Origin</v>
      </c>
      <c r="G648" s="26">
        <f t="shared" si="1"/>
        <v>7</v>
      </c>
      <c r="H648" s="30" t="s">
        <v>3565</v>
      </c>
      <c r="I648" s="26"/>
      <c r="J648" s="26"/>
      <c r="K648" s="26"/>
      <c r="L648" s="26" t="str">
        <f t="shared" si="2"/>
        <v>P</v>
      </c>
      <c r="M648" s="26" t="str">
        <f>IFERROR(__xludf.DUMMYFUNCTION("GOOGLETRANSLATE(C648,""EN"",""KN"")"),"ಸಮಾಧಾನಪಡಿಸು")</f>
        <v>ಸಮಾಧಾನಪಡಿಸು</v>
      </c>
      <c r="N648" s="26">
        <f t="array" ref="N648">_xlfn.XLOOKUP(B648,'Sets Progress'!I:I,'Sets Progress'!I:I,"NOT YET")</f>
        <v>41</v>
      </c>
      <c r="O648" s="26" t="str">
        <f t="array" ref="O648">_xlfn.XLOOKUP(L:L,'Overall Progress'!L:L,'Overall Progress'!L:L,"NOT YET")</f>
        <v>NOT YET</v>
      </c>
      <c r="P648" s="26"/>
      <c r="Q648" s="26"/>
      <c r="R648" s="26"/>
      <c r="S648" s="26"/>
      <c r="T648" s="26"/>
      <c r="U648" s="26"/>
      <c r="V648" s="26"/>
      <c r="W648" s="26"/>
      <c r="X648" s="26"/>
      <c r="Y648" s="26"/>
      <c r="Z648" s="26"/>
    </row>
    <row r="649" hidden="1" customHeight="1" spans="1:26">
      <c r="A649" s="27">
        <v>1128</v>
      </c>
      <c r="B649" s="27">
        <v>41</v>
      </c>
      <c r="C649" s="27" t="s">
        <v>1461</v>
      </c>
      <c r="D649" s="27" t="s">
        <v>1721</v>
      </c>
      <c r="E649" s="27" t="s">
        <v>2889</v>
      </c>
      <c r="F649" s="27" t="str">
        <f t="shared" si="0"/>
        <v>Temporal Latin Origin</v>
      </c>
      <c r="G649" s="27">
        <f t="shared" si="1"/>
        <v>11</v>
      </c>
      <c r="H649" s="27" t="s">
        <v>3566</v>
      </c>
      <c r="I649" s="27"/>
      <c r="J649" s="27"/>
      <c r="K649" s="27"/>
      <c r="L649" s="27" t="str">
        <f t="shared" si="2"/>
        <v>P</v>
      </c>
      <c r="M649" s="27" t="str">
        <f>IFERROR(__xludf.DUMMYFUNCTION("GOOGLETRANSLATE(C649,""EN"",""KN"")"),"ಪ್ರಸರಣ")</f>
        <v>ಪ್ರಸರಣ</v>
      </c>
      <c r="N649" s="27">
        <f t="array" ref="N649">_xlfn.XLOOKUP(B649,'Sets Progress'!I:I,'Sets Progress'!I:I,"NOT YET")</f>
        <v>41</v>
      </c>
      <c r="O649" s="27" t="str">
        <f t="array" ref="O649">_xlfn.XLOOKUP(L:L,'Overall Progress'!L:L,'Overall Progress'!L:L,"NOT YET")</f>
        <v>NOT YET</v>
      </c>
      <c r="P649" s="27"/>
      <c r="Q649" s="27"/>
      <c r="R649" s="27"/>
      <c r="S649" s="27"/>
      <c r="T649" s="27"/>
      <c r="U649" s="27"/>
      <c r="V649" s="27"/>
      <c r="W649" s="27"/>
      <c r="X649" s="27"/>
      <c r="Y649" s="27"/>
      <c r="Z649" s="27"/>
    </row>
    <row r="650" hidden="1" customHeight="1" spans="1:26">
      <c r="A650" s="26">
        <v>1211</v>
      </c>
      <c r="B650" s="26">
        <v>41</v>
      </c>
      <c r="C650" s="26" t="s">
        <v>1542</v>
      </c>
      <c r="D650" s="26" t="s">
        <v>1721</v>
      </c>
      <c r="E650" s="26" t="s">
        <v>2896</v>
      </c>
      <c r="F650" s="26" t="str">
        <f t="shared" si="0"/>
        <v>Temporal Old French Origin</v>
      </c>
      <c r="G650" s="26">
        <f t="shared" si="1"/>
        <v>8</v>
      </c>
      <c r="H650" s="26" t="s">
        <v>3567</v>
      </c>
      <c r="I650" s="26"/>
      <c r="J650" s="26"/>
      <c r="K650" s="26"/>
      <c r="L650" s="26" t="str">
        <f t="shared" si="2"/>
        <v>R</v>
      </c>
      <c r="M650" s="26" t="str">
        <f>IFERROR(__xludf.DUMMYFUNCTION("GOOGLETRANSLATE(C650,""EN"",""KN"")"),"ನಿಂದೆ")</f>
        <v>ನಿಂದೆ</v>
      </c>
      <c r="N650" s="26">
        <f t="array" ref="N650">_xlfn.XLOOKUP(B650,'Sets Progress'!I:I,'Sets Progress'!I:I,"NOT YET")</f>
        <v>41</v>
      </c>
      <c r="O650" s="26" t="str">
        <f t="array" ref="O650">_xlfn.XLOOKUP(L:L,'Overall Progress'!L:L,'Overall Progress'!L:L,"NOT YET")</f>
        <v>NOT YET</v>
      </c>
      <c r="P650" s="26"/>
      <c r="Q650" s="26"/>
      <c r="R650" s="26"/>
      <c r="S650" s="26"/>
      <c r="T650" s="26"/>
      <c r="U650" s="26"/>
      <c r="V650" s="26"/>
      <c r="W650" s="26"/>
      <c r="X650" s="26"/>
      <c r="Y650" s="26"/>
      <c r="Z650" s="26"/>
    </row>
    <row r="651" hidden="1" customHeight="1" spans="1:26">
      <c r="A651" s="27">
        <v>1251</v>
      </c>
      <c r="B651" s="27">
        <v>41</v>
      </c>
      <c r="C651" s="27" t="s">
        <v>1582</v>
      </c>
      <c r="D651" s="27" t="s">
        <v>2716</v>
      </c>
      <c r="E651" s="27" t="s">
        <v>2889</v>
      </c>
      <c r="F651" s="27" t="str">
        <f t="shared" si="0"/>
        <v>Negative Traits Latin Origin</v>
      </c>
      <c r="G651" s="27">
        <f t="shared" si="1"/>
        <v>9</v>
      </c>
      <c r="H651" s="27" t="s">
        <v>3568</v>
      </c>
      <c r="I651" s="27"/>
      <c r="J651" s="27"/>
      <c r="K651" s="27"/>
      <c r="L651" s="27" t="str">
        <f t="shared" si="2"/>
        <v>S</v>
      </c>
      <c r="M651" s="27" t="str">
        <f>IFERROR(__xludf.DUMMYFUNCTION("GOOGLETRANSLATE(C651,""EN"",""KN"")"),"ವಿಡಂಬನಾತ್ಮಕ")</f>
        <v>ವಿಡಂಬನಾತ್ಮಕ</v>
      </c>
      <c r="N651" s="27">
        <f t="array" ref="N651">_xlfn.XLOOKUP(B651,'Sets Progress'!I:I,'Sets Progress'!I:I,"NOT YET")</f>
        <v>41</v>
      </c>
      <c r="O651" s="27" t="str">
        <f t="array" ref="O651">_xlfn.XLOOKUP(L:L,'Overall Progress'!L:L,'Overall Progress'!L:L,"NOT YET")</f>
        <v>NOT YET</v>
      </c>
      <c r="P651" s="27"/>
      <c r="Q651" s="27"/>
      <c r="R651" s="27"/>
      <c r="S651" s="27"/>
      <c r="T651" s="27"/>
      <c r="U651" s="27"/>
      <c r="V651" s="27"/>
      <c r="W651" s="27"/>
      <c r="X651" s="27"/>
      <c r="Y651" s="27"/>
      <c r="Z651" s="27"/>
    </row>
    <row r="652" hidden="1" customHeight="1" spans="1:26">
      <c r="A652" s="26">
        <v>1268</v>
      </c>
      <c r="B652" s="26">
        <v>41</v>
      </c>
      <c r="C652" s="26" t="s">
        <v>1599</v>
      </c>
      <c r="D652" s="26" t="s">
        <v>2717</v>
      </c>
      <c r="E652" s="26" t="s">
        <v>2889</v>
      </c>
      <c r="F652" s="26" t="str">
        <f t="shared" si="0"/>
        <v>Positive Traits Latin Origin</v>
      </c>
      <c r="G652" s="26">
        <f t="shared" si="1"/>
        <v>11</v>
      </c>
      <c r="H652" s="26" t="s">
        <v>3569</v>
      </c>
      <c r="I652" s="26"/>
      <c r="J652" s="26"/>
      <c r="K652" s="26"/>
      <c r="L652" s="26" t="str">
        <f t="shared" si="2"/>
        <v>S</v>
      </c>
      <c r="M652" s="26" t="str">
        <f>IFERROR(__xludf.DUMMYFUNCTION("GOOGLETRANSLATE(C652,""EN"",""KN"")"),"ಸಂವೇದನಾಶೀಲ")</f>
        <v>ಸಂವೇದನಾಶೀಲ</v>
      </c>
      <c r="N652" s="26">
        <f t="array" ref="N652">_xlfn.XLOOKUP(B652,'Sets Progress'!I:I,'Sets Progress'!I:I,"NOT YET")</f>
        <v>41</v>
      </c>
      <c r="O652" s="26" t="str">
        <f t="array" ref="O652">_xlfn.XLOOKUP(L:L,'Overall Progress'!L:L,'Overall Progress'!L:L,"NOT YET")</f>
        <v>NOT YET</v>
      </c>
      <c r="P652" s="26"/>
      <c r="Q652" s="26"/>
      <c r="R652" s="26"/>
      <c r="S652" s="26"/>
      <c r="T652" s="26"/>
      <c r="U652" s="26"/>
      <c r="V652" s="26"/>
      <c r="W652" s="26"/>
      <c r="X652" s="26"/>
      <c r="Y652" s="26"/>
      <c r="Z652" s="26"/>
    </row>
    <row r="653" hidden="1" customHeight="1" spans="1:26">
      <c r="A653" s="27">
        <v>1287</v>
      </c>
      <c r="B653" s="27">
        <v>41</v>
      </c>
      <c r="C653" s="27" t="s">
        <v>1618</v>
      </c>
      <c r="D653" s="27" t="s">
        <v>2716</v>
      </c>
      <c r="E653" s="27" t="s">
        <v>2889</v>
      </c>
      <c r="F653" s="27" t="str">
        <f t="shared" si="0"/>
        <v>Negative Traits Latin Origin</v>
      </c>
      <c r="G653" s="27">
        <f t="shared" si="1"/>
        <v>7</v>
      </c>
      <c r="H653" s="27" t="s">
        <v>3570</v>
      </c>
      <c r="I653" s="27"/>
      <c r="J653" s="27"/>
      <c r="K653" s="27"/>
      <c r="L653" s="27" t="str">
        <f t="shared" si="2"/>
        <v>S</v>
      </c>
      <c r="M653" s="27" t="str">
        <f>IFERROR(__xludf.DUMMYFUNCTION("GOOGLETRANSLATE(C653,""EN"",""KN"")"),"ಪಾತಕ")</f>
        <v>ಪಾತಕ</v>
      </c>
      <c r="N653" s="27">
        <f t="array" ref="N653">_xlfn.XLOOKUP(B653,'Sets Progress'!I:I,'Sets Progress'!I:I,"NOT YET")</f>
        <v>41</v>
      </c>
      <c r="O653" s="27" t="str">
        <f t="array" ref="O653">_xlfn.XLOOKUP(L:L,'Overall Progress'!L:L,'Overall Progress'!L:L,"NOT YET")</f>
        <v>NOT YET</v>
      </c>
      <c r="P653" s="27"/>
      <c r="Q653" s="27"/>
      <c r="R653" s="27"/>
      <c r="S653" s="27"/>
      <c r="T653" s="27"/>
      <c r="U653" s="27"/>
      <c r="V653" s="27"/>
      <c r="W653" s="27"/>
      <c r="X653" s="27"/>
      <c r="Y653" s="27"/>
      <c r="Z653" s="27"/>
    </row>
    <row r="654" hidden="1" customHeight="1" spans="1:26">
      <c r="A654" s="26">
        <v>1409</v>
      </c>
      <c r="B654" s="26">
        <v>41</v>
      </c>
      <c r="C654" s="26" t="s">
        <v>1740</v>
      </c>
      <c r="D654" s="26" t="s">
        <v>1721</v>
      </c>
      <c r="E654" s="26" t="s">
        <v>2908</v>
      </c>
      <c r="F654" s="26" t="str">
        <f t="shared" si="0"/>
        <v>Temporal Old English Origin</v>
      </c>
      <c r="G654" s="26">
        <f t="shared" si="1"/>
        <v>5</v>
      </c>
      <c r="H654" s="26" t="s">
        <v>3571</v>
      </c>
      <c r="I654" s="26"/>
      <c r="J654" s="26"/>
      <c r="K654" s="26"/>
      <c r="L654" s="26" t="str">
        <f t="shared" si="2"/>
        <v>T</v>
      </c>
      <c r="M654" s="26" t="str">
        <f>IFERROR(__xludf.DUMMYFUNCTION("GOOGLETRANSLATE(C654,""EN"",""KN"")"),"ಟೋಕನ್")</f>
        <v>ಟೋಕನ್</v>
      </c>
      <c r="N654" s="26">
        <f t="array" ref="N654">_xlfn.XLOOKUP(B654,'Sets Progress'!I:I,'Sets Progress'!I:I,"NOT YET")</f>
        <v>41</v>
      </c>
      <c r="O654" s="26" t="str">
        <f t="array" ref="O654">_xlfn.XLOOKUP(L:L,'Overall Progress'!L:L,'Overall Progress'!L:L,"NOT YET")</f>
        <v>NOT YET</v>
      </c>
      <c r="P654" s="26"/>
      <c r="Q654" s="26"/>
      <c r="R654" s="26"/>
      <c r="S654" s="26"/>
      <c r="T654" s="26"/>
      <c r="U654" s="26"/>
      <c r="V654" s="26"/>
      <c r="W654" s="26"/>
      <c r="X654" s="26"/>
      <c r="Y654" s="26"/>
      <c r="Z654" s="26"/>
    </row>
    <row r="655" hidden="1" customHeight="1" spans="1:26">
      <c r="A655" s="27">
        <v>1417</v>
      </c>
      <c r="B655" s="27">
        <v>41</v>
      </c>
      <c r="C655" s="27" t="s">
        <v>1748</v>
      </c>
      <c r="D655" s="27" t="s">
        <v>1721</v>
      </c>
      <c r="E655" s="27" t="s">
        <v>2889</v>
      </c>
      <c r="F655" s="27" t="str">
        <f t="shared" si="0"/>
        <v>Temporal Latin Origin</v>
      </c>
      <c r="G655" s="27">
        <f t="shared" si="1"/>
        <v>9</v>
      </c>
      <c r="H655" s="27" t="s">
        <v>3572</v>
      </c>
      <c r="I655" s="27"/>
      <c r="J655" s="27"/>
      <c r="K655" s="27"/>
      <c r="L655" s="27" t="str">
        <f t="shared" si="2"/>
        <v>T</v>
      </c>
      <c r="M655" s="27" t="str">
        <f>IFERROR(__xludf.DUMMYFUNCTION("GOOGLETRANSLATE(C655,""EN"",""KN"")"),"ಮೀರಿಸು")</f>
        <v>ಮೀರಿಸು</v>
      </c>
      <c r="N655" s="27">
        <f t="array" ref="N655">_xlfn.XLOOKUP(B655,'Sets Progress'!I:I,'Sets Progress'!I:I,"NOT YET")</f>
        <v>41</v>
      </c>
      <c r="O655" s="27" t="str">
        <f t="array" ref="O655">_xlfn.XLOOKUP(L:L,'Overall Progress'!L:L,'Overall Progress'!L:L,"NOT YET")</f>
        <v>NOT YET</v>
      </c>
      <c r="P655" s="27"/>
      <c r="Q655" s="27"/>
      <c r="R655" s="27"/>
      <c r="S655" s="27"/>
      <c r="T655" s="27"/>
      <c r="U655" s="27"/>
      <c r="V655" s="27"/>
      <c r="W655" s="27"/>
      <c r="X655" s="27"/>
      <c r="Y655" s="27"/>
      <c r="Z655" s="27"/>
    </row>
    <row r="656" hidden="1" customHeight="1" spans="1:26">
      <c r="A656" s="26">
        <v>1481</v>
      </c>
      <c r="B656" s="26">
        <v>41</v>
      </c>
      <c r="C656" s="26" t="s">
        <v>1809</v>
      </c>
      <c r="D656" s="26" t="s">
        <v>1721</v>
      </c>
      <c r="E656" s="26" t="s">
        <v>2908</v>
      </c>
      <c r="F656" s="26" t="str">
        <f t="shared" si="0"/>
        <v>Temporal Old English Origin</v>
      </c>
      <c r="G656" s="26">
        <f t="shared" si="1"/>
        <v>8</v>
      </c>
      <c r="H656" s="26" t="s">
        <v>3573</v>
      </c>
      <c r="I656" s="26"/>
      <c r="J656" s="26"/>
      <c r="K656" s="26"/>
      <c r="L656" s="26" t="str">
        <f t="shared" si="2"/>
        <v>U</v>
      </c>
      <c r="M656" s="26" t="str">
        <f>IFERROR(__xludf.DUMMYFUNCTION("GOOGLETRANSLATE(C656,""EN"",""KN"")"),"ಅಸ್ಥಿರತೆ")</f>
        <v>ಅಸ್ಥಿರತೆ</v>
      </c>
      <c r="N656" s="26">
        <f t="array" ref="N656">_xlfn.XLOOKUP(B656,'Sets Progress'!I:I,'Sets Progress'!I:I,"NOT YET")</f>
        <v>41</v>
      </c>
      <c r="O656" s="26" t="str">
        <f t="array" ref="O656">_xlfn.XLOOKUP(L:L,'Overall Progress'!L:L,'Overall Progress'!L:L,"NOT YET")</f>
        <v>NOT YET</v>
      </c>
      <c r="P656" s="26"/>
      <c r="Q656" s="26"/>
      <c r="R656" s="26"/>
      <c r="S656" s="26"/>
      <c r="T656" s="26"/>
      <c r="U656" s="26"/>
      <c r="V656" s="26"/>
      <c r="W656" s="26"/>
      <c r="X656" s="26"/>
      <c r="Y656" s="26"/>
      <c r="Z656" s="26"/>
    </row>
    <row r="657" hidden="1" customHeight="1" spans="1:26">
      <c r="A657" s="27">
        <v>5</v>
      </c>
      <c r="B657" s="27">
        <v>42</v>
      </c>
      <c r="C657" s="27" t="s">
        <v>374</v>
      </c>
      <c r="D657" s="27" t="s">
        <v>1721</v>
      </c>
      <c r="E657" s="27" t="s">
        <v>2911</v>
      </c>
      <c r="F657" s="27" t="str">
        <f t="shared" si="0"/>
        <v>Temporal French Origin</v>
      </c>
      <c r="G657" s="27">
        <f t="shared" si="1"/>
        <v>8</v>
      </c>
      <c r="H657" s="27" t="s">
        <v>3574</v>
      </c>
      <c r="I657" s="27"/>
      <c r="J657" s="27"/>
      <c r="K657" s="27"/>
      <c r="L657" s="27" t="str">
        <f t="shared" si="2"/>
        <v>A</v>
      </c>
      <c r="M657" s="27" t="str">
        <f>IFERROR(__xludf.DUMMYFUNCTION("GOOGLETRANSLATE(C657,""EN"",""KN"")"),"ನಿರಾಸಕ್ತಿ")</f>
        <v>ನಿರಾಸಕ್ತಿ</v>
      </c>
      <c r="N657" s="27">
        <f t="array" ref="N657">_xlfn.XLOOKUP(B657,'Sets Progress'!I:I,'Sets Progress'!I:I,"NOT YET")</f>
        <v>42</v>
      </c>
      <c r="O657" s="27" t="str">
        <f t="array" ref="O657">_xlfn.XLOOKUP(L:L,'Overall Progress'!L:L,'Overall Progress'!L:L,"NOT YET")</f>
        <v>NOT YET</v>
      </c>
      <c r="P657" s="27"/>
      <c r="Q657" s="27"/>
      <c r="R657" s="27"/>
      <c r="S657" s="27"/>
      <c r="T657" s="27"/>
      <c r="U657" s="27"/>
      <c r="V657" s="27"/>
      <c r="W657" s="27"/>
      <c r="X657" s="27"/>
      <c r="Y657" s="27"/>
      <c r="Z657" s="27"/>
    </row>
    <row r="658" hidden="1" customHeight="1" spans="1:26">
      <c r="A658" s="26">
        <v>167</v>
      </c>
      <c r="B658" s="26">
        <v>42</v>
      </c>
      <c r="C658" s="26" t="s">
        <v>516</v>
      </c>
      <c r="D658" s="26" t="s">
        <v>2946</v>
      </c>
      <c r="E658" s="26" t="s">
        <v>2899</v>
      </c>
      <c r="F658" s="26" t="str">
        <f t="shared" si="0"/>
        <v>Emotional Middle English Origin</v>
      </c>
      <c r="G658" s="26">
        <f t="shared" si="1"/>
        <v>6</v>
      </c>
      <c r="H658" s="26" t="s">
        <v>3575</v>
      </c>
      <c r="I658" s="26"/>
      <c r="J658" s="26"/>
      <c r="K658" s="26"/>
      <c r="L658" s="26" t="str">
        <f t="shared" si="2"/>
        <v>B</v>
      </c>
      <c r="M658" s="26" t="str">
        <f>IFERROR(__xludf.DUMMYFUNCTION("GOOGLETRANSLATE(C658,""EN"",""KN"")"),"ದ್ರೋಹ")</f>
        <v>ದ್ರೋಹ</v>
      </c>
      <c r="N658" s="26">
        <f t="array" ref="N658">_xlfn.XLOOKUP(B658,'Sets Progress'!I:I,'Sets Progress'!I:I,"NOT YET")</f>
        <v>42</v>
      </c>
      <c r="O658" s="26" t="str">
        <f t="array" ref="O658">_xlfn.XLOOKUP(L:L,'Overall Progress'!L:L,'Overall Progress'!L:L,"NOT YET")</f>
        <v>NOT YET</v>
      </c>
      <c r="P658" s="26"/>
      <c r="Q658" s="26"/>
      <c r="R658" s="26"/>
      <c r="S658" s="26"/>
      <c r="T658" s="26"/>
      <c r="U658" s="26"/>
      <c r="V658" s="26"/>
      <c r="W658" s="26"/>
      <c r="X658" s="26"/>
      <c r="Y658" s="26"/>
      <c r="Z658" s="26"/>
    </row>
    <row r="659" hidden="1" customHeight="1" spans="1:26">
      <c r="A659" s="27">
        <v>269</v>
      </c>
      <c r="B659" s="27">
        <v>42</v>
      </c>
      <c r="C659" s="27" t="s">
        <v>622</v>
      </c>
      <c r="D659" s="27" t="s">
        <v>2717</v>
      </c>
      <c r="E659" s="27" t="s">
        <v>2911</v>
      </c>
      <c r="F659" s="27" t="str">
        <f t="shared" si="0"/>
        <v>Positive Traits French Origin</v>
      </c>
      <c r="G659" s="27">
        <f t="shared" si="1"/>
        <v>10</v>
      </c>
      <c r="H659" s="27" t="s">
        <v>3576</v>
      </c>
      <c r="I659" s="27"/>
      <c r="J659" s="27"/>
      <c r="K659" s="27"/>
      <c r="L659" s="27" t="str">
        <f t="shared" si="2"/>
        <v>C</v>
      </c>
      <c r="M659" s="27" t="str">
        <f>IFERROR(__xludf.DUMMYFUNCTION("GOOGLETRANSLATE(C659,""EN"",""KN"")"),"ಹೊಗಳಿಕೆ")</f>
        <v>ಹೊಗಳಿಕೆ</v>
      </c>
      <c r="N659" s="27">
        <f t="array" ref="N659">_xlfn.XLOOKUP(B659,'Sets Progress'!I:I,'Sets Progress'!I:I,"NOT YET")</f>
        <v>42</v>
      </c>
      <c r="O659" s="27" t="str">
        <f t="array" ref="O659">_xlfn.XLOOKUP(L:L,'Overall Progress'!L:L,'Overall Progress'!L:L,"NOT YET")</f>
        <v>NOT YET</v>
      </c>
      <c r="P659" s="27"/>
      <c r="Q659" s="27"/>
      <c r="R659" s="27"/>
      <c r="S659" s="27"/>
      <c r="T659" s="27"/>
      <c r="U659" s="27"/>
      <c r="V659" s="27"/>
      <c r="W659" s="27"/>
      <c r="X659" s="27"/>
      <c r="Y659" s="27"/>
      <c r="Z659" s="27"/>
    </row>
    <row r="660" hidden="1" customHeight="1" spans="1:26">
      <c r="A660" s="26">
        <v>271</v>
      </c>
      <c r="B660" s="26">
        <v>42</v>
      </c>
      <c r="C660" s="26" t="s">
        <v>624</v>
      </c>
      <c r="D660" s="26" t="s">
        <v>1721</v>
      </c>
      <c r="E660" s="26" t="s">
        <v>2889</v>
      </c>
      <c r="F660" s="26" t="str">
        <f t="shared" si="0"/>
        <v>Temporal Latin Origin</v>
      </c>
      <c r="G660" s="26">
        <f t="shared" si="1"/>
        <v>6</v>
      </c>
      <c r="H660" s="26" t="s">
        <v>3577</v>
      </c>
      <c r="I660" s="26"/>
      <c r="J660" s="26"/>
      <c r="K660" s="26"/>
      <c r="L660" s="26" t="str">
        <f t="shared" si="2"/>
        <v>C</v>
      </c>
      <c r="M660" s="26" t="str">
        <f>IFERROR(__xludf.DUMMYFUNCTION("GOOGLETRANSLATE(C660,""EN"",""KN"")"),"ಪಾಲಿಸು")</f>
        <v>ಪಾಲಿಸು</v>
      </c>
      <c r="N660" s="26">
        <f t="array" ref="N660">_xlfn.XLOOKUP(B660,'Sets Progress'!I:I,'Sets Progress'!I:I,"NOT YET")</f>
        <v>42</v>
      </c>
      <c r="O660" s="26" t="str">
        <f t="array" ref="O660">_xlfn.XLOOKUP(L:L,'Overall Progress'!L:L,'Overall Progress'!L:L,"NOT YET")</f>
        <v>NOT YET</v>
      </c>
      <c r="P660" s="26"/>
      <c r="Q660" s="26"/>
      <c r="R660" s="26"/>
      <c r="S660" s="26"/>
      <c r="T660" s="26"/>
      <c r="U660" s="26"/>
      <c r="V660" s="26"/>
      <c r="W660" s="26"/>
      <c r="X660" s="26"/>
      <c r="Y660" s="26"/>
      <c r="Z660" s="26"/>
    </row>
    <row r="661" hidden="1" customHeight="1" spans="1:26">
      <c r="A661" s="27">
        <v>459</v>
      </c>
      <c r="B661" s="27">
        <v>42</v>
      </c>
      <c r="C661" s="27" t="s">
        <v>808</v>
      </c>
      <c r="D661" s="27" t="s">
        <v>2716</v>
      </c>
      <c r="E661" s="27" t="s">
        <v>2889</v>
      </c>
      <c r="F661" s="27" t="str">
        <f t="shared" si="0"/>
        <v>Negative Traits Latin Origin</v>
      </c>
      <c r="G661" s="27">
        <f t="shared" si="1"/>
        <v>11</v>
      </c>
      <c r="H661" s="27" t="s">
        <v>3578</v>
      </c>
      <c r="I661" s="27"/>
      <c r="J661" s="27"/>
      <c r="K661" s="27"/>
      <c r="L661" s="27" t="str">
        <f t="shared" si="2"/>
        <v>D</v>
      </c>
      <c r="M661" s="27" t="str">
        <f>IFERROR(__xludf.DUMMYFUNCTION("GOOGLETRANSLATE(C661,""EN"",""KN"")"),"ದ್ವಂದ್ವಾರ್ಥ")</f>
        <v>ದ್ವಂದ್ವಾರ್ಥ</v>
      </c>
      <c r="N661" s="27">
        <f t="array" ref="N661">_xlfn.XLOOKUP(B661,'Sets Progress'!I:I,'Sets Progress'!I:I,"NOT YET")</f>
        <v>42</v>
      </c>
      <c r="O661" s="27" t="str">
        <f t="array" ref="O661">_xlfn.XLOOKUP(L:L,'Overall Progress'!L:L,'Overall Progress'!L:L,"NOT YET")</f>
        <v>NOT YET</v>
      </c>
      <c r="P661" s="27"/>
      <c r="Q661" s="27"/>
      <c r="R661" s="27"/>
      <c r="S661" s="27"/>
      <c r="T661" s="27"/>
      <c r="U661" s="27"/>
      <c r="V661" s="27"/>
      <c r="W661" s="27"/>
      <c r="X661" s="27"/>
      <c r="Y661" s="27"/>
      <c r="Z661" s="27"/>
    </row>
    <row r="662" hidden="1" customHeight="1" spans="1:26">
      <c r="A662" s="26">
        <v>580</v>
      </c>
      <c r="B662" s="26">
        <v>42</v>
      </c>
      <c r="C662" s="26" t="s">
        <v>925</v>
      </c>
      <c r="D662" s="26" t="s">
        <v>2716</v>
      </c>
      <c r="E662" s="26" t="s">
        <v>2889</v>
      </c>
      <c r="F662" s="26" t="str">
        <f t="shared" si="0"/>
        <v>Negative Traits Latin Origin</v>
      </c>
      <c r="G662" s="26">
        <f t="shared" si="1"/>
        <v>8</v>
      </c>
      <c r="H662" s="26" t="s">
        <v>3579</v>
      </c>
      <c r="I662" s="26"/>
      <c r="J662" s="26"/>
      <c r="K662" s="26"/>
      <c r="L662" s="26" t="str">
        <f t="shared" si="2"/>
        <v>F</v>
      </c>
      <c r="M662" s="26" t="str">
        <f>IFERROR(__xludf.DUMMYFUNCTION("GOOGLETRANSLATE(C662,""EN"",""KN"")"),"ತಪ್ಪಬಹುದಾದ")</f>
        <v>ತಪ್ಪಬಹುದಾದ</v>
      </c>
      <c r="N662" s="26">
        <f t="array" ref="N662">_xlfn.XLOOKUP(B662,'Sets Progress'!I:I,'Sets Progress'!I:I,"NOT YET")</f>
        <v>42</v>
      </c>
      <c r="O662" s="26" t="str">
        <f t="array" ref="O662">_xlfn.XLOOKUP(L:L,'Overall Progress'!L:L,'Overall Progress'!L:L,"NOT YET")</f>
        <v>NOT YET</v>
      </c>
      <c r="P662" s="26"/>
      <c r="Q662" s="26"/>
      <c r="R662" s="26"/>
      <c r="S662" s="26"/>
      <c r="T662" s="26"/>
      <c r="U662" s="26"/>
      <c r="V662" s="26"/>
      <c r="W662" s="26"/>
      <c r="X662" s="26"/>
      <c r="Y662" s="26"/>
      <c r="Z662" s="26"/>
    </row>
    <row r="663" hidden="1" customHeight="1" spans="1:26">
      <c r="A663" s="27">
        <v>610</v>
      </c>
      <c r="B663" s="27">
        <v>42</v>
      </c>
      <c r="C663" s="27" t="s">
        <v>954</v>
      </c>
      <c r="D663" s="27" t="s">
        <v>1721</v>
      </c>
      <c r="E663" s="27" t="s">
        <v>2896</v>
      </c>
      <c r="F663" s="27" t="str">
        <f t="shared" si="0"/>
        <v>Temporal Old French Origin</v>
      </c>
      <c r="G663" s="27">
        <f t="shared" si="1"/>
        <v>8</v>
      </c>
      <c r="H663" s="27" t="s">
        <v>3580</v>
      </c>
      <c r="I663" s="27"/>
      <c r="J663" s="27"/>
      <c r="K663" s="27"/>
      <c r="L663" s="27" t="str">
        <f t="shared" si="2"/>
        <v>F</v>
      </c>
      <c r="M663" s="27" t="str">
        <f>IFERROR(__xludf.DUMMYFUNCTION("GOOGLETRANSLATE(C663,""EN"",""KN"")"),"ಅರಳಿಸು")</f>
        <v>ಅರಳಿಸು</v>
      </c>
      <c r="N663" s="27">
        <f t="array" ref="N663">_xlfn.XLOOKUP(B663,'Sets Progress'!I:I,'Sets Progress'!I:I,"NOT YET")</f>
        <v>42</v>
      </c>
      <c r="O663" s="27" t="str">
        <f t="array" ref="O663">_xlfn.XLOOKUP(L:L,'Overall Progress'!L:L,'Overall Progress'!L:L,"NOT YET")</f>
        <v>NOT YET</v>
      </c>
      <c r="P663" s="27"/>
      <c r="Q663" s="27"/>
      <c r="R663" s="27"/>
      <c r="S663" s="27"/>
      <c r="T663" s="27"/>
      <c r="U663" s="27"/>
      <c r="V663" s="27"/>
      <c r="W663" s="27"/>
      <c r="X663" s="27"/>
      <c r="Y663" s="27"/>
      <c r="Z663" s="27"/>
    </row>
    <row r="664" hidden="1" customHeight="1" spans="1:26">
      <c r="A664" s="26">
        <v>685</v>
      </c>
      <c r="B664" s="26">
        <v>42</v>
      </c>
      <c r="C664" s="26" t="s">
        <v>1027</v>
      </c>
      <c r="D664" s="26" t="s">
        <v>1721</v>
      </c>
      <c r="E664" s="26" t="s">
        <v>2893</v>
      </c>
      <c r="F664" s="26" t="str">
        <f t="shared" si="0"/>
        <v>Temporal Greek Origin</v>
      </c>
      <c r="G664" s="26">
        <f t="shared" si="1"/>
        <v>9</v>
      </c>
      <c r="H664" s="26" t="s">
        <v>3581</v>
      </c>
      <c r="I664" s="26"/>
      <c r="J664" s="26"/>
      <c r="K664" s="26"/>
      <c r="L664" s="26" t="str">
        <f t="shared" si="2"/>
        <v>H</v>
      </c>
      <c r="M664" s="26" t="str">
        <f>IFERROR(__xludf.DUMMYFUNCTION("GOOGLETRANSLATE(C664,""EN"",""KN"")"),"ಹೆಟೆರೊಡಾಕ್ಸ್")</f>
        <v>ಹೆಟೆರೊಡಾಕ್ಸ್</v>
      </c>
      <c r="N664" s="26">
        <f t="array" ref="N664">_xlfn.XLOOKUP(B664,'Sets Progress'!I:I,'Sets Progress'!I:I,"NOT YET")</f>
        <v>42</v>
      </c>
      <c r="O664" s="26" t="str">
        <f t="array" ref="O664">_xlfn.XLOOKUP(L:L,'Overall Progress'!L:L,'Overall Progress'!L:L,"NOT YET")</f>
        <v>NOT YET</v>
      </c>
      <c r="P664" s="26"/>
      <c r="Q664" s="26"/>
      <c r="R664" s="26"/>
      <c r="S664" s="26"/>
      <c r="T664" s="26"/>
      <c r="U664" s="26"/>
      <c r="V664" s="26"/>
      <c r="W664" s="26"/>
      <c r="X664" s="26"/>
      <c r="Y664" s="26"/>
      <c r="Z664" s="26"/>
    </row>
    <row r="665" hidden="1" customHeight="1" spans="1:26">
      <c r="A665" s="27">
        <v>698</v>
      </c>
      <c r="B665" s="27">
        <v>42</v>
      </c>
      <c r="C665" s="27" t="s">
        <v>1040</v>
      </c>
      <c r="D665" s="27" t="s">
        <v>3022</v>
      </c>
      <c r="E665" s="27" t="s">
        <v>2893</v>
      </c>
      <c r="F665" s="27" t="str">
        <f t="shared" si="0"/>
        <v>Intellectual Greek Origin</v>
      </c>
      <c r="G665" s="27">
        <f t="shared" si="1"/>
        <v>10</v>
      </c>
      <c r="H665" s="27" t="s">
        <v>3582</v>
      </c>
      <c r="I665" s="27"/>
      <c r="J665" s="27"/>
      <c r="K665" s="27"/>
      <c r="L665" s="27" t="str">
        <f t="shared" si="2"/>
        <v>H</v>
      </c>
      <c r="M665" s="27" t="str">
        <f>IFERROR(__xludf.DUMMYFUNCTION("GOOGLETRANSLATE(C665,""EN"",""KN"")"),"ಕಲ್ಪನೆ")</f>
        <v>ಕಲ್ಪನೆ</v>
      </c>
      <c r="N665" s="27">
        <f t="array" ref="N665">_xlfn.XLOOKUP(B665,'Sets Progress'!I:I,'Sets Progress'!I:I,"NOT YET")</f>
        <v>42</v>
      </c>
      <c r="O665" s="27" t="str">
        <f t="array" ref="O665">_xlfn.XLOOKUP(L:L,'Overall Progress'!L:L,'Overall Progress'!L:L,"NOT YET")</f>
        <v>NOT YET</v>
      </c>
      <c r="P665" s="27"/>
      <c r="Q665" s="27"/>
      <c r="R665" s="27"/>
      <c r="S665" s="27"/>
      <c r="T665" s="27"/>
      <c r="U665" s="27"/>
      <c r="V665" s="27"/>
      <c r="W665" s="27"/>
      <c r="X665" s="27"/>
      <c r="Y665" s="27"/>
      <c r="Z665" s="27"/>
    </row>
    <row r="666" hidden="1" customHeight="1" spans="1:26">
      <c r="A666" s="26">
        <v>762</v>
      </c>
      <c r="B666" s="26">
        <v>42</v>
      </c>
      <c r="C666" s="26" t="s">
        <v>1103</v>
      </c>
      <c r="D666" s="26" t="s">
        <v>1721</v>
      </c>
      <c r="E666" s="26" t="s">
        <v>2889</v>
      </c>
      <c r="F666" s="26" t="str">
        <f t="shared" si="0"/>
        <v>Temporal Latin Origin</v>
      </c>
      <c r="G666" s="26">
        <f t="shared" si="1"/>
        <v>11</v>
      </c>
      <c r="H666" s="26" t="s">
        <v>3583</v>
      </c>
      <c r="I666" s="26"/>
      <c r="J666" s="26"/>
      <c r="K666" s="26"/>
      <c r="L666" s="26" t="str">
        <f t="shared" si="2"/>
        <v>I</v>
      </c>
      <c r="M666" s="26" t="str">
        <f>IFERROR(__xludf.DUMMYFUNCTION("GOOGLETRANSLATE(C666,""EN"",""KN"")"),"ಅಸಡ್ಡೆ")</f>
        <v>ಅಸಡ್ಡೆ</v>
      </c>
      <c r="N666" s="26">
        <f t="array" ref="N666">_xlfn.XLOOKUP(B666,'Sets Progress'!I:I,'Sets Progress'!I:I,"NOT YET")</f>
        <v>42</v>
      </c>
      <c r="O666" s="26" t="str">
        <f t="array" ref="O666">_xlfn.XLOOKUP(L:L,'Overall Progress'!L:L,'Overall Progress'!L:L,"NOT YET")</f>
        <v>NOT YET</v>
      </c>
      <c r="P666" s="26"/>
      <c r="Q666" s="26"/>
      <c r="R666" s="26"/>
      <c r="S666" s="26"/>
      <c r="T666" s="26"/>
      <c r="U666" s="26"/>
      <c r="V666" s="26"/>
      <c r="W666" s="26"/>
      <c r="X666" s="26"/>
      <c r="Y666" s="26"/>
      <c r="Z666" s="26"/>
    </row>
    <row r="667" hidden="1" customHeight="1" spans="1:26">
      <c r="A667" s="27">
        <v>767</v>
      </c>
      <c r="B667" s="27">
        <v>42</v>
      </c>
      <c r="C667" s="27" t="s">
        <v>1108</v>
      </c>
      <c r="D667" s="27" t="s">
        <v>1721</v>
      </c>
      <c r="E667" s="27" t="s">
        <v>2889</v>
      </c>
      <c r="F667" s="27" t="str">
        <f t="shared" si="0"/>
        <v>Temporal Latin Origin</v>
      </c>
      <c r="G667" s="27">
        <f t="shared" si="1"/>
        <v>13</v>
      </c>
      <c r="H667" s="27" t="s">
        <v>3584</v>
      </c>
      <c r="I667" s="27"/>
      <c r="J667" s="27"/>
      <c r="K667" s="27"/>
      <c r="L667" s="27" t="str">
        <f t="shared" si="2"/>
        <v>I</v>
      </c>
      <c r="M667" s="27" t="str">
        <f>IFERROR(__xludf.DUMMYFUNCTION("GOOGLETRANSLATE(C667,""EN"",""KN"")"),"ಅನಿವಾರ್ಯ")</f>
        <v>ಅನಿವಾರ್ಯ</v>
      </c>
      <c r="N667" s="27">
        <f t="array" ref="N667">_xlfn.XLOOKUP(B667,'Sets Progress'!I:I,'Sets Progress'!I:I,"NOT YET")</f>
        <v>42</v>
      </c>
      <c r="O667" s="27" t="str">
        <f t="array" ref="O667">_xlfn.XLOOKUP(L:L,'Overall Progress'!L:L,'Overall Progress'!L:L,"NOT YET")</f>
        <v>NOT YET</v>
      </c>
      <c r="P667" s="27"/>
      <c r="Q667" s="27"/>
      <c r="R667" s="27"/>
      <c r="S667" s="27"/>
      <c r="T667" s="27"/>
      <c r="U667" s="27"/>
      <c r="V667" s="27"/>
      <c r="W667" s="27"/>
      <c r="X667" s="27"/>
      <c r="Y667" s="27"/>
      <c r="Z667" s="27"/>
    </row>
    <row r="668" hidden="1" customHeight="1" spans="1:26">
      <c r="A668" s="26">
        <v>863</v>
      </c>
      <c r="B668" s="26">
        <v>42</v>
      </c>
      <c r="C668" s="26" t="s">
        <v>1203</v>
      </c>
      <c r="D668" s="26" t="s">
        <v>1721</v>
      </c>
      <c r="E668" s="26" t="s">
        <v>2889</v>
      </c>
      <c r="F668" s="26" t="str">
        <f t="shared" si="0"/>
        <v>Temporal Latin Origin</v>
      </c>
      <c r="G668" s="26">
        <f t="shared" si="1"/>
        <v>9</v>
      </c>
      <c r="H668" s="26" t="s">
        <v>3585</v>
      </c>
      <c r="I668" s="26"/>
      <c r="J668" s="26"/>
      <c r="K668" s="26"/>
      <c r="L668" s="26" t="str">
        <f t="shared" si="2"/>
        <v>L</v>
      </c>
      <c r="M668" s="26" t="str">
        <f>IFERROR(__xludf.DUMMYFUNCTION("GOOGLETRANSLATE(C668,""EN"",""KN"")"),"ಲಿಬರ್ಟೈನ್")</f>
        <v>ಲಿಬರ್ಟೈನ್</v>
      </c>
      <c r="N668" s="26">
        <f t="array" ref="N668">_xlfn.XLOOKUP(B668,'Sets Progress'!I:I,'Sets Progress'!I:I,"NOT YET")</f>
        <v>42</v>
      </c>
      <c r="O668" s="26" t="str">
        <f t="array" ref="O668">_xlfn.XLOOKUP(L:L,'Overall Progress'!L:L,'Overall Progress'!L:L,"NOT YET")</f>
        <v>NOT YET</v>
      </c>
      <c r="P668" s="26"/>
      <c r="Q668" s="26"/>
      <c r="R668" s="26"/>
      <c r="S668" s="26"/>
      <c r="T668" s="26"/>
      <c r="U668" s="26"/>
      <c r="V668" s="26"/>
      <c r="W668" s="26"/>
      <c r="X668" s="26"/>
      <c r="Y668" s="26"/>
      <c r="Z668" s="26"/>
    </row>
    <row r="669" hidden="1" customHeight="1" spans="1:26">
      <c r="A669" s="27">
        <v>922</v>
      </c>
      <c r="B669" s="27">
        <v>42</v>
      </c>
      <c r="C669" s="27" t="s">
        <v>1258</v>
      </c>
      <c r="D669" s="27" t="s">
        <v>1721</v>
      </c>
      <c r="E669" s="27" t="s">
        <v>2889</v>
      </c>
      <c r="F669" s="27" t="str">
        <f t="shared" si="0"/>
        <v>Temporal Latin Origin</v>
      </c>
      <c r="G669" s="27">
        <f t="shared" si="1"/>
        <v>6</v>
      </c>
      <c r="H669" s="27" t="s">
        <v>3586</v>
      </c>
      <c r="I669" s="27"/>
      <c r="J669" s="27"/>
      <c r="K669" s="27"/>
      <c r="L669" s="27" t="str">
        <f t="shared" si="2"/>
        <v>M</v>
      </c>
      <c r="M669" s="27" t="str">
        <f>IFERROR(__xludf.DUMMYFUNCTION("GOOGLETRANSLATE(C669,""EN"",""KN"")"),"ಮೋದಿಶ್")</f>
        <v>ಮೋದಿಶ್</v>
      </c>
      <c r="N669" s="27">
        <f t="array" ref="N669">_xlfn.XLOOKUP(B669,'Sets Progress'!I:I,'Sets Progress'!I:I,"NOT YET")</f>
        <v>42</v>
      </c>
      <c r="O669" s="27" t="str">
        <f t="array" ref="O669">_xlfn.XLOOKUP(L:L,'Overall Progress'!L:L,'Overall Progress'!L:L,"NOT YET")</f>
        <v>NOT YET</v>
      </c>
      <c r="P669" s="27"/>
      <c r="Q669" s="27"/>
      <c r="R669" s="27"/>
      <c r="S669" s="27"/>
      <c r="T669" s="27"/>
      <c r="U669" s="27"/>
      <c r="V669" s="27"/>
      <c r="W669" s="27"/>
      <c r="X669" s="27"/>
      <c r="Y669" s="27"/>
      <c r="Z669" s="27"/>
    </row>
    <row r="670" hidden="1" customHeight="1" spans="1:26">
      <c r="A670" s="26">
        <v>1064</v>
      </c>
      <c r="B670" s="26">
        <v>42</v>
      </c>
      <c r="C670" s="26" t="s">
        <v>1399</v>
      </c>
      <c r="D670" s="26" t="s">
        <v>2717</v>
      </c>
      <c r="E670" s="26" t="s">
        <v>2911</v>
      </c>
      <c r="F670" s="26" t="str">
        <f t="shared" si="0"/>
        <v>Positive Traits French Origin</v>
      </c>
      <c r="G670" s="26">
        <f t="shared" si="1"/>
        <v>11</v>
      </c>
      <c r="H670" s="26" t="s">
        <v>3587</v>
      </c>
      <c r="I670" s="26"/>
      <c r="J670" s="26"/>
      <c r="K670" s="26"/>
      <c r="L670" s="26" t="str">
        <f t="shared" si="2"/>
        <v>P</v>
      </c>
      <c r="M670" s="26" t="str">
        <f>IFERROR(__xludf.DUMMYFUNCTION("GOOGLETRANSLATE(C670,""EN"",""KN"")"),"ಚಿತ್ರಸದೃಶ")</f>
        <v>ಚಿತ್ರಸದೃಶ</v>
      </c>
      <c r="N670" s="26">
        <f t="array" ref="N670">_xlfn.XLOOKUP(B670,'Sets Progress'!I:I,'Sets Progress'!I:I,"NOT YET")</f>
        <v>42</v>
      </c>
      <c r="O670" s="26" t="str">
        <f t="array" ref="O670">_xlfn.XLOOKUP(L:L,'Overall Progress'!L:L,'Overall Progress'!L:L,"NOT YET")</f>
        <v>NOT YET</v>
      </c>
      <c r="P670" s="26"/>
      <c r="Q670" s="26"/>
      <c r="R670" s="26"/>
      <c r="S670" s="26"/>
      <c r="T670" s="26"/>
      <c r="U670" s="26"/>
      <c r="V670" s="26"/>
      <c r="W670" s="26"/>
      <c r="X670" s="26"/>
      <c r="Y670" s="26"/>
      <c r="Z670" s="26"/>
    </row>
    <row r="671" hidden="1" customHeight="1" spans="1:26">
      <c r="A671" s="27">
        <v>1246</v>
      </c>
      <c r="B671" s="27">
        <v>42</v>
      </c>
      <c r="C671" s="27" t="s">
        <v>1577</v>
      </c>
      <c r="D671" s="27" t="s">
        <v>2717</v>
      </c>
      <c r="E671" s="27" t="s">
        <v>2889</v>
      </c>
      <c r="F671" s="27" t="str">
        <f t="shared" si="0"/>
        <v>Positive Traits Latin Origin</v>
      </c>
      <c r="G671" s="27">
        <f t="shared" si="1"/>
        <v>8</v>
      </c>
      <c r="H671" s="27" t="s">
        <v>3588</v>
      </c>
      <c r="I671" s="27"/>
      <c r="J671" s="27"/>
      <c r="K671" s="27"/>
      <c r="L671" s="27" t="str">
        <f t="shared" si="2"/>
        <v>S</v>
      </c>
      <c r="M671" s="27" t="str">
        <f>IFERROR(__xludf.DUMMYFUNCTION("GOOGLETRANSLATE(C671,""EN"",""KN"")"),"ನಮಸ್ಕಾರ")</f>
        <v>ನಮಸ್ಕಾರ</v>
      </c>
      <c r="N671" s="27">
        <f t="array" ref="N671">_xlfn.XLOOKUP(B671,'Sets Progress'!I:I,'Sets Progress'!I:I,"NOT YET")</f>
        <v>42</v>
      </c>
      <c r="O671" s="27" t="str">
        <f t="array" ref="O671">_xlfn.XLOOKUP(L:L,'Overall Progress'!L:L,'Overall Progress'!L:L,"NOT YET")</f>
        <v>NOT YET</v>
      </c>
      <c r="P671" s="27"/>
      <c r="Q671" s="27"/>
      <c r="R671" s="27"/>
      <c r="S671" s="27"/>
      <c r="T671" s="27"/>
      <c r="U671" s="27"/>
      <c r="V671" s="27"/>
      <c r="W671" s="27"/>
      <c r="X671" s="27"/>
      <c r="Y671" s="27"/>
      <c r="Z671" s="27"/>
    </row>
    <row r="672" hidden="1" customHeight="1" spans="1:26">
      <c r="A672" s="26">
        <v>1296</v>
      </c>
      <c r="B672" s="26">
        <v>42</v>
      </c>
      <c r="C672" s="26" t="s">
        <v>1627</v>
      </c>
      <c r="D672" s="26" t="s">
        <v>2716</v>
      </c>
      <c r="E672" s="26" t="s">
        <v>2908</v>
      </c>
      <c r="F672" s="26" t="str">
        <f t="shared" si="0"/>
        <v>Negative Traits Old English Origin</v>
      </c>
      <c r="G672" s="26">
        <f t="shared" si="1"/>
        <v>8</v>
      </c>
      <c r="H672" s="26" t="s">
        <v>3589</v>
      </c>
      <c r="I672" s="26"/>
      <c r="J672" s="26"/>
      <c r="K672" s="26"/>
      <c r="L672" s="26" t="str">
        <f t="shared" si="2"/>
        <v>S</v>
      </c>
      <c r="M672" s="26" t="str">
        <f>IFERROR(__xludf.DUMMYFUNCTION("GOOGLETRANSLATE(C672,""EN"",""KN"")"),"ಸ್ಲೋವೆನ್ಲಿ")</f>
        <v>ಸ್ಲೋವೆನ್ಲಿ</v>
      </c>
      <c r="N672" s="26">
        <f t="array" ref="N672">_xlfn.XLOOKUP(B672,'Sets Progress'!I:I,'Sets Progress'!I:I,"NOT YET")</f>
        <v>42</v>
      </c>
      <c r="O672" s="26" t="str">
        <f t="array" ref="O672">_xlfn.XLOOKUP(L:L,'Overall Progress'!L:L,'Overall Progress'!L:L,"NOT YET")</f>
        <v>NOT YET</v>
      </c>
      <c r="P672" s="26"/>
      <c r="Q672" s="26"/>
      <c r="R672" s="26"/>
      <c r="S672" s="26"/>
      <c r="T672" s="26"/>
      <c r="U672" s="26"/>
      <c r="V672" s="26"/>
      <c r="W672" s="26"/>
      <c r="X672" s="26"/>
      <c r="Y672" s="26"/>
      <c r="Z672" s="26"/>
    </row>
    <row r="673" hidden="1" customHeight="1" spans="1:26">
      <c r="A673" s="27">
        <v>1430</v>
      </c>
      <c r="B673" s="27">
        <v>42</v>
      </c>
      <c r="C673" s="27" t="s">
        <v>1759</v>
      </c>
      <c r="D673" s="27" t="s">
        <v>2716</v>
      </c>
      <c r="E673" s="27" t="s">
        <v>2889</v>
      </c>
      <c r="F673" s="27" t="str">
        <f t="shared" si="0"/>
        <v>Negative Traits Latin Origin</v>
      </c>
      <c r="G673" s="27">
        <f t="shared" si="1"/>
        <v>9</v>
      </c>
      <c r="H673" s="27" t="s">
        <v>3590</v>
      </c>
      <c r="I673" s="27"/>
      <c r="J673" s="27"/>
      <c r="K673" s="27"/>
      <c r="L673" s="27" t="str">
        <f t="shared" si="2"/>
        <v>T</v>
      </c>
      <c r="M673" s="27" t="str">
        <f>IFERROR(__xludf.DUMMYFUNCTION("GOOGLETRANSLATE(C673,""EN"",""KN"")"),"ಪ್ರಕ್ಷುಬ್ಧ")</f>
        <v>ಪ್ರಕ್ಷುಬ್ಧ</v>
      </c>
      <c r="N673" s="27">
        <f t="array" ref="N673">_xlfn.XLOOKUP(B673,'Sets Progress'!I:I,'Sets Progress'!I:I,"NOT YET")</f>
        <v>42</v>
      </c>
      <c r="O673" s="27" t="str">
        <f t="array" ref="O673">_xlfn.XLOOKUP(L:L,'Overall Progress'!L:L,'Overall Progress'!L:L,"NOT YET")</f>
        <v>NOT YET</v>
      </c>
      <c r="P673" s="27"/>
      <c r="Q673" s="27"/>
      <c r="R673" s="27"/>
      <c r="S673" s="27"/>
      <c r="T673" s="27"/>
      <c r="U673" s="27"/>
      <c r="V673" s="27"/>
      <c r="W673" s="27"/>
      <c r="X673" s="27"/>
      <c r="Y673" s="27"/>
      <c r="Z673" s="27"/>
    </row>
    <row r="674" hidden="1" customHeight="1" spans="1:26">
      <c r="A674" s="26">
        <v>220</v>
      </c>
      <c r="B674" s="26">
        <v>43</v>
      </c>
      <c r="C674" s="26" t="s">
        <v>569</v>
      </c>
      <c r="D674" s="26" t="s">
        <v>2716</v>
      </c>
      <c r="E674" s="26" t="s">
        <v>2889</v>
      </c>
      <c r="F674" s="26" t="str">
        <f t="shared" si="0"/>
        <v>Negative Traits Latin Origin</v>
      </c>
      <c r="G674" s="26">
        <f t="shared" si="1"/>
        <v>7</v>
      </c>
      <c r="H674" s="26" t="s">
        <v>3591</v>
      </c>
      <c r="I674" s="26"/>
      <c r="J674" s="26"/>
      <c r="K674" s="26"/>
      <c r="L674" s="26" t="str">
        <f t="shared" si="2"/>
        <v>C</v>
      </c>
      <c r="M674" s="26" t="str">
        <f>IFERROR(__xludf.DUMMYFUNCTION("GOOGLETRANSLATE(C674,""EN"",""KN"")"),"ಖಂಡನೆ")</f>
        <v>ಖಂಡನೆ</v>
      </c>
      <c r="N674" s="26">
        <f t="array" ref="N674">_xlfn.XLOOKUP(B674,'Sets Progress'!I:I,'Sets Progress'!I:I,"NOT YET")</f>
        <v>43</v>
      </c>
      <c r="O674" s="26" t="str">
        <f t="array" ref="O674">_xlfn.XLOOKUP(L:L,'Overall Progress'!L:L,'Overall Progress'!L:L,"NOT YET")</f>
        <v>NOT YET</v>
      </c>
      <c r="P674" s="26"/>
      <c r="Q674" s="26"/>
      <c r="R674" s="26"/>
      <c r="S674" s="26"/>
      <c r="T674" s="26"/>
      <c r="U674" s="26"/>
      <c r="V674" s="26"/>
      <c r="W674" s="26"/>
      <c r="X674" s="26"/>
      <c r="Y674" s="26"/>
      <c r="Z674" s="26"/>
    </row>
    <row r="675" hidden="1" customHeight="1" spans="1:26">
      <c r="A675" s="27">
        <v>304</v>
      </c>
      <c r="B675" s="27">
        <v>43</v>
      </c>
      <c r="C675" s="27" t="s">
        <v>656</v>
      </c>
      <c r="D675" s="27" t="s">
        <v>1721</v>
      </c>
      <c r="E675" s="27" t="s">
        <v>2889</v>
      </c>
      <c r="F675" s="27" t="str">
        <f t="shared" si="0"/>
        <v>Temporal Latin Origin</v>
      </c>
      <c r="G675" s="27">
        <f t="shared" si="1"/>
        <v>12</v>
      </c>
      <c r="H675" s="27" t="s">
        <v>3592</v>
      </c>
      <c r="I675" s="27"/>
      <c r="J675" s="27"/>
      <c r="K675" s="27"/>
      <c r="L675" s="27" t="str">
        <f t="shared" si="2"/>
        <v>C</v>
      </c>
      <c r="M675" s="27" t="str">
        <f>IFERROR(__xludf.DUMMYFUNCTION("GOOGLETRANSLATE(C675,""EN"",""KN"")"),"ಚೇತರಿಸಿಕೊಳ್ಳುವ")</f>
        <v>ಚೇತರಿಸಿಕೊಳ್ಳುವ</v>
      </c>
      <c r="N675" s="27">
        <f t="array" ref="N675">_xlfn.XLOOKUP(B675,'Sets Progress'!I:I,'Sets Progress'!I:I,"NOT YET")</f>
        <v>43</v>
      </c>
      <c r="O675" s="27" t="str">
        <f t="array" ref="O675">_xlfn.XLOOKUP(L:L,'Overall Progress'!L:L,'Overall Progress'!L:L,"NOT YET")</f>
        <v>NOT YET</v>
      </c>
      <c r="P675" s="27"/>
      <c r="Q675" s="27"/>
      <c r="R675" s="27"/>
      <c r="S675" s="27"/>
      <c r="T675" s="27"/>
      <c r="U675" s="27"/>
      <c r="V675" s="27"/>
      <c r="W675" s="27"/>
      <c r="X675" s="27"/>
      <c r="Y675" s="27"/>
      <c r="Z675" s="27"/>
    </row>
    <row r="676" hidden="1" customHeight="1" spans="1:26">
      <c r="A676" s="26">
        <v>368</v>
      </c>
      <c r="B676" s="26">
        <v>43</v>
      </c>
      <c r="C676" s="26" t="s">
        <v>718</v>
      </c>
      <c r="D676" s="26" t="s">
        <v>1721</v>
      </c>
      <c r="E676" s="26" t="s">
        <v>2889</v>
      </c>
      <c r="F676" s="26" t="str">
        <f t="shared" si="0"/>
        <v>Temporal Latin Origin</v>
      </c>
      <c r="G676" s="26">
        <f t="shared" si="1"/>
        <v>9</v>
      </c>
      <c r="H676" s="26" t="s">
        <v>3593</v>
      </c>
      <c r="I676" s="26"/>
      <c r="J676" s="26"/>
      <c r="K676" s="26"/>
      <c r="L676" s="26" t="str">
        <f t="shared" si="2"/>
        <v>D</v>
      </c>
      <c r="M676" s="26" t="str">
        <f>IFERROR(__xludf.DUMMYFUNCTION("GOOGLETRANSLATE(C676,""EN"",""KN"")"),"ಬೇಡಿಕೆ ಇಡುತ್ತಿದ್ದಾರೆ")</f>
        <v>ಬೇಡಿಕೆ ಇಡುತ್ತಿದ್ದಾರೆ</v>
      </c>
      <c r="N676" s="26">
        <f t="array" ref="N676">_xlfn.XLOOKUP(B676,'Sets Progress'!I:I,'Sets Progress'!I:I,"NOT YET")</f>
        <v>43</v>
      </c>
      <c r="O676" s="26" t="str">
        <f t="array" ref="O676">_xlfn.XLOOKUP(L:L,'Overall Progress'!L:L,'Overall Progress'!L:L,"NOT YET")</f>
        <v>NOT YET</v>
      </c>
      <c r="P676" s="26"/>
      <c r="Q676" s="26"/>
      <c r="R676" s="26"/>
      <c r="S676" s="26"/>
      <c r="T676" s="26"/>
      <c r="U676" s="26"/>
      <c r="V676" s="26"/>
      <c r="W676" s="26"/>
      <c r="X676" s="26"/>
      <c r="Y676" s="26"/>
      <c r="Z676" s="26"/>
    </row>
    <row r="677" hidden="1" customHeight="1" spans="1:26">
      <c r="A677" s="27">
        <v>423</v>
      </c>
      <c r="B677" s="27">
        <v>43</v>
      </c>
      <c r="C677" s="27" t="s">
        <v>772</v>
      </c>
      <c r="D677" s="27" t="s">
        <v>2716</v>
      </c>
      <c r="E677" s="27" t="s">
        <v>2889</v>
      </c>
      <c r="F677" s="27" t="str">
        <f t="shared" si="0"/>
        <v>Negative Traits Latin Origin</v>
      </c>
      <c r="G677" s="27">
        <f t="shared" si="1"/>
        <v>12</v>
      </c>
      <c r="H677" s="27" t="s">
        <v>3594</v>
      </c>
      <c r="I677" s="27"/>
      <c r="J677" s="27"/>
      <c r="K677" s="27"/>
      <c r="L677" s="27" t="str">
        <f t="shared" si="2"/>
        <v>D</v>
      </c>
      <c r="M677" s="27" t="str">
        <f>IFERROR(__xludf.DUMMYFUNCTION("GOOGLETRANSLATE(C677,""EN"",""KN"")"),"ಅಪ್ರಬುದ್ಧ")</f>
        <v>ಅಪ್ರಬುದ್ಧ</v>
      </c>
      <c r="N677" s="27">
        <f t="array" ref="N677">_xlfn.XLOOKUP(B677,'Sets Progress'!I:I,'Sets Progress'!I:I,"NOT YET")</f>
        <v>43</v>
      </c>
      <c r="O677" s="27" t="str">
        <f t="array" ref="O677">_xlfn.XLOOKUP(L:L,'Overall Progress'!L:L,'Overall Progress'!L:L,"NOT YET")</f>
        <v>NOT YET</v>
      </c>
      <c r="P677" s="27"/>
      <c r="Q677" s="27"/>
      <c r="R677" s="27"/>
      <c r="S677" s="27"/>
      <c r="T677" s="27"/>
      <c r="U677" s="27"/>
      <c r="V677" s="27"/>
      <c r="W677" s="27"/>
      <c r="X677" s="27"/>
      <c r="Y677" s="27"/>
      <c r="Z677" s="27"/>
    </row>
    <row r="678" hidden="1" customHeight="1" spans="1:26">
      <c r="A678" s="26">
        <v>480</v>
      </c>
      <c r="B678" s="26">
        <v>43</v>
      </c>
      <c r="C678" s="26" t="s">
        <v>829</v>
      </c>
      <c r="D678" s="26" t="s">
        <v>2716</v>
      </c>
      <c r="E678" s="26" t="s">
        <v>2889</v>
      </c>
      <c r="F678" s="26" t="str">
        <f t="shared" si="0"/>
        <v>Negative Traits Latin Origin</v>
      </c>
      <c r="G678" s="26">
        <f t="shared" si="1"/>
        <v>7</v>
      </c>
      <c r="H678" s="26" t="s">
        <v>3595</v>
      </c>
      <c r="I678" s="26"/>
      <c r="J678" s="26"/>
      <c r="K678" s="26"/>
      <c r="L678" s="26" t="str">
        <f t="shared" si="2"/>
        <v>E</v>
      </c>
      <c r="M678" s="26" t="str">
        <f>IFERROR(__xludf.DUMMYFUNCTION("GOOGLETRANSLATE(C678,""EN"",""KN"")"),"ಸ್ವಾರ್ಥಿ")</f>
        <v>ಸ್ವಾರ್ಥಿ</v>
      </c>
      <c r="N678" s="26">
        <f t="array" ref="N678">_xlfn.XLOOKUP(B678,'Sets Progress'!I:I,'Sets Progress'!I:I,"NOT YET")</f>
        <v>43</v>
      </c>
      <c r="O678" s="26" t="str">
        <f t="array" ref="O678">_xlfn.XLOOKUP(L:L,'Overall Progress'!L:L,'Overall Progress'!L:L,"NOT YET")</f>
        <v>NOT YET</v>
      </c>
      <c r="P678" s="26"/>
      <c r="Q678" s="26"/>
      <c r="R678" s="26"/>
      <c r="S678" s="26"/>
      <c r="T678" s="26"/>
      <c r="U678" s="26"/>
      <c r="V678" s="26"/>
      <c r="W678" s="26"/>
      <c r="X678" s="26"/>
      <c r="Y678" s="26"/>
      <c r="Z678" s="26"/>
    </row>
    <row r="679" hidden="1" customHeight="1" spans="1:26">
      <c r="A679" s="27">
        <v>581</v>
      </c>
      <c r="B679" s="27">
        <v>43</v>
      </c>
      <c r="C679" s="27" t="s">
        <v>926</v>
      </c>
      <c r="D679" s="27" t="s">
        <v>2892</v>
      </c>
      <c r="E679" s="27" t="s">
        <v>2908</v>
      </c>
      <c r="F679" s="27" t="str">
        <f t="shared" si="0"/>
        <v>Spatial Old English Origin</v>
      </c>
      <c r="G679" s="27">
        <f t="shared" si="1"/>
        <v>6</v>
      </c>
      <c r="H679" s="27" t="s">
        <v>3596</v>
      </c>
      <c r="I679" s="27"/>
      <c r="J679" s="27"/>
      <c r="K679" s="27"/>
      <c r="L679" s="27" t="str">
        <f t="shared" si="2"/>
        <v>F</v>
      </c>
      <c r="M679" s="27" t="str">
        <f>IFERROR(__xludf.DUMMYFUNCTION("GOOGLETRANSLATE(C679,""EN"",""KN"")"),"ಫಾಲೋ")</f>
        <v>ಫಾಲೋ</v>
      </c>
      <c r="N679" s="27">
        <f t="array" ref="N679">_xlfn.XLOOKUP(B679,'Sets Progress'!I:I,'Sets Progress'!I:I,"NOT YET")</f>
        <v>43</v>
      </c>
      <c r="O679" s="27" t="str">
        <f t="array" ref="O679">_xlfn.XLOOKUP(L:L,'Overall Progress'!L:L,'Overall Progress'!L:L,"NOT YET")</f>
        <v>NOT YET</v>
      </c>
      <c r="P679" s="27"/>
      <c r="Q679" s="27"/>
      <c r="R679" s="27"/>
      <c r="S679" s="27"/>
      <c r="T679" s="27"/>
      <c r="U679" s="27"/>
      <c r="V679" s="27"/>
      <c r="W679" s="27"/>
      <c r="X679" s="27"/>
      <c r="Y679" s="27"/>
      <c r="Z679" s="27"/>
    </row>
    <row r="680" hidden="1" customHeight="1" spans="1:26">
      <c r="A680" s="26">
        <v>737</v>
      </c>
      <c r="B680" s="26">
        <v>43</v>
      </c>
      <c r="C680" s="26" t="s">
        <v>1078</v>
      </c>
      <c r="D680" s="26" t="s">
        <v>2716</v>
      </c>
      <c r="E680" s="26" t="s">
        <v>2889</v>
      </c>
      <c r="F680" s="26" t="str">
        <f t="shared" si="0"/>
        <v>Negative Traits Latin Origin</v>
      </c>
      <c r="G680" s="26">
        <f t="shared" si="1"/>
        <v>8</v>
      </c>
      <c r="H680" s="26" t="s">
        <v>3597</v>
      </c>
      <c r="I680" s="26"/>
      <c r="J680" s="26"/>
      <c r="K680" s="26"/>
      <c r="L680" s="26" t="str">
        <f t="shared" si="2"/>
        <v>I</v>
      </c>
      <c r="M680" s="26" t="str">
        <f>IFERROR(__xludf.DUMMYFUNCTION("GOOGLETRANSLATE(C680,""EN"",""KN"")"),"ನಿರ್ಲಜ್ಜ")</f>
        <v>ನಿರ್ಲಜ್ಜ</v>
      </c>
      <c r="N680" s="26">
        <f t="array" ref="N680">_xlfn.XLOOKUP(B680,'Sets Progress'!I:I,'Sets Progress'!I:I,"NOT YET")</f>
        <v>43</v>
      </c>
      <c r="O680" s="26" t="str">
        <f t="array" ref="O680">_xlfn.XLOOKUP(L:L,'Overall Progress'!L:L,'Overall Progress'!L:L,"NOT YET")</f>
        <v>NOT YET</v>
      </c>
      <c r="P680" s="26"/>
      <c r="Q680" s="26"/>
      <c r="R680" s="26"/>
      <c r="S680" s="26"/>
      <c r="T680" s="26"/>
      <c r="U680" s="26"/>
      <c r="V680" s="26"/>
      <c r="W680" s="26"/>
      <c r="X680" s="26"/>
      <c r="Y680" s="26"/>
      <c r="Z680" s="26"/>
    </row>
    <row r="681" hidden="1" customHeight="1" spans="1:26">
      <c r="A681" s="27">
        <v>738</v>
      </c>
      <c r="B681" s="27">
        <v>43</v>
      </c>
      <c r="C681" s="27" t="s">
        <v>1079</v>
      </c>
      <c r="D681" s="27" t="s">
        <v>1721</v>
      </c>
      <c r="E681" s="27" t="s">
        <v>2889</v>
      </c>
      <c r="F681" s="27" t="str">
        <f t="shared" si="0"/>
        <v>Temporal Latin Origin</v>
      </c>
      <c r="G681" s="27">
        <f t="shared" si="1"/>
        <v>6</v>
      </c>
      <c r="H681" s="27" t="s">
        <v>3598</v>
      </c>
      <c r="I681" s="27"/>
      <c r="J681" s="27"/>
      <c r="K681" s="27"/>
      <c r="L681" s="27" t="str">
        <f t="shared" si="2"/>
        <v>I</v>
      </c>
      <c r="M681" s="27" t="str">
        <f>IFERROR(__xludf.DUMMYFUNCTION("GOOGLETRANSLATE(C681,""EN"",""KN"")"),"ಇಂಪಗ್ನ್")</f>
        <v>ಇಂಪಗ್ನ್</v>
      </c>
      <c r="N681" s="27">
        <f t="array" ref="N681">_xlfn.XLOOKUP(B681,'Sets Progress'!I:I,'Sets Progress'!I:I,"NOT YET")</f>
        <v>43</v>
      </c>
      <c r="O681" s="27" t="str">
        <f t="array" ref="O681">_xlfn.XLOOKUP(L:L,'Overall Progress'!L:L,'Overall Progress'!L:L,"NOT YET")</f>
        <v>NOT YET</v>
      </c>
      <c r="P681" s="27"/>
      <c r="Q681" s="27"/>
      <c r="R681" s="27"/>
      <c r="S681" s="27"/>
      <c r="T681" s="27"/>
      <c r="U681" s="27"/>
      <c r="V681" s="27"/>
      <c r="W681" s="27"/>
      <c r="X681" s="27"/>
      <c r="Y681" s="27"/>
      <c r="Z681" s="27"/>
    </row>
    <row r="682" hidden="1" customHeight="1" spans="1:26">
      <c r="A682" s="26">
        <v>859</v>
      </c>
      <c r="B682" s="26">
        <v>43</v>
      </c>
      <c r="C682" s="26" t="s">
        <v>1199</v>
      </c>
      <c r="D682" s="26" t="s">
        <v>2716</v>
      </c>
      <c r="E682" s="26" t="s">
        <v>2893</v>
      </c>
      <c r="F682" s="26" t="str">
        <f t="shared" si="0"/>
        <v>Negative Traits Greek Origin</v>
      </c>
      <c r="G682" s="26">
        <f t="shared" si="1"/>
        <v>8</v>
      </c>
      <c r="H682" s="26" t="s">
        <v>3599</v>
      </c>
      <c r="I682" s="26"/>
      <c r="J682" s="26"/>
      <c r="K682" s="26"/>
      <c r="L682" s="26" t="str">
        <f t="shared" si="2"/>
        <v>L</v>
      </c>
      <c r="M682" s="26" t="str">
        <f>IFERROR(__xludf.DUMMYFUNCTION("GOOGLETRANSLATE(C682,""EN"",""KN"")"),"ಆಲಸ್ಯ")</f>
        <v>ಆಲಸ್ಯ</v>
      </c>
      <c r="N682" s="26">
        <f t="array" ref="N682">_xlfn.XLOOKUP(B682,'Sets Progress'!I:I,'Sets Progress'!I:I,"NOT YET")</f>
        <v>43</v>
      </c>
      <c r="O682" s="26" t="str">
        <f t="array" ref="O682">_xlfn.XLOOKUP(L:L,'Overall Progress'!L:L,'Overall Progress'!L:L,"NOT YET")</f>
        <v>NOT YET</v>
      </c>
      <c r="P682" s="26"/>
      <c r="Q682" s="26"/>
      <c r="R682" s="26"/>
      <c r="S682" s="26"/>
      <c r="T682" s="26"/>
      <c r="U682" s="26"/>
      <c r="V682" s="26"/>
      <c r="W682" s="26"/>
      <c r="X682" s="26"/>
      <c r="Y682" s="26"/>
      <c r="Z682" s="26"/>
    </row>
    <row r="683" hidden="1" customHeight="1" spans="1:26">
      <c r="A683" s="27">
        <v>919</v>
      </c>
      <c r="B683" s="27">
        <v>43</v>
      </c>
      <c r="C683" s="27" t="s">
        <v>1255</v>
      </c>
      <c r="D683" s="27" t="s">
        <v>1721</v>
      </c>
      <c r="E683" s="27" t="s">
        <v>2896</v>
      </c>
      <c r="F683" s="27" t="str">
        <f t="shared" si="0"/>
        <v>Temporal Old French Origin</v>
      </c>
      <c r="G683" s="27">
        <f t="shared" si="1"/>
        <v>8</v>
      </c>
      <c r="H683" s="27" t="s">
        <v>3600</v>
      </c>
      <c r="I683" s="27"/>
      <c r="J683" s="27"/>
      <c r="K683" s="27"/>
      <c r="L683" s="27" t="str">
        <f t="shared" si="2"/>
        <v>M</v>
      </c>
      <c r="M683" s="27" t="str">
        <f>IFERROR(__xludf.DUMMYFUNCTION("GOOGLETRANSLATE(C683,""EN"",""KN"")"),"ತಪ್ಪು ಹೆಸರು")</f>
        <v>ತಪ್ಪು ಹೆಸರು</v>
      </c>
      <c r="N683" s="27">
        <f t="array" ref="N683">_xlfn.XLOOKUP(B683,'Sets Progress'!I:I,'Sets Progress'!I:I,"NOT YET")</f>
        <v>43</v>
      </c>
      <c r="O683" s="27" t="str">
        <f t="array" ref="O683">_xlfn.XLOOKUP(L:L,'Overall Progress'!L:L,'Overall Progress'!L:L,"NOT YET")</f>
        <v>NOT YET</v>
      </c>
      <c r="P683" s="27"/>
      <c r="Q683" s="27"/>
      <c r="R683" s="27"/>
      <c r="S683" s="27"/>
      <c r="T683" s="27"/>
      <c r="U683" s="27"/>
      <c r="V683" s="27"/>
      <c r="W683" s="27"/>
      <c r="X683" s="27"/>
      <c r="Y683" s="27"/>
      <c r="Z683" s="27"/>
    </row>
    <row r="684" hidden="1" customHeight="1" spans="1:26">
      <c r="A684" s="26">
        <v>972</v>
      </c>
      <c r="B684" s="26">
        <v>43</v>
      </c>
      <c r="C684" s="26" t="s">
        <v>1308</v>
      </c>
      <c r="D684" s="26" t="s">
        <v>1721</v>
      </c>
      <c r="E684" s="26" t="s">
        <v>2896</v>
      </c>
      <c r="F684" s="26" t="str">
        <f t="shared" si="0"/>
        <v>Temporal Old French Origin</v>
      </c>
      <c r="G684" s="26">
        <f t="shared" si="1"/>
        <v>7</v>
      </c>
      <c r="H684" s="26" t="s">
        <v>3601</v>
      </c>
      <c r="I684" s="26"/>
      <c r="J684" s="26"/>
      <c r="K684" s="26"/>
      <c r="L684" s="26" t="str">
        <f t="shared" si="2"/>
        <v>O</v>
      </c>
      <c r="M684" s="26" t="str">
        <f>IFERROR(__xludf.DUMMYFUNCTION("GOOGLETRANSLATE(C684,""EN"",""KN"")"),"ಅಸ್ಪಷ್ಟ")</f>
        <v>ಅಸ್ಪಷ್ಟ</v>
      </c>
      <c r="N684" s="26">
        <f t="array" ref="N684">_xlfn.XLOOKUP(B684,'Sets Progress'!I:I,'Sets Progress'!I:I,"NOT YET")</f>
        <v>43</v>
      </c>
      <c r="O684" s="26" t="str">
        <f t="array" ref="O684">_xlfn.XLOOKUP(L:L,'Overall Progress'!L:L,'Overall Progress'!L:L,"NOT YET")</f>
        <v>NOT YET</v>
      </c>
      <c r="P684" s="26"/>
      <c r="Q684" s="26"/>
      <c r="R684" s="26"/>
      <c r="S684" s="26"/>
      <c r="T684" s="26"/>
      <c r="U684" s="26"/>
      <c r="V684" s="26"/>
      <c r="W684" s="26"/>
      <c r="X684" s="26"/>
      <c r="Y684" s="26"/>
      <c r="Z684" s="26"/>
    </row>
    <row r="685" hidden="1" customHeight="1" spans="1:26">
      <c r="A685" s="27">
        <v>1047</v>
      </c>
      <c r="B685" s="27">
        <v>43</v>
      </c>
      <c r="C685" s="27" t="s">
        <v>1382</v>
      </c>
      <c r="D685" s="27" t="s">
        <v>1721</v>
      </c>
      <c r="E685" s="27" t="s">
        <v>2889</v>
      </c>
      <c r="F685" s="27" t="str">
        <f t="shared" si="0"/>
        <v>Temporal Latin Origin</v>
      </c>
      <c r="G685" s="27">
        <f t="shared" si="1"/>
        <v>10</v>
      </c>
      <c r="H685" s="27" t="s">
        <v>3602</v>
      </c>
      <c r="I685" s="27"/>
      <c r="J685" s="27"/>
      <c r="K685" s="27"/>
      <c r="L685" s="27" t="str">
        <f t="shared" si="2"/>
        <v>P</v>
      </c>
      <c r="M685" s="27" t="str">
        <f>IFERROR(__xludf.DUMMYFUNCTION("GOOGLETRANSLATE(C685,""EN"",""KN"")"),"ಅಪರಾಧ ಮಾಡು")</f>
        <v>ಅಪರಾಧ ಮಾಡು</v>
      </c>
      <c r="N685" s="27">
        <f t="array" ref="N685">_xlfn.XLOOKUP(B685,'Sets Progress'!I:I,'Sets Progress'!I:I,"NOT YET")</f>
        <v>43</v>
      </c>
      <c r="O685" s="27" t="str">
        <f t="array" ref="O685">_xlfn.XLOOKUP(L:L,'Overall Progress'!L:L,'Overall Progress'!L:L,"NOT YET")</f>
        <v>NOT YET</v>
      </c>
      <c r="P685" s="27"/>
      <c r="Q685" s="27"/>
      <c r="R685" s="27"/>
      <c r="S685" s="27"/>
      <c r="T685" s="27"/>
      <c r="U685" s="27"/>
      <c r="V685" s="27"/>
      <c r="W685" s="27"/>
      <c r="X685" s="27"/>
      <c r="Y685" s="27"/>
      <c r="Z685" s="27"/>
    </row>
    <row r="686" hidden="1" customHeight="1" spans="1:26">
      <c r="A686" s="26">
        <v>1119</v>
      </c>
      <c r="B686" s="26">
        <v>43</v>
      </c>
      <c r="C686" s="26" t="s">
        <v>1453</v>
      </c>
      <c r="D686" s="26" t="s">
        <v>2717</v>
      </c>
      <c r="E686" s="26" t="s">
        <v>2889</v>
      </c>
      <c r="F686" s="26" t="str">
        <f t="shared" si="0"/>
        <v>Positive Traits Latin Origin</v>
      </c>
      <c r="G686" s="26">
        <f t="shared" si="1"/>
        <v>10</v>
      </c>
      <c r="H686" s="26" t="s">
        <v>3603</v>
      </c>
      <c r="I686" s="26"/>
      <c r="J686" s="26"/>
      <c r="K686" s="26"/>
      <c r="L686" s="26" t="str">
        <f t="shared" si="2"/>
        <v>P</v>
      </c>
      <c r="M686" s="26" t="str">
        <f>IFERROR(__xludf.DUMMYFUNCTION("GOOGLETRANSLATE(C686,""EN"",""KN"")"),"ಪ್ರಾಕ್ಲಿವಿಟಿ")</f>
        <v>ಪ್ರಾಕ್ಲಿವಿಟಿ</v>
      </c>
      <c r="N686" s="26">
        <f t="array" ref="N686">_xlfn.XLOOKUP(B686,'Sets Progress'!I:I,'Sets Progress'!I:I,"NOT YET")</f>
        <v>43</v>
      </c>
      <c r="O686" s="26" t="str">
        <f t="array" ref="O686">_xlfn.XLOOKUP(L:L,'Overall Progress'!L:L,'Overall Progress'!L:L,"NOT YET")</f>
        <v>NOT YET</v>
      </c>
      <c r="P686" s="26"/>
      <c r="Q686" s="26"/>
      <c r="R686" s="26"/>
      <c r="S686" s="26"/>
      <c r="T686" s="26"/>
      <c r="U686" s="26"/>
      <c r="V686" s="26"/>
      <c r="W686" s="26"/>
      <c r="X686" s="26"/>
      <c r="Y686" s="26"/>
      <c r="Z686" s="26"/>
    </row>
    <row r="687" hidden="1" customHeight="1" spans="1:26">
      <c r="A687" s="27">
        <v>1190</v>
      </c>
      <c r="B687" s="27">
        <v>43</v>
      </c>
      <c r="C687" s="27" t="s">
        <v>1521</v>
      </c>
      <c r="D687" s="27" t="s">
        <v>2717</v>
      </c>
      <c r="E687" s="27" t="s">
        <v>2889</v>
      </c>
      <c r="F687" s="27" t="str">
        <f t="shared" si="0"/>
        <v>Positive Traits Latin Origin</v>
      </c>
      <c r="G687" s="27">
        <f t="shared" si="1"/>
        <v>12</v>
      </c>
      <c r="H687" s="27" t="s">
        <v>3604</v>
      </c>
      <c r="I687" s="27"/>
      <c r="J687" s="27"/>
      <c r="K687" s="27"/>
      <c r="L687" s="27" t="str">
        <f t="shared" si="2"/>
        <v>R</v>
      </c>
      <c r="M687" s="27" t="str">
        <f>IFERROR(__xludf.DUMMYFUNCTION("GOOGLETRANSLATE(C687,""EN"",""KN"")"),"ಪುನರ್ವಸತಿ ಮಾಡಿ")</f>
        <v>ಪುನರ್ವಸತಿ ಮಾಡಿ</v>
      </c>
      <c r="N687" s="27">
        <f t="array" ref="N687">_xlfn.XLOOKUP(B687,'Sets Progress'!I:I,'Sets Progress'!I:I,"NOT YET")</f>
        <v>43</v>
      </c>
      <c r="O687" s="27" t="str">
        <f t="array" ref="O687">_xlfn.XLOOKUP(L:L,'Overall Progress'!L:L,'Overall Progress'!L:L,"NOT YET")</f>
        <v>NOT YET</v>
      </c>
      <c r="P687" s="27"/>
      <c r="Q687" s="27"/>
      <c r="R687" s="27"/>
      <c r="S687" s="27"/>
      <c r="T687" s="27"/>
      <c r="U687" s="27"/>
      <c r="V687" s="27"/>
      <c r="W687" s="27"/>
      <c r="X687" s="27"/>
      <c r="Y687" s="27"/>
      <c r="Z687" s="27"/>
    </row>
    <row r="688" hidden="1" customHeight="1" spans="1:26">
      <c r="A688" s="26">
        <v>1196</v>
      </c>
      <c r="B688" s="26">
        <v>43</v>
      </c>
      <c r="C688" s="26" t="s">
        <v>1527</v>
      </c>
      <c r="D688" s="26" t="s">
        <v>1721</v>
      </c>
      <c r="E688" s="26" t="s">
        <v>2889</v>
      </c>
      <c r="F688" s="26" t="str">
        <f t="shared" si="0"/>
        <v>Temporal Latin Origin</v>
      </c>
      <c r="G688" s="26">
        <f t="shared" si="1"/>
        <v>8</v>
      </c>
      <c r="H688" s="26" t="s">
        <v>3605</v>
      </c>
      <c r="I688" s="26"/>
      <c r="J688" s="26"/>
      <c r="K688" s="26"/>
      <c r="L688" s="26" t="str">
        <f t="shared" si="2"/>
        <v>R</v>
      </c>
      <c r="M688" s="26" t="str">
        <f>IFERROR(__xludf.DUMMYFUNCTION("GOOGLETRANSLATE(C688,""EN"",""KN"")"),"ಕೆಳಗಿಳಿಸು")</f>
        <v>ಕೆಳಗಿಳಿಸು</v>
      </c>
      <c r="N688" s="26">
        <f t="array" ref="N688">_xlfn.XLOOKUP(B688,'Sets Progress'!I:I,'Sets Progress'!I:I,"NOT YET")</f>
        <v>43</v>
      </c>
      <c r="O688" s="26" t="str">
        <f t="array" ref="O688">_xlfn.XLOOKUP(L:L,'Overall Progress'!L:L,'Overall Progress'!L:L,"NOT YET")</f>
        <v>NOT YET</v>
      </c>
      <c r="P688" s="26"/>
      <c r="Q688" s="26"/>
      <c r="R688" s="26"/>
      <c r="S688" s="26"/>
      <c r="T688" s="26"/>
      <c r="U688" s="26"/>
      <c r="V688" s="26"/>
      <c r="W688" s="26"/>
      <c r="X688" s="26"/>
      <c r="Y688" s="26"/>
      <c r="Z688" s="26"/>
    </row>
    <row r="689" hidden="1" customHeight="1" spans="1:26">
      <c r="A689" s="27">
        <v>1289</v>
      </c>
      <c r="B689" s="27">
        <v>43</v>
      </c>
      <c r="C689" s="27" t="s">
        <v>1620</v>
      </c>
      <c r="D689" s="27" t="s">
        <v>1721</v>
      </c>
      <c r="E689" s="27" t="s">
        <v>2969</v>
      </c>
      <c r="F689" s="27" t="str">
        <f t="shared" si="0"/>
        <v>Temporal Old Norse Origin</v>
      </c>
      <c r="G689" s="27">
        <f t="shared" si="1"/>
        <v>5</v>
      </c>
      <c r="H689" s="27" t="s">
        <v>3606</v>
      </c>
      <c r="I689" s="27"/>
      <c r="J689" s="27"/>
      <c r="K689" s="27"/>
      <c r="L689" s="27" t="str">
        <f t="shared" si="2"/>
        <v>S</v>
      </c>
      <c r="M689" s="27" t="str">
        <f>IFERROR(__xludf.DUMMYFUNCTION("GOOGLETRANSLATE(C689,""EN"",""KN"")"),"ಸ್ಕರ್ಟ್")</f>
        <v>ಸ್ಕರ್ಟ್</v>
      </c>
      <c r="N689" s="27">
        <f t="array" ref="N689">_xlfn.XLOOKUP(B689,'Sets Progress'!I:I,'Sets Progress'!I:I,"NOT YET")</f>
        <v>43</v>
      </c>
      <c r="O689" s="27" t="str">
        <f t="array" ref="O689">_xlfn.XLOOKUP(L:L,'Overall Progress'!L:L,'Overall Progress'!L:L,"NOT YET")</f>
        <v>NOT YET</v>
      </c>
      <c r="P689" s="27"/>
      <c r="Q689" s="27"/>
      <c r="R689" s="27"/>
      <c r="S689" s="27"/>
      <c r="T689" s="27"/>
      <c r="U689" s="27"/>
      <c r="V689" s="27"/>
      <c r="W689" s="27"/>
      <c r="X689" s="27"/>
      <c r="Y689" s="27"/>
      <c r="Z689" s="27"/>
    </row>
    <row r="690" hidden="1" customHeight="1" spans="1:26">
      <c r="A690" s="26">
        <v>1335</v>
      </c>
      <c r="B690" s="26">
        <v>43</v>
      </c>
      <c r="C690" s="26" t="s">
        <v>1666</v>
      </c>
      <c r="D690" s="26" t="s">
        <v>2716</v>
      </c>
      <c r="E690" s="26" t="s">
        <v>2889</v>
      </c>
      <c r="F690" s="26" t="str">
        <f t="shared" si="0"/>
        <v>Negative Traits Latin Origin</v>
      </c>
      <c r="G690" s="26">
        <f t="shared" si="1"/>
        <v>9</v>
      </c>
      <c r="H690" s="26" t="s">
        <v>3607</v>
      </c>
      <c r="I690" s="26"/>
      <c r="J690" s="26"/>
      <c r="K690" s="26"/>
      <c r="L690" s="26" t="str">
        <f t="shared" si="2"/>
        <v>S</v>
      </c>
      <c r="M690" s="26" t="str">
        <f>IFERROR(__xludf.DUMMYFUNCTION("GOOGLETRANSLATE(C690,""EN"",""KN"")"),"ಕಟ್ಟುನಿಟ್ಟಾದ")</f>
        <v>ಕಟ್ಟುನಿಟ್ಟಾದ</v>
      </c>
      <c r="N690" s="26">
        <f t="array" ref="N690">_xlfn.XLOOKUP(B690,'Sets Progress'!I:I,'Sets Progress'!I:I,"NOT YET")</f>
        <v>43</v>
      </c>
      <c r="O690" s="26" t="str">
        <f t="array" ref="O690">_xlfn.XLOOKUP(L:L,'Overall Progress'!L:L,'Overall Progress'!L:L,"NOT YET")</f>
        <v>NOT YET</v>
      </c>
      <c r="P690" s="26"/>
      <c r="Q690" s="26"/>
      <c r="R690" s="26"/>
      <c r="S690" s="26"/>
      <c r="T690" s="26"/>
      <c r="U690" s="26"/>
      <c r="V690" s="26"/>
      <c r="W690" s="26"/>
      <c r="X690" s="26"/>
      <c r="Y690" s="26"/>
      <c r="Z690" s="26"/>
    </row>
    <row r="691" hidden="1" customHeight="1" spans="1:26">
      <c r="A691" s="27">
        <v>8</v>
      </c>
      <c r="B691" s="27">
        <v>44</v>
      </c>
      <c r="C691" s="27" t="s">
        <v>377</v>
      </c>
      <c r="D691" s="27" t="s">
        <v>2946</v>
      </c>
      <c r="E691" s="27" t="s">
        <v>2889</v>
      </c>
      <c r="F691" s="27" t="str">
        <f t="shared" si="0"/>
        <v>Emotional Latin Origin</v>
      </c>
      <c r="G691" s="27">
        <f t="shared" si="1"/>
        <v>6</v>
      </c>
      <c r="H691" s="27" t="s">
        <v>3608</v>
      </c>
      <c r="I691" s="27"/>
      <c r="J691" s="27"/>
      <c r="K691" s="27"/>
      <c r="L691" s="27" t="str">
        <f t="shared" si="2"/>
        <v>A</v>
      </c>
      <c r="M691" s="27" t="str">
        <f>IFERROR(__xludf.DUMMYFUNCTION("GOOGLETRANSLATE(C691,""EN"",""KN"")"),"ಆಬ್ಜೆಕ್ಟ್")</f>
        <v>ಆಬ್ಜೆಕ್ಟ್</v>
      </c>
      <c r="N691" s="27">
        <f t="array" ref="N691">_xlfn.XLOOKUP(B691,'Sets Progress'!I:I,'Sets Progress'!I:I,"NOT YET")</f>
        <v>44</v>
      </c>
      <c r="O691" s="27" t="str">
        <f t="array" ref="O691">_xlfn.XLOOKUP(L:L,'Overall Progress'!L:L,'Overall Progress'!L:L,"NOT YET")</f>
        <v>NOT YET</v>
      </c>
      <c r="P691" s="27"/>
      <c r="Q691" s="27"/>
      <c r="R691" s="27"/>
      <c r="S691" s="27"/>
      <c r="T691" s="27"/>
      <c r="U691" s="27"/>
      <c r="V691" s="27"/>
      <c r="W691" s="27"/>
      <c r="X691" s="27"/>
      <c r="Y691" s="27"/>
      <c r="Z691" s="27"/>
    </row>
    <row r="692" hidden="1" customHeight="1" spans="1:26">
      <c r="A692" s="26">
        <v>17</v>
      </c>
      <c r="B692" s="26">
        <v>44</v>
      </c>
      <c r="C692" s="26" t="s">
        <v>383</v>
      </c>
      <c r="D692" s="26" t="s">
        <v>2928</v>
      </c>
      <c r="E692" s="26" t="s">
        <v>2889</v>
      </c>
      <c r="F692" s="26" t="str">
        <f t="shared" si="0"/>
        <v>Philosophical Latin Origin</v>
      </c>
      <c r="G692" s="26">
        <f t="shared" si="1"/>
        <v>8</v>
      </c>
      <c r="H692" s="26" t="s">
        <v>3609</v>
      </c>
      <c r="I692" s="26"/>
      <c r="J692" s="26"/>
      <c r="K692" s="26"/>
      <c r="L692" s="26" t="str">
        <f t="shared" si="2"/>
        <v>A</v>
      </c>
      <c r="M692" s="26" t="str">
        <f>IFERROR(__xludf.DUMMYFUNCTION("GOOGLETRANSLATE(C692,""EN"",""KN"")"),"ಅಮೂರ್ತ")</f>
        <v>ಅಮೂರ್ತ</v>
      </c>
      <c r="N692" s="26">
        <f t="array" ref="N692">_xlfn.XLOOKUP(B692,'Sets Progress'!I:I,'Sets Progress'!I:I,"NOT YET")</f>
        <v>44</v>
      </c>
      <c r="O692" s="26" t="str">
        <f t="array" ref="O692">_xlfn.XLOOKUP(L:L,'Overall Progress'!L:L,'Overall Progress'!L:L,"NOT YET")</f>
        <v>NOT YET</v>
      </c>
      <c r="P692" s="26"/>
      <c r="Q692" s="26"/>
      <c r="R692" s="26"/>
      <c r="S692" s="26"/>
      <c r="T692" s="26"/>
      <c r="U692" s="26"/>
      <c r="V692" s="26"/>
      <c r="W692" s="26"/>
      <c r="X692" s="26"/>
      <c r="Y692" s="26"/>
      <c r="Z692" s="26"/>
    </row>
    <row r="693" hidden="1" customHeight="1" spans="1:26">
      <c r="A693" s="27">
        <v>310</v>
      </c>
      <c r="B693" s="27">
        <v>44</v>
      </c>
      <c r="C693" s="27" t="s">
        <v>661</v>
      </c>
      <c r="D693" s="27" t="s">
        <v>2717</v>
      </c>
      <c r="E693" s="27" t="s">
        <v>2889</v>
      </c>
      <c r="F693" s="27" t="str">
        <f t="shared" si="0"/>
        <v>Positive Traits Latin Origin</v>
      </c>
      <c r="G693" s="27">
        <f t="shared" si="1"/>
        <v>7</v>
      </c>
      <c r="H693" s="27" t="s">
        <v>3610</v>
      </c>
      <c r="I693" s="27"/>
      <c r="J693" s="27"/>
      <c r="K693" s="27"/>
      <c r="L693" s="27" t="str">
        <f t="shared" si="2"/>
        <v>C</v>
      </c>
      <c r="M693" s="27" t="str">
        <f>IFERROR(__xludf.DUMMYFUNCTION("GOOGLETRANSLATE(C693,""EN"",""KN"")"),"ಅಪಾರ")</f>
        <v>ಅಪಾರ</v>
      </c>
      <c r="N693" s="27">
        <f t="array" ref="N693">_xlfn.XLOOKUP(B693,'Sets Progress'!I:I,'Sets Progress'!I:I,"NOT YET")</f>
        <v>44</v>
      </c>
      <c r="O693" s="27" t="str">
        <f t="array" ref="O693">_xlfn.XLOOKUP(L:L,'Overall Progress'!L:L,'Overall Progress'!L:L,"NOT YET")</f>
        <v>NOT YET</v>
      </c>
      <c r="P693" s="27"/>
      <c r="Q693" s="27"/>
      <c r="R693" s="27"/>
      <c r="S693" s="27"/>
      <c r="T693" s="27"/>
      <c r="U693" s="27"/>
      <c r="V693" s="27"/>
      <c r="W693" s="27"/>
      <c r="X693" s="27"/>
      <c r="Y693" s="27"/>
      <c r="Z693" s="27"/>
    </row>
    <row r="694" hidden="1" customHeight="1" spans="1:26">
      <c r="A694" s="26">
        <v>321</v>
      </c>
      <c r="B694" s="26">
        <v>44</v>
      </c>
      <c r="C694" s="26" t="s">
        <v>671</v>
      </c>
      <c r="D694" s="26" t="s">
        <v>2892</v>
      </c>
      <c r="E694" s="26" t="s">
        <v>2889</v>
      </c>
      <c r="F694" s="26" t="str">
        <f t="shared" si="0"/>
        <v>Spatial Latin Origin</v>
      </c>
      <c r="G694" s="26">
        <f t="shared" si="1"/>
        <v>6</v>
      </c>
      <c r="H694" s="26" t="s">
        <v>3611</v>
      </c>
      <c r="I694" s="26"/>
      <c r="J694" s="26"/>
      <c r="K694" s="26"/>
      <c r="L694" s="26" t="str">
        <f t="shared" si="2"/>
        <v>C</v>
      </c>
      <c r="M694" s="26" t="str">
        <f>IFERROR(__xludf.DUMMYFUNCTION("GOOGLETRANSLATE(C694,""EN"",""KN"")"),"ರಹಸ್ಯ")</f>
        <v>ರಹಸ್ಯ</v>
      </c>
      <c r="N694" s="26">
        <f t="array" ref="N694">_xlfn.XLOOKUP(B694,'Sets Progress'!I:I,'Sets Progress'!I:I,"NOT YET")</f>
        <v>44</v>
      </c>
      <c r="O694" s="26" t="str">
        <f t="array" ref="O694">_xlfn.XLOOKUP(L:L,'Overall Progress'!L:L,'Overall Progress'!L:L,"NOT YET")</f>
        <v>NOT YET</v>
      </c>
      <c r="P694" s="26"/>
      <c r="Q694" s="26"/>
      <c r="R694" s="26"/>
      <c r="S694" s="26"/>
      <c r="T694" s="26"/>
      <c r="U694" s="26"/>
      <c r="V694" s="26"/>
      <c r="W694" s="26"/>
      <c r="X694" s="26"/>
      <c r="Y694" s="26"/>
      <c r="Z694" s="26"/>
    </row>
    <row r="695" hidden="1" customHeight="1" spans="1:26">
      <c r="A695" s="27">
        <v>453</v>
      </c>
      <c r="B695" s="27">
        <v>44</v>
      </c>
      <c r="C695" s="27" t="s">
        <v>802</v>
      </c>
      <c r="D695" s="27" t="s">
        <v>1721</v>
      </c>
      <c r="E695" s="27" t="s">
        <v>2889</v>
      </c>
      <c r="F695" s="27" t="str">
        <f t="shared" si="0"/>
        <v>Temporal Latin Origin</v>
      </c>
      <c r="G695" s="27">
        <f t="shared" si="1"/>
        <v>7</v>
      </c>
      <c r="H695" s="27" t="s">
        <v>3612</v>
      </c>
      <c r="I695" s="27"/>
      <c r="J695" s="27"/>
      <c r="K695" s="27"/>
      <c r="L695" s="27" t="str">
        <f t="shared" si="2"/>
        <v>D</v>
      </c>
      <c r="M695" s="27" t="str">
        <f>IFERROR(__xludf.DUMMYFUNCTION("GOOGLETRANSLATE(C695,""EN"",""KN"")"),"ಸುಪ್ತ")</f>
        <v>ಸುಪ್ತ</v>
      </c>
      <c r="N695" s="27">
        <f t="array" ref="N695">_xlfn.XLOOKUP(B695,'Sets Progress'!I:I,'Sets Progress'!I:I,"NOT YET")</f>
        <v>44</v>
      </c>
      <c r="O695" s="27" t="str">
        <f t="array" ref="O695">_xlfn.XLOOKUP(L:L,'Overall Progress'!L:L,'Overall Progress'!L:L,"NOT YET")</f>
        <v>NOT YET</v>
      </c>
      <c r="P695" s="27"/>
      <c r="Q695" s="27"/>
      <c r="R695" s="27"/>
      <c r="S695" s="27"/>
      <c r="T695" s="27"/>
      <c r="U695" s="27"/>
      <c r="V695" s="27"/>
      <c r="W695" s="27"/>
      <c r="X695" s="27"/>
      <c r="Y695" s="27"/>
      <c r="Z695" s="27"/>
    </row>
    <row r="696" hidden="1" customHeight="1" spans="1:26">
      <c r="A696" s="26">
        <v>474</v>
      </c>
      <c r="B696" s="26">
        <v>44</v>
      </c>
      <c r="C696" s="26" t="s">
        <v>823</v>
      </c>
      <c r="D696" s="26" t="s">
        <v>2717</v>
      </c>
      <c r="E696" s="26" t="s">
        <v>2889</v>
      </c>
      <c r="F696" s="26" t="str">
        <f t="shared" si="0"/>
        <v>Positive Traits Latin Origin</v>
      </c>
      <c r="G696" s="26">
        <f t="shared" si="1"/>
        <v>5</v>
      </c>
      <c r="H696" s="26" t="s">
        <v>3613</v>
      </c>
      <c r="I696" s="26"/>
      <c r="J696" s="26"/>
      <c r="K696" s="26"/>
      <c r="L696" s="26" t="str">
        <f t="shared" si="2"/>
        <v>E</v>
      </c>
      <c r="M696" s="26" t="str">
        <f>IFERROR(__xludf.DUMMYFUNCTION("GOOGLETRANSLATE(C696,""EN"",""KN"")"),"ಸಂಪಾದಿಸು")</f>
        <v>ಸಂಪಾದಿಸು</v>
      </c>
      <c r="N696" s="26">
        <f t="array" ref="N696">_xlfn.XLOOKUP(B696,'Sets Progress'!I:I,'Sets Progress'!I:I,"NOT YET")</f>
        <v>44</v>
      </c>
      <c r="O696" s="26" t="str">
        <f t="array" ref="O696">_xlfn.XLOOKUP(L:L,'Overall Progress'!L:L,'Overall Progress'!L:L,"NOT YET")</f>
        <v>NOT YET</v>
      </c>
      <c r="P696" s="26"/>
      <c r="Q696" s="26"/>
      <c r="R696" s="26"/>
      <c r="S696" s="26"/>
      <c r="T696" s="26"/>
      <c r="U696" s="26"/>
      <c r="V696" s="26"/>
      <c r="W696" s="26"/>
      <c r="X696" s="26"/>
      <c r="Y696" s="26"/>
      <c r="Z696" s="26"/>
    </row>
    <row r="697" hidden="1" customHeight="1" spans="1:26">
      <c r="A697" s="27">
        <v>482</v>
      </c>
      <c r="B697" s="27">
        <v>44</v>
      </c>
      <c r="C697" s="27" t="s">
        <v>831</v>
      </c>
      <c r="D697" s="27" t="s">
        <v>2717</v>
      </c>
      <c r="E697" s="27" t="s">
        <v>2889</v>
      </c>
      <c r="F697" s="27" t="str">
        <f t="shared" si="0"/>
        <v>Positive Traits Latin Origin</v>
      </c>
      <c r="G697" s="27">
        <f t="shared" si="1"/>
        <v>5</v>
      </c>
      <c r="H697" s="27" t="s">
        <v>3614</v>
      </c>
      <c r="I697" s="27"/>
      <c r="J697" s="27"/>
      <c r="K697" s="27"/>
      <c r="L697" s="27" t="str">
        <f t="shared" si="2"/>
        <v>E</v>
      </c>
      <c r="M697" s="27" t="str">
        <f>IFERROR(__xludf.DUMMYFUNCTION("GOOGLETRANSLATE(C697,""EN"",""KN"")"),"ಉಲ್ಲಾಸ")</f>
        <v>ಉಲ್ಲಾಸ</v>
      </c>
      <c r="N697" s="27">
        <f t="array" ref="N697">_xlfn.XLOOKUP(B697,'Sets Progress'!I:I,'Sets Progress'!I:I,"NOT YET")</f>
        <v>44</v>
      </c>
      <c r="O697" s="27" t="str">
        <f t="array" ref="O697">_xlfn.XLOOKUP(L:L,'Overall Progress'!L:L,'Overall Progress'!L:L,"NOT YET")</f>
        <v>NOT YET</v>
      </c>
      <c r="P697" s="27"/>
      <c r="Q697" s="27"/>
      <c r="R697" s="27"/>
      <c r="S697" s="27"/>
      <c r="T697" s="27"/>
      <c r="U697" s="27"/>
      <c r="V697" s="27"/>
      <c r="W697" s="27"/>
      <c r="X697" s="27"/>
      <c r="Y697" s="27"/>
      <c r="Z697" s="27"/>
    </row>
    <row r="698" hidden="1" customHeight="1" spans="1:26">
      <c r="A698" s="26">
        <v>641</v>
      </c>
      <c r="B698" s="26">
        <v>44</v>
      </c>
      <c r="C698" s="26" t="s">
        <v>985</v>
      </c>
      <c r="D698" s="26" t="s">
        <v>1721</v>
      </c>
      <c r="E698" s="26" t="s">
        <v>2889</v>
      </c>
      <c r="F698" s="26" t="str">
        <f t="shared" si="0"/>
        <v>Temporal Latin Origin</v>
      </c>
      <c r="G698" s="26">
        <f t="shared" si="1"/>
        <v>7</v>
      </c>
      <c r="H698" s="26" t="s">
        <v>3615</v>
      </c>
      <c r="I698" s="26"/>
      <c r="J698" s="26"/>
      <c r="K698" s="26"/>
      <c r="L698" s="26" t="str">
        <f t="shared" si="2"/>
        <v>F</v>
      </c>
      <c r="M698" s="26" t="str">
        <f>IFERROR(__xludf.DUMMYFUNCTION("GOOGLETRANSLATE(C698,""EN"",""KN"")"),"ಫ್ಯೂರ್ಟಿವ್")</f>
        <v>ಫ್ಯೂರ್ಟಿವ್</v>
      </c>
      <c r="N698" s="26">
        <f t="array" ref="N698">_xlfn.XLOOKUP(B698,'Sets Progress'!I:I,'Sets Progress'!I:I,"NOT YET")</f>
        <v>44</v>
      </c>
      <c r="O698" s="26" t="str">
        <f t="array" ref="O698">_xlfn.XLOOKUP(L:L,'Overall Progress'!L:L,'Overall Progress'!L:L,"NOT YET")</f>
        <v>NOT YET</v>
      </c>
      <c r="P698" s="26"/>
      <c r="Q698" s="26"/>
      <c r="R698" s="26"/>
      <c r="S698" s="26"/>
      <c r="T698" s="26"/>
      <c r="U698" s="26"/>
      <c r="V698" s="26"/>
      <c r="W698" s="26"/>
      <c r="X698" s="26"/>
      <c r="Y698" s="26"/>
      <c r="Z698" s="26"/>
    </row>
    <row r="699" hidden="1" customHeight="1" spans="1:26">
      <c r="A699" s="27">
        <v>711</v>
      </c>
      <c r="B699" s="27">
        <v>44</v>
      </c>
      <c r="C699" s="27" t="s">
        <v>1053</v>
      </c>
      <c r="D699" s="27" t="s">
        <v>1721</v>
      </c>
      <c r="E699" s="27" t="s">
        <v>2889</v>
      </c>
      <c r="F699" s="27" t="str">
        <f t="shared" si="0"/>
        <v>Temporal Latin Origin</v>
      </c>
      <c r="G699" s="27">
        <f t="shared" si="1"/>
        <v>7</v>
      </c>
      <c r="H699" s="27" t="s">
        <v>3616</v>
      </c>
      <c r="I699" s="27"/>
      <c r="J699" s="27"/>
      <c r="K699" s="27"/>
      <c r="L699" s="27" t="str">
        <f t="shared" si="2"/>
        <v>I</v>
      </c>
      <c r="M699" s="27" t="str">
        <f>IFERROR(__xludf.DUMMYFUNCTION("GOOGLETRANSLATE(C699,""EN"",""KN"")"),"ಅನುಕರಿಸಿ")</f>
        <v>ಅನುಕರಿಸಿ</v>
      </c>
      <c r="N699" s="27">
        <f t="array" ref="N699">_xlfn.XLOOKUP(B699,'Sets Progress'!I:I,'Sets Progress'!I:I,"NOT YET")</f>
        <v>44</v>
      </c>
      <c r="O699" s="27" t="str">
        <f t="array" ref="O699">_xlfn.XLOOKUP(L:L,'Overall Progress'!L:L,'Overall Progress'!L:L,"NOT YET")</f>
        <v>NOT YET</v>
      </c>
      <c r="P699" s="27"/>
      <c r="Q699" s="27"/>
      <c r="R699" s="27"/>
      <c r="S699" s="27"/>
      <c r="T699" s="27"/>
      <c r="U699" s="27"/>
      <c r="V699" s="27"/>
      <c r="W699" s="27"/>
      <c r="X699" s="27"/>
      <c r="Y699" s="27"/>
      <c r="Z699" s="27"/>
    </row>
    <row r="700" hidden="1" customHeight="1" spans="1:26">
      <c r="A700" s="26">
        <v>848</v>
      </c>
      <c r="B700" s="26">
        <v>44</v>
      </c>
      <c r="C700" s="26" t="s">
        <v>1188</v>
      </c>
      <c r="D700" s="26" t="s">
        <v>1721</v>
      </c>
      <c r="E700" s="26" t="s">
        <v>2911</v>
      </c>
      <c r="F700" s="26" t="str">
        <f t="shared" si="0"/>
        <v>Temporal French Origin</v>
      </c>
      <c r="G700" s="26">
        <f t="shared" si="1"/>
        <v>7</v>
      </c>
      <c r="H700" s="26" t="s">
        <v>3617</v>
      </c>
      <c r="I700" s="26"/>
      <c r="J700" s="26"/>
      <c r="K700" s="26"/>
      <c r="L700" s="26" t="str">
        <f t="shared" si="2"/>
        <v>L</v>
      </c>
      <c r="M700" s="26" t="str">
        <f>IFERROR(__xludf.DUMMYFUNCTION("GOOGLETRANSLATE(C700,""EN"",""KN"")"),"ಲ್ಯಾಂಪೂನ್")</f>
        <v>ಲ್ಯಾಂಪೂನ್</v>
      </c>
      <c r="N700" s="26">
        <f t="array" ref="N700">_xlfn.XLOOKUP(B700,'Sets Progress'!I:I,'Sets Progress'!I:I,"NOT YET")</f>
        <v>44</v>
      </c>
      <c r="O700" s="26" t="str">
        <f t="array" ref="O700">_xlfn.XLOOKUP(L:L,'Overall Progress'!L:L,'Overall Progress'!L:L,"NOT YET")</f>
        <v>NOT YET</v>
      </c>
      <c r="P700" s="26"/>
      <c r="Q700" s="26"/>
      <c r="R700" s="26"/>
      <c r="S700" s="26"/>
      <c r="T700" s="26"/>
      <c r="U700" s="26"/>
      <c r="V700" s="26"/>
      <c r="W700" s="26"/>
      <c r="X700" s="26"/>
      <c r="Y700" s="26"/>
      <c r="Z700" s="26"/>
    </row>
    <row r="701" hidden="1" customHeight="1" spans="1:26">
      <c r="A701" s="27">
        <v>882</v>
      </c>
      <c r="B701" s="27">
        <v>44</v>
      </c>
      <c r="C701" s="27" t="s">
        <v>1219</v>
      </c>
      <c r="D701" s="27" t="s">
        <v>2716</v>
      </c>
      <c r="E701" s="27" t="s">
        <v>2911</v>
      </c>
      <c r="F701" s="27" t="str">
        <f t="shared" si="0"/>
        <v>Negative Traits French Origin</v>
      </c>
      <c r="G701" s="27">
        <f t="shared" si="1"/>
        <v>9</v>
      </c>
      <c r="H701" s="27" t="s">
        <v>3618</v>
      </c>
      <c r="I701" s="27"/>
      <c r="J701" s="27"/>
      <c r="K701" s="27"/>
      <c r="L701" s="27" t="str">
        <f t="shared" si="2"/>
        <v>M</v>
      </c>
      <c r="M701" s="27" t="str">
        <f>IFERROR(__xludf.DUMMYFUNCTION("GOOGLETRANSLATE(C701,""EN"",""KN"")"),"ಮಲಾಡ್ರೋಯಿಟ್")</f>
        <v>ಮಲಾಡ್ರೋಯಿಟ್</v>
      </c>
      <c r="N701" s="27">
        <f t="array" ref="N701">_xlfn.XLOOKUP(B701,'Sets Progress'!I:I,'Sets Progress'!I:I,"NOT YET")</f>
        <v>44</v>
      </c>
      <c r="O701" s="27" t="str">
        <f t="array" ref="O701">_xlfn.XLOOKUP(L:L,'Overall Progress'!L:L,'Overall Progress'!L:L,"NOT YET")</f>
        <v>NOT YET</v>
      </c>
      <c r="P701" s="27"/>
      <c r="Q701" s="27"/>
      <c r="R701" s="27"/>
      <c r="S701" s="27"/>
      <c r="T701" s="27"/>
      <c r="U701" s="27"/>
      <c r="V701" s="27"/>
      <c r="W701" s="27"/>
      <c r="X701" s="27"/>
      <c r="Y701" s="27"/>
      <c r="Z701" s="27"/>
    </row>
    <row r="702" hidden="1" customHeight="1" spans="1:26">
      <c r="A702" s="26">
        <v>886</v>
      </c>
      <c r="B702" s="26">
        <v>44</v>
      </c>
      <c r="C702" s="26" t="s">
        <v>1223</v>
      </c>
      <c r="D702" s="26" t="s">
        <v>2716</v>
      </c>
      <c r="E702" s="26" t="s">
        <v>2889</v>
      </c>
      <c r="F702" s="26" t="str">
        <f t="shared" si="0"/>
        <v>Negative Traits Latin Origin</v>
      </c>
      <c r="G702" s="26">
        <f t="shared" si="1"/>
        <v>6</v>
      </c>
      <c r="H702" s="26" t="s">
        <v>3619</v>
      </c>
      <c r="I702" s="26"/>
      <c r="J702" s="26"/>
      <c r="K702" s="26"/>
      <c r="L702" s="26" t="str">
        <f t="shared" si="2"/>
        <v>M</v>
      </c>
      <c r="M702" s="26" t="str">
        <f>IFERROR(__xludf.DUMMYFUNCTION("GOOGLETRANSLATE(C702,""EN"",""KN"")"),"ಹಾನಿಕರ")</f>
        <v>ಹಾನಿಕರ</v>
      </c>
      <c r="N702" s="26">
        <f t="array" ref="N702">_xlfn.XLOOKUP(B702,'Sets Progress'!I:I,'Sets Progress'!I:I,"NOT YET")</f>
        <v>44</v>
      </c>
      <c r="O702" s="26" t="str">
        <f t="array" ref="O702">_xlfn.XLOOKUP(L:L,'Overall Progress'!L:L,'Overall Progress'!L:L,"NOT YET")</f>
        <v>NOT YET</v>
      </c>
      <c r="P702" s="26"/>
      <c r="Q702" s="26"/>
      <c r="R702" s="26"/>
      <c r="S702" s="26"/>
      <c r="T702" s="26"/>
      <c r="U702" s="26"/>
      <c r="V702" s="26"/>
      <c r="W702" s="26"/>
      <c r="X702" s="26"/>
      <c r="Y702" s="26"/>
      <c r="Z702" s="26"/>
    </row>
    <row r="703" hidden="1" customHeight="1" spans="1:26">
      <c r="A703" s="27">
        <v>935</v>
      </c>
      <c r="B703" s="27">
        <v>44</v>
      </c>
      <c r="C703" s="27" t="s">
        <v>1271</v>
      </c>
      <c r="D703" s="27" t="s">
        <v>2717</v>
      </c>
      <c r="E703" s="27" t="s">
        <v>2889</v>
      </c>
      <c r="F703" s="27" t="str">
        <f t="shared" si="0"/>
        <v>Positive Traits Latin Origin</v>
      </c>
      <c r="G703" s="27">
        <f t="shared" si="1"/>
        <v>10</v>
      </c>
      <c r="H703" s="27" t="s">
        <v>3620</v>
      </c>
      <c r="I703" s="27"/>
      <c r="J703" s="27"/>
      <c r="K703" s="27"/>
      <c r="L703" s="27" t="str">
        <f t="shared" si="2"/>
        <v>M</v>
      </c>
      <c r="M703" s="27" t="str">
        <f>IFERROR(__xludf.DUMMYFUNCTION("GOOGLETRANSLATE(C703,""EN"",""KN"")"),"ಮುನಿಫಿಸೆಂಟ್")</f>
        <v>ಮುನಿಫಿಸೆಂಟ್</v>
      </c>
      <c r="N703" s="27">
        <f t="array" ref="N703">_xlfn.XLOOKUP(B703,'Sets Progress'!I:I,'Sets Progress'!I:I,"NOT YET")</f>
        <v>44</v>
      </c>
      <c r="O703" s="27" t="str">
        <f t="array" ref="O703">_xlfn.XLOOKUP(L:L,'Overall Progress'!L:L,'Overall Progress'!L:L,"NOT YET")</f>
        <v>NOT YET</v>
      </c>
      <c r="P703" s="27"/>
      <c r="Q703" s="27"/>
      <c r="R703" s="27"/>
      <c r="S703" s="27"/>
      <c r="T703" s="27"/>
      <c r="U703" s="27"/>
      <c r="V703" s="27"/>
      <c r="W703" s="27"/>
      <c r="X703" s="27"/>
      <c r="Y703" s="27"/>
      <c r="Z703" s="27"/>
    </row>
    <row r="704" hidden="1" customHeight="1" spans="1:26">
      <c r="A704" s="26">
        <v>1079</v>
      </c>
      <c r="B704" s="26">
        <v>44</v>
      </c>
      <c r="C704" s="26" t="s">
        <v>1414</v>
      </c>
      <c r="D704" s="26" t="s">
        <v>2717</v>
      </c>
      <c r="E704" s="26" t="s">
        <v>2896</v>
      </c>
      <c r="F704" s="26" t="str">
        <f t="shared" si="0"/>
        <v>Positive Traits Old French Origin</v>
      </c>
      <c r="G704" s="26">
        <f t="shared" si="1"/>
        <v>8</v>
      </c>
      <c r="H704" s="26" t="s">
        <v>3621</v>
      </c>
      <c r="I704" s="26"/>
      <c r="J704" s="26"/>
      <c r="K704" s="26"/>
      <c r="L704" s="26" t="str">
        <f t="shared" si="2"/>
        <v>P</v>
      </c>
      <c r="M704" s="26" t="str">
        <f>IFERROR(__xludf.DUMMYFUNCTION("GOOGLETRANSLATE(C704,""EN"",""KN"")"),"ಕಟುವಾದ")</f>
        <v>ಕಟುವಾದ</v>
      </c>
      <c r="N704" s="26">
        <f t="array" ref="N704">_xlfn.XLOOKUP(B704,'Sets Progress'!I:I,'Sets Progress'!I:I,"NOT YET")</f>
        <v>44</v>
      </c>
      <c r="O704" s="26" t="str">
        <f t="array" ref="O704">_xlfn.XLOOKUP(L:L,'Overall Progress'!L:L,'Overall Progress'!L:L,"NOT YET")</f>
        <v>NOT YET</v>
      </c>
      <c r="P704" s="26"/>
      <c r="Q704" s="26"/>
      <c r="R704" s="26"/>
      <c r="S704" s="26"/>
      <c r="T704" s="26"/>
      <c r="U704" s="26"/>
      <c r="V704" s="26"/>
      <c r="W704" s="26"/>
      <c r="X704" s="26"/>
      <c r="Y704" s="26"/>
      <c r="Z704" s="26"/>
    </row>
    <row r="705" hidden="1" customHeight="1" spans="1:26">
      <c r="A705" s="27">
        <v>1275</v>
      </c>
      <c r="B705" s="27">
        <v>44</v>
      </c>
      <c r="C705" s="27" t="s">
        <v>1606</v>
      </c>
      <c r="D705" s="27" t="s">
        <v>2716</v>
      </c>
      <c r="E705" s="27" t="s">
        <v>2921</v>
      </c>
      <c r="F705" s="27" t="str">
        <f t="shared" si="0"/>
        <v>Negative Traits Unknown Origin</v>
      </c>
      <c r="G705" s="27">
        <f t="shared" si="1"/>
        <v>4</v>
      </c>
      <c r="H705" s="27" t="s">
        <v>3622</v>
      </c>
      <c r="I705" s="27"/>
      <c r="J705" s="27"/>
      <c r="K705" s="27"/>
      <c r="L705" s="27" t="str">
        <f t="shared" si="2"/>
        <v>S</v>
      </c>
      <c r="M705" s="27" t="str">
        <f>IFERROR(__xludf.DUMMYFUNCTION("GOOGLETRANSLATE(C705,""EN"",""KN"")"),"ಶಾಮ್")</f>
        <v>ಶಾಮ್</v>
      </c>
      <c r="N705" s="27">
        <f t="array" ref="N705">_xlfn.XLOOKUP(B705,'Sets Progress'!I:I,'Sets Progress'!I:I,"NOT YET")</f>
        <v>44</v>
      </c>
      <c r="O705" s="27" t="str">
        <f t="array" ref="O705">_xlfn.XLOOKUP(L:L,'Overall Progress'!L:L,'Overall Progress'!L:L,"NOT YET")</f>
        <v>NOT YET</v>
      </c>
      <c r="P705" s="27"/>
      <c r="Q705" s="27"/>
      <c r="R705" s="27"/>
      <c r="S705" s="27"/>
      <c r="T705" s="27"/>
      <c r="U705" s="27"/>
      <c r="V705" s="27"/>
      <c r="W705" s="27"/>
      <c r="X705" s="27"/>
      <c r="Y705" s="27"/>
      <c r="Z705" s="27"/>
    </row>
    <row r="706" hidden="1" customHeight="1" spans="1:26">
      <c r="A706" s="26">
        <v>1407</v>
      </c>
      <c r="B706" s="26">
        <v>44</v>
      </c>
      <c r="C706" s="26" t="s">
        <v>1738</v>
      </c>
      <c r="D706" s="26" t="s">
        <v>2716</v>
      </c>
      <c r="E706" s="26" t="s">
        <v>2908</v>
      </c>
      <c r="F706" s="26" t="str">
        <f t="shared" si="0"/>
        <v>Negative Traits Old English Origin</v>
      </c>
      <c r="G706" s="26">
        <f t="shared" si="1"/>
        <v>8</v>
      </c>
      <c r="H706" s="26" t="s">
        <v>3623</v>
      </c>
      <c r="I706" s="26"/>
      <c r="J706" s="26"/>
      <c r="K706" s="26"/>
      <c r="L706" s="26" t="str">
        <f t="shared" si="2"/>
        <v>T</v>
      </c>
      <c r="M706" s="26" t="str">
        <f>IFERROR(__xludf.DUMMYFUNCTION("GOOGLETRANSLATE(C706,""EN"",""KN"")"),"ಟಿಮೊರಸ್")</f>
        <v>ಟಿಮೊರಸ್</v>
      </c>
      <c r="N706" s="26">
        <f t="array" ref="N706">_xlfn.XLOOKUP(B706,'Sets Progress'!I:I,'Sets Progress'!I:I,"NOT YET")</f>
        <v>44</v>
      </c>
      <c r="O706" s="26" t="str">
        <f t="array" ref="O706">_xlfn.XLOOKUP(L:L,'Overall Progress'!L:L,'Overall Progress'!L:L,"NOT YET")</f>
        <v>NOT YET</v>
      </c>
      <c r="P706" s="26"/>
      <c r="Q706" s="26"/>
      <c r="R706" s="26"/>
      <c r="S706" s="26"/>
      <c r="T706" s="26"/>
      <c r="U706" s="26"/>
      <c r="V706" s="26"/>
      <c r="W706" s="26"/>
      <c r="X706" s="26"/>
      <c r="Y706" s="26"/>
      <c r="Z706" s="26"/>
    </row>
    <row r="707" hidden="1" customHeight="1" spans="1:26">
      <c r="A707" s="27">
        <v>1439</v>
      </c>
      <c r="B707" s="27">
        <v>44</v>
      </c>
      <c r="C707" s="27" t="s">
        <v>1767</v>
      </c>
      <c r="D707" s="27" t="s">
        <v>2716</v>
      </c>
      <c r="E707" s="27" t="s">
        <v>2908</v>
      </c>
      <c r="F707" s="27" t="str">
        <f t="shared" si="0"/>
        <v>Negative Traits Old English Origin</v>
      </c>
      <c r="G707" s="27">
        <f t="shared" si="1"/>
        <v>9</v>
      </c>
      <c r="H707" s="27" t="s">
        <v>3624</v>
      </c>
      <c r="I707" s="27"/>
      <c r="J707" s="27"/>
      <c r="K707" s="27"/>
      <c r="L707" s="27" t="str">
        <f t="shared" si="2"/>
        <v>U</v>
      </c>
      <c r="M707" s="27" t="str">
        <f>IFERROR(__xludf.DUMMYFUNCTION("GOOGLETRANSLATE(C707,""EN"",""KN"")"),"ಮಿಶ್ರರಹಿತ")</f>
        <v>ಮಿಶ್ರರಹಿತ</v>
      </c>
      <c r="N707" s="27">
        <f t="array" ref="N707">_xlfn.XLOOKUP(B707,'Sets Progress'!I:I,'Sets Progress'!I:I,"NOT YET")</f>
        <v>44</v>
      </c>
      <c r="O707" s="27" t="str">
        <f t="array" ref="O707">_xlfn.XLOOKUP(L:L,'Overall Progress'!L:L,'Overall Progress'!L:L,"NOT YET")</f>
        <v>NOT YET</v>
      </c>
      <c r="P707" s="27"/>
      <c r="Q707" s="27"/>
      <c r="R707" s="27"/>
      <c r="S707" s="27"/>
      <c r="T707" s="27"/>
      <c r="U707" s="27"/>
      <c r="V707" s="27"/>
      <c r="W707" s="27"/>
      <c r="X707" s="27"/>
      <c r="Y707" s="27"/>
      <c r="Z707" s="27"/>
    </row>
    <row r="708" hidden="1" customHeight="1" spans="1:26">
      <c r="A708" s="26">
        <v>1504</v>
      </c>
      <c r="B708" s="26">
        <v>44</v>
      </c>
      <c r="C708" s="26" t="s">
        <v>1832</v>
      </c>
      <c r="D708" s="26" t="s">
        <v>1721</v>
      </c>
      <c r="E708" s="26" t="s">
        <v>2889</v>
      </c>
      <c r="F708" s="26" t="str">
        <f t="shared" si="0"/>
        <v>Temporal Latin Origin</v>
      </c>
      <c r="G708" s="26">
        <f t="shared" si="1"/>
        <v>9</v>
      </c>
      <c r="H708" s="26" t="s">
        <v>3625</v>
      </c>
      <c r="I708" s="26"/>
      <c r="J708" s="26"/>
      <c r="K708" s="26"/>
      <c r="L708" s="26" t="str">
        <f t="shared" si="2"/>
        <v>V</v>
      </c>
      <c r="M708" s="26" t="str">
        <f>IFERROR(__xludf.DUMMYFUNCTION("GOOGLETRANSLATE(C708,""EN"",""KN"")"),"ವೆಸ್ಟಿಜಿಯಲ್")</f>
        <v>ವೆಸ್ಟಿಜಿಯಲ್</v>
      </c>
      <c r="N708" s="26">
        <f t="array" ref="N708">_xlfn.XLOOKUP(B708,'Sets Progress'!I:I,'Sets Progress'!I:I,"NOT YET")</f>
        <v>44</v>
      </c>
      <c r="O708" s="26" t="str">
        <f t="array" ref="O708">_xlfn.XLOOKUP(L:L,'Overall Progress'!L:L,'Overall Progress'!L:L,"NOT YET")</f>
        <v>NOT YET</v>
      </c>
      <c r="P708" s="26"/>
      <c r="Q708" s="26"/>
      <c r="R708" s="26"/>
      <c r="S708" s="26"/>
      <c r="T708" s="26"/>
      <c r="U708" s="26"/>
      <c r="V708" s="26"/>
      <c r="W708" s="26"/>
      <c r="X708" s="26"/>
      <c r="Y708" s="26"/>
      <c r="Z708" s="26"/>
    </row>
    <row r="709" hidden="1" customHeight="1" spans="1:26">
      <c r="A709" s="27">
        <v>58</v>
      </c>
      <c r="B709" s="27">
        <v>45</v>
      </c>
      <c r="C709" s="27" t="s">
        <v>411</v>
      </c>
      <c r="D709" s="27" t="s">
        <v>2717</v>
      </c>
      <c r="E709" s="27" t="s">
        <v>2889</v>
      </c>
      <c r="F709" s="27" t="str">
        <f t="shared" si="0"/>
        <v>Positive Traits Latin Origin</v>
      </c>
      <c r="G709" s="27">
        <f t="shared" si="1"/>
        <v>9</v>
      </c>
      <c r="H709" s="27" t="s">
        <v>3626</v>
      </c>
      <c r="I709" s="27"/>
      <c r="J709" s="27"/>
      <c r="K709" s="27"/>
      <c r="L709" s="27" t="str">
        <f t="shared" si="2"/>
        <v>A</v>
      </c>
      <c r="M709" s="27" t="str">
        <f>IFERROR(__xludf.DUMMYFUNCTION("GOOGLETRANSLATE(C709,""EN"",""KN"")"),"ನಿವಾರಿಸು")</f>
        <v>ನಿವಾರಿಸು</v>
      </c>
      <c r="N709" s="27" t="str">
        <f t="array" ref="N709">_xlfn.XLOOKUP(B709,'Sets Progress'!I:I,'Sets Progress'!I:I,"NOT YET")</f>
        <v>NOT YET</v>
      </c>
      <c r="O709" s="27" t="str">
        <f t="array" ref="O709">_xlfn.XLOOKUP(L:L,'Overall Progress'!L:L,'Overall Progress'!L:L,"NOT YET")</f>
        <v>NOT YET</v>
      </c>
      <c r="P709" s="27"/>
      <c r="Q709" s="27"/>
      <c r="R709" s="27"/>
      <c r="S709" s="27"/>
      <c r="T709" s="27"/>
      <c r="U709" s="27"/>
      <c r="V709" s="27"/>
      <c r="W709" s="27"/>
      <c r="X709" s="27"/>
      <c r="Y709" s="27"/>
      <c r="Z709" s="27"/>
    </row>
    <row r="710" hidden="1" customHeight="1" spans="1:26">
      <c r="A710" s="26">
        <v>77</v>
      </c>
      <c r="B710" s="26">
        <v>45</v>
      </c>
      <c r="C710" s="26" t="s">
        <v>429</v>
      </c>
      <c r="D710" s="26" t="s">
        <v>2946</v>
      </c>
      <c r="E710" s="26" t="s">
        <v>2889</v>
      </c>
      <c r="F710" s="26" t="str">
        <f t="shared" si="0"/>
        <v>Emotional Latin Origin</v>
      </c>
      <c r="G710" s="26">
        <f t="shared" si="1"/>
        <v>6</v>
      </c>
      <c r="H710" s="26" t="s">
        <v>3627</v>
      </c>
      <c r="I710" s="26"/>
      <c r="J710" s="26"/>
      <c r="K710" s="26"/>
      <c r="L710" s="26" t="str">
        <f t="shared" si="2"/>
        <v>A</v>
      </c>
      <c r="M710" s="26" t="str">
        <f>IFERROR(__xludf.DUMMYFUNCTION("GOOGLETRANSLATE(C710,""EN"",""KN"")"),"ಅನಿಮಸ್")</f>
        <v>ಅನಿಮಸ್</v>
      </c>
      <c r="N710" s="26" t="str">
        <f t="array" ref="N710">_xlfn.XLOOKUP(B710,'Sets Progress'!I:I,'Sets Progress'!I:I,"NOT YET")</f>
        <v>NOT YET</v>
      </c>
      <c r="O710" s="26" t="str">
        <f t="array" ref="O710">_xlfn.XLOOKUP(L:L,'Overall Progress'!L:L,'Overall Progress'!L:L,"NOT YET")</f>
        <v>NOT YET</v>
      </c>
      <c r="P710" s="26"/>
      <c r="Q710" s="26"/>
      <c r="R710" s="26"/>
      <c r="S710" s="26"/>
      <c r="T710" s="26"/>
      <c r="U710" s="26"/>
      <c r="V710" s="26"/>
      <c r="W710" s="26"/>
      <c r="X710" s="26"/>
      <c r="Y710" s="26"/>
      <c r="Z710" s="26"/>
    </row>
    <row r="711" hidden="1" customHeight="1" spans="1:26">
      <c r="A711" s="27">
        <v>80</v>
      </c>
      <c r="B711" s="27">
        <v>45</v>
      </c>
      <c r="C711" s="27" t="s">
        <v>68</v>
      </c>
      <c r="D711" s="27" t="s">
        <v>2928</v>
      </c>
      <c r="E711" s="27" t="s">
        <v>2893</v>
      </c>
      <c r="F711" s="27" t="str">
        <f t="shared" si="0"/>
        <v>Philosophical Greek Origin</v>
      </c>
      <c r="G711" s="27">
        <f t="shared" si="1"/>
        <v>7</v>
      </c>
      <c r="H711" s="27" t="s">
        <v>3628</v>
      </c>
      <c r="I711" s="27"/>
      <c r="J711" s="27"/>
      <c r="K711" s="27"/>
      <c r="L711" s="27" t="str">
        <f t="shared" si="2"/>
        <v>A</v>
      </c>
      <c r="M711" s="27" t="str">
        <f>IFERROR(__xludf.DUMMYFUNCTION("GOOGLETRANSLATE(C711,""EN"",""KN"")"),"ಅಸಂಗತತೆ")</f>
        <v>ಅಸಂಗತತೆ</v>
      </c>
      <c r="N711" s="27" t="str">
        <f t="array" ref="N711">_xlfn.XLOOKUP(B711,'Sets Progress'!I:I,'Sets Progress'!I:I,"NOT YET")</f>
        <v>NOT YET</v>
      </c>
      <c r="O711" s="27" t="str">
        <f t="array" ref="O711">_xlfn.XLOOKUP(L:L,'Overall Progress'!L:L,'Overall Progress'!L:L,"NOT YET")</f>
        <v>NOT YET</v>
      </c>
      <c r="P711" s="27"/>
      <c r="Q711" s="27"/>
      <c r="R711" s="27"/>
      <c r="S711" s="27"/>
      <c r="T711" s="27"/>
      <c r="U711" s="27"/>
      <c r="V711" s="27"/>
      <c r="W711" s="27"/>
      <c r="X711" s="27"/>
      <c r="Y711" s="27"/>
      <c r="Z711" s="27"/>
    </row>
    <row r="712" hidden="1" customHeight="1" spans="1:26">
      <c r="A712" s="26">
        <v>195</v>
      </c>
      <c r="B712" s="26">
        <v>45</v>
      </c>
      <c r="C712" s="26" t="s">
        <v>545</v>
      </c>
      <c r="D712" s="26" t="s">
        <v>2946</v>
      </c>
      <c r="E712" s="26" t="s">
        <v>2911</v>
      </c>
      <c r="F712" s="26" t="str">
        <f t="shared" si="0"/>
        <v>Emotional French Origin</v>
      </c>
      <c r="G712" s="26">
        <f t="shared" si="1"/>
        <v>6</v>
      </c>
      <c r="H712" s="26" t="s">
        <v>3310</v>
      </c>
      <c r="I712" s="26"/>
      <c r="J712" s="26" t="s">
        <v>3629</v>
      </c>
      <c r="K712" s="26"/>
      <c r="L712" s="26" t="str">
        <f t="shared" si="2"/>
        <v>C</v>
      </c>
      <c r="M712" s="26" t="str">
        <f>IFERROR(__xludf.DUMMYFUNCTION("GOOGLETRANSLATE(C712,""EN"",""KN"")"),"ಕಾಜೋಲ್")</f>
        <v>ಕಾಜೋಲ್</v>
      </c>
      <c r="N712" s="26" t="str">
        <f t="array" ref="N712">_xlfn.XLOOKUP(B712,'Sets Progress'!I:I,'Sets Progress'!I:I,"NOT YET")</f>
        <v>NOT YET</v>
      </c>
      <c r="O712" s="26" t="str">
        <f t="array" ref="O712">_xlfn.XLOOKUP(L:L,'Overall Progress'!L:L,'Overall Progress'!L:L,"NOT YET")</f>
        <v>NOT YET</v>
      </c>
      <c r="P712" s="26"/>
      <c r="Q712" s="26"/>
      <c r="R712" s="26"/>
      <c r="S712" s="26"/>
      <c r="T712" s="26"/>
      <c r="U712" s="26"/>
      <c r="V712" s="26"/>
      <c r="W712" s="26"/>
      <c r="X712" s="26"/>
      <c r="Y712" s="26"/>
      <c r="Z712" s="26"/>
    </row>
    <row r="713" hidden="1" customHeight="1" spans="1:26">
      <c r="A713" s="27">
        <v>312</v>
      </c>
      <c r="B713" s="27">
        <v>45</v>
      </c>
      <c r="C713" s="27" t="s">
        <v>663</v>
      </c>
      <c r="D713" s="27" t="s">
        <v>2892</v>
      </c>
      <c r="E713" s="27" t="s">
        <v>2889</v>
      </c>
      <c r="F713" s="27" t="str">
        <f t="shared" si="0"/>
        <v>Spatial Latin Origin</v>
      </c>
      <c r="G713" s="27">
        <f t="shared" si="1"/>
        <v>9</v>
      </c>
      <c r="H713" s="27" t="s">
        <v>3630</v>
      </c>
      <c r="I713" s="27"/>
      <c r="J713" s="27"/>
      <c r="K713" s="27"/>
      <c r="L713" s="27" t="str">
        <f t="shared" si="2"/>
        <v>C</v>
      </c>
      <c r="M713" s="27" t="str">
        <f>IFERROR(__xludf.DUMMYFUNCTION("GOOGLETRANSLATE(C713,""EN"",""KN"")"),"ಕಾರ್ಪೋರಿಯಲ್")</f>
        <v>ಕಾರ್ಪೋರಿಯಲ್</v>
      </c>
      <c r="N713" s="27" t="str">
        <f t="array" ref="N713">_xlfn.XLOOKUP(B713,'Sets Progress'!I:I,'Sets Progress'!I:I,"NOT YET")</f>
        <v>NOT YET</v>
      </c>
      <c r="O713" s="27" t="str">
        <f t="array" ref="O713">_xlfn.XLOOKUP(L:L,'Overall Progress'!L:L,'Overall Progress'!L:L,"NOT YET")</f>
        <v>NOT YET</v>
      </c>
      <c r="P713" s="27"/>
      <c r="Q713" s="27"/>
      <c r="R713" s="27"/>
      <c r="S713" s="27"/>
      <c r="T713" s="27"/>
      <c r="U713" s="27"/>
      <c r="V713" s="27"/>
      <c r="W713" s="27"/>
      <c r="X713" s="27"/>
      <c r="Y713" s="27"/>
      <c r="Z713" s="27"/>
    </row>
    <row r="714" hidden="1" customHeight="1" spans="1:26">
      <c r="A714" s="26">
        <v>411</v>
      </c>
      <c r="B714" s="26">
        <v>45</v>
      </c>
      <c r="C714" s="26" t="s">
        <v>760</v>
      </c>
      <c r="D714" s="26" t="s">
        <v>2946</v>
      </c>
      <c r="E714" s="26" t="s">
        <v>2896</v>
      </c>
      <c r="F714" s="26" t="str">
        <f t="shared" si="0"/>
        <v>Emotional Old French Origin</v>
      </c>
      <c r="G714" s="26">
        <f t="shared" si="1"/>
        <v>9</v>
      </c>
      <c r="H714" s="26" t="s">
        <v>3631</v>
      </c>
      <c r="I714" s="26"/>
      <c r="J714" s="26"/>
      <c r="K714" s="26"/>
      <c r="L714" s="26" t="str">
        <f t="shared" si="2"/>
        <v>D</v>
      </c>
      <c r="M714" s="26" t="str">
        <f>IFERROR(__xludf.DUMMYFUNCTION("GOOGLETRANSLATE(C714,""EN"",""KN"")"),"ಅಸ್ವಸ್ಥತೆ")</f>
        <v>ಅಸ್ವಸ್ಥತೆ</v>
      </c>
      <c r="N714" s="26" t="str">
        <f t="array" ref="N714">_xlfn.XLOOKUP(B714,'Sets Progress'!I:I,'Sets Progress'!I:I,"NOT YET")</f>
        <v>NOT YET</v>
      </c>
      <c r="O714" s="26" t="str">
        <f t="array" ref="O714">_xlfn.XLOOKUP(L:L,'Overall Progress'!L:L,'Overall Progress'!L:L,"NOT YET")</f>
        <v>NOT YET</v>
      </c>
      <c r="P714" s="26"/>
      <c r="Q714" s="26"/>
      <c r="R714" s="26"/>
      <c r="S714" s="26"/>
      <c r="T714" s="26"/>
      <c r="U714" s="26"/>
      <c r="V714" s="26"/>
      <c r="W714" s="26"/>
      <c r="X714" s="26"/>
      <c r="Y714" s="26"/>
      <c r="Z714" s="26"/>
    </row>
    <row r="715" hidden="1" customHeight="1" spans="1:26">
      <c r="A715" s="27">
        <v>429</v>
      </c>
      <c r="B715" s="27">
        <v>45</v>
      </c>
      <c r="C715" s="27" t="s">
        <v>778</v>
      </c>
      <c r="D715" s="27" t="s">
        <v>2892</v>
      </c>
      <c r="E715" s="27" t="s">
        <v>2889</v>
      </c>
      <c r="F715" s="27" t="str">
        <f t="shared" si="0"/>
        <v>Spatial Latin Origin</v>
      </c>
      <c r="G715" s="27">
        <f t="shared" si="1"/>
        <v>9</v>
      </c>
      <c r="H715" s="27" t="s">
        <v>3632</v>
      </c>
      <c r="I715" s="27"/>
      <c r="J715" s="27"/>
      <c r="K715" s="27"/>
      <c r="L715" s="27" t="str">
        <f t="shared" si="2"/>
        <v>D</v>
      </c>
      <c r="M715" s="27" t="str">
        <f>IFERROR(__xludf.DUMMYFUNCTION("GOOGLETRANSLATE(C715,""EN"",""KN"")"),"ದಿಗ್ಭ್ರಮೆಯುಳ್ಳ")</f>
        <v>ದಿಗ್ಭ್ರಮೆಯುಳ್ಳ</v>
      </c>
      <c r="N715" s="27" t="str">
        <f t="array" ref="N715">_xlfn.XLOOKUP(B715,'Sets Progress'!I:I,'Sets Progress'!I:I,"NOT YET")</f>
        <v>NOT YET</v>
      </c>
      <c r="O715" s="27" t="str">
        <f t="array" ref="O715">_xlfn.XLOOKUP(L:L,'Overall Progress'!L:L,'Overall Progress'!L:L,"NOT YET")</f>
        <v>NOT YET</v>
      </c>
      <c r="P715" s="27"/>
      <c r="Q715" s="27"/>
      <c r="R715" s="27"/>
      <c r="S715" s="27"/>
      <c r="T715" s="27"/>
      <c r="U715" s="27"/>
      <c r="V715" s="27"/>
      <c r="W715" s="27"/>
      <c r="X715" s="27"/>
      <c r="Y715" s="27"/>
      <c r="Z715" s="27"/>
    </row>
    <row r="716" hidden="1" customHeight="1" spans="1:26">
      <c r="A716" s="26">
        <v>527</v>
      </c>
      <c r="B716" s="26">
        <v>45</v>
      </c>
      <c r="C716" s="26" t="s">
        <v>874</v>
      </c>
      <c r="D716" s="26" t="s">
        <v>1721</v>
      </c>
      <c r="E716" s="26" t="s">
        <v>2889</v>
      </c>
      <c r="F716" s="26" t="str">
        <f t="shared" si="0"/>
        <v>Temporal Latin Origin</v>
      </c>
      <c r="G716" s="26">
        <f t="shared" si="1"/>
        <v>9</v>
      </c>
      <c r="H716" s="26" t="s">
        <v>3633</v>
      </c>
      <c r="I716" s="26"/>
      <c r="J716" s="26"/>
      <c r="K716" s="26"/>
      <c r="L716" s="26" t="str">
        <f t="shared" si="2"/>
        <v>E</v>
      </c>
      <c r="M716" s="26" t="str">
        <f>IFERROR(__xludf.DUMMYFUNCTION("GOOGLETRANSLATE(C716,""EN"",""KN"")"),"ನಿರ್ಮೂಲನೆ ಮಾಡಿ")</f>
        <v>ನಿರ್ಮೂಲನೆ ಮಾಡಿ</v>
      </c>
      <c r="N716" s="26" t="str">
        <f t="array" ref="N716">_xlfn.XLOOKUP(B716,'Sets Progress'!I:I,'Sets Progress'!I:I,"NOT YET")</f>
        <v>NOT YET</v>
      </c>
      <c r="O716" s="26" t="str">
        <f t="array" ref="O716">_xlfn.XLOOKUP(L:L,'Overall Progress'!L:L,'Overall Progress'!L:L,"NOT YET")</f>
        <v>NOT YET</v>
      </c>
      <c r="P716" s="26"/>
      <c r="Q716" s="26"/>
      <c r="R716" s="26"/>
      <c r="S716" s="26"/>
      <c r="T716" s="26"/>
      <c r="U716" s="26"/>
      <c r="V716" s="26"/>
      <c r="W716" s="26"/>
      <c r="X716" s="26"/>
      <c r="Y716" s="26"/>
      <c r="Z716" s="26"/>
    </row>
    <row r="717" hidden="1" customHeight="1" spans="1:26">
      <c r="A717" s="27">
        <v>600</v>
      </c>
      <c r="B717" s="27">
        <v>45</v>
      </c>
      <c r="C717" s="27" t="s">
        <v>944</v>
      </c>
      <c r="D717" s="27" t="s">
        <v>3003</v>
      </c>
      <c r="E717" s="27" t="s">
        <v>2889</v>
      </c>
      <c r="F717" s="27" t="str">
        <f t="shared" si="0"/>
        <v>Linguistic Latin Origin</v>
      </c>
      <c r="G717" s="27">
        <f t="shared" si="1"/>
        <v>10</v>
      </c>
      <c r="H717" s="27" t="s">
        <v>3634</v>
      </c>
      <c r="I717" s="27"/>
      <c r="J717" s="27"/>
      <c r="K717" s="27"/>
      <c r="L717" s="27" t="str">
        <f t="shared" si="2"/>
        <v>F</v>
      </c>
      <c r="M717" s="27" t="str">
        <f>IFERROR(__xludf.DUMMYFUNCTION("GOOGLETRANSLATE(C717,""EN"",""KN"")"),"ಸಾಂಕೇತಿಕ")</f>
        <v>ಸಾಂಕೇತಿಕ</v>
      </c>
      <c r="N717" s="27" t="str">
        <f t="array" ref="N717">_xlfn.XLOOKUP(B717,'Sets Progress'!I:I,'Sets Progress'!I:I,"NOT YET")</f>
        <v>NOT YET</v>
      </c>
      <c r="O717" s="27" t="str">
        <f t="array" ref="O717">_xlfn.XLOOKUP(L:L,'Overall Progress'!L:L,'Overall Progress'!L:L,"NOT YET")</f>
        <v>NOT YET</v>
      </c>
      <c r="P717" s="27"/>
      <c r="Q717" s="27"/>
      <c r="R717" s="27"/>
      <c r="S717" s="27"/>
      <c r="T717" s="27"/>
      <c r="U717" s="27"/>
      <c r="V717" s="27"/>
      <c r="W717" s="27"/>
      <c r="X717" s="27"/>
      <c r="Y717" s="27"/>
      <c r="Z717" s="27"/>
    </row>
    <row r="718" hidden="1" customHeight="1" spans="1:26">
      <c r="A718" s="26">
        <v>613</v>
      </c>
      <c r="B718" s="26">
        <v>45</v>
      </c>
      <c r="C718" s="26" t="s">
        <v>957</v>
      </c>
      <c r="D718" s="26" t="s">
        <v>2946</v>
      </c>
      <c r="E718" s="26" t="s">
        <v>2921</v>
      </c>
      <c r="F718" s="26" t="str">
        <f t="shared" si="0"/>
        <v>Emotional Unknown Origin</v>
      </c>
      <c r="G718" s="26">
        <f t="shared" si="1"/>
        <v>7</v>
      </c>
      <c r="H718" s="26" t="s">
        <v>3635</v>
      </c>
      <c r="I718" s="26"/>
      <c r="J718" s="26"/>
      <c r="K718" s="26"/>
      <c r="L718" s="26" t="str">
        <f t="shared" si="2"/>
        <v>F</v>
      </c>
      <c r="M718" s="26" t="str">
        <f>IFERROR(__xludf.DUMMYFUNCTION("GOOGLETRANSLATE(C718,""EN"",""KN"")"),"ಫ್ಲಸ್ಟರ್")</f>
        <v>ಫ್ಲಸ್ಟರ್</v>
      </c>
      <c r="N718" s="26" t="str">
        <f t="array" ref="N718">_xlfn.XLOOKUP(B718,'Sets Progress'!I:I,'Sets Progress'!I:I,"NOT YET")</f>
        <v>NOT YET</v>
      </c>
      <c r="O718" s="26" t="str">
        <f t="array" ref="O718">_xlfn.XLOOKUP(L:L,'Overall Progress'!L:L,'Overall Progress'!L:L,"NOT YET")</f>
        <v>NOT YET</v>
      </c>
      <c r="P718" s="26"/>
      <c r="Q718" s="26"/>
      <c r="R718" s="26"/>
      <c r="S718" s="26"/>
      <c r="T718" s="26"/>
      <c r="U718" s="26"/>
      <c r="V718" s="26"/>
      <c r="W718" s="26"/>
      <c r="X718" s="26"/>
      <c r="Y718" s="26"/>
      <c r="Z718" s="26"/>
    </row>
    <row r="719" customHeight="1" spans="1:26">
      <c r="A719" s="27">
        <v>618</v>
      </c>
      <c r="B719" s="27">
        <v>45</v>
      </c>
      <c r="C719" s="27" t="s">
        <v>962</v>
      </c>
      <c r="D719" s="27" t="s">
        <v>1721</v>
      </c>
      <c r="E719" s="27" t="s">
        <v>2908</v>
      </c>
      <c r="F719" s="27" t="str">
        <f t="shared" si="0"/>
        <v>Temporal Old English Origin</v>
      </c>
      <c r="G719" s="27">
        <f t="shared" si="1"/>
        <v>7</v>
      </c>
      <c r="H719" s="27"/>
      <c r="I719" s="27"/>
      <c r="J719" s="27"/>
      <c r="K719" s="27"/>
      <c r="L719" s="27" t="str">
        <f t="shared" si="2"/>
        <v>F</v>
      </c>
      <c r="M719" s="27" t="str">
        <f>IFERROR(__xludf.DUMMYFUNCTION("GOOGLETRANSLATE(C719,""EN"",""KN"")"),"ಸಹಿಸಿಕೊಳ್ಳಿ")</f>
        <v>ಸಹಿಸಿಕೊಳ್ಳಿ</v>
      </c>
      <c r="N719" s="27" t="str">
        <f t="array" ref="N719">_xlfn.XLOOKUP(B719,'Sets Progress'!I:I,'Sets Progress'!I:I,"NOT YET")</f>
        <v>NOT YET</v>
      </c>
      <c r="O719" s="27" t="str">
        <f t="array" ref="O719">_xlfn.XLOOKUP(L:L,'Overall Progress'!L:L,'Overall Progress'!L:L,"NOT YET")</f>
        <v>NOT YET</v>
      </c>
      <c r="P719" s="27"/>
      <c r="Q719" s="27"/>
      <c r="R719" s="27"/>
      <c r="S719" s="27"/>
      <c r="T719" s="27"/>
      <c r="U719" s="27"/>
      <c r="V719" s="27"/>
      <c r="W719" s="27"/>
      <c r="X719" s="27"/>
      <c r="Y719" s="27"/>
      <c r="Z719" s="27"/>
    </row>
    <row r="720" hidden="1" customHeight="1" spans="1:26">
      <c r="A720" s="26">
        <v>653</v>
      </c>
      <c r="B720" s="26">
        <v>45</v>
      </c>
      <c r="C720" s="26" t="s">
        <v>996</v>
      </c>
      <c r="D720" s="26" t="s">
        <v>2946</v>
      </c>
      <c r="E720" s="26" t="s">
        <v>2921</v>
      </c>
      <c r="F720" s="26" t="str">
        <f t="shared" si="0"/>
        <v>Emotional Unknown Origin</v>
      </c>
      <c r="G720" s="26">
        <f t="shared" si="1"/>
        <v>7</v>
      </c>
      <c r="H720" s="26" t="s">
        <v>3636</v>
      </c>
      <c r="I720" s="26"/>
      <c r="J720" s="26"/>
      <c r="K720" s="26"/>
      <c r="L720" s="26" t="str">
        <f t="shared" si="2"/>
        <v>G</v>
      </c>
      <c r="M720" s="26" t="str">
        <f>IFERROR(__xludf.DUMMYFUNCTION("GOOGLETRANSLATE(C720,""EN"",""KN"")"),"ಗಿಡ್ಡಿಲಿ")</f>
        <v>ಗಿಡ್ಡಿಲಿ</v>
      </c>
      <c r="N720" s="26" t="str">
        <f t="array" ref="N720">_xlfn.XLOOKUP(B720,'Sets Progress'!I:I,'Sets Progress'!I:I,"NOT YET")</f>
        <v>NOT YET</v>
      </c>
      <c r="O720" s="26" t="str">
        <f t="array" ref="O720">_xlfn.XLOOKUP(L:L,'Overall Progress'!L:L,'Overall Progress'!L:L,"NOT YET")</f>
        <v>NOT YET</v>
      </c>
      <c r="P720" s="26"/>
      <c r="Q720" s="26"/>
      <c r="R720" s="26"/>
      <c r="S720" s="26"/>
      <c r="T720" s="26"/>
      <c r="U720" s="26"/>
      <c r="V720" s="26"/>
      <c r="W720" s="26"/>
      <c r="X720" s="26"/>
      <c r="Y720" s="26"/>
      <c r="Z720" s="26"/>
    </row>
    <row r="721" customHeight="1" spans="1:26">
      <c r="A721" s="27">
        <v>707</v>
      </c>
      <c r="B721" s="27">
        <v>45</v>
      </c>
      <c r="C721" s="27" t="s">
        <v>1049</v>
      </c>
      <c r="D721" s="27" t="s">
        <v>1721</v>
      </c>
      <c r="E721" s="27" t="s">
        <v>2889</v>
      </c>
      <c r="F721" s="27" t="str">
        <f t="shared" si="0"/>
        <v>Temporal Latin Origin</v>
      </c>
      <c r="G721" s="27">
        <f t="shared" si="1"/>
        <v>10</v>
      </c>
      <c r="H721" s="27"/>
      <c r="I721" s="27"/>
      <c r="J721" s="27"/>
      <c r="K721" s="27"/>
      <c r="L721" s="27" t="str">
        <f t="shared" si="2"/>
        <v>I</v>
      </c>
      <c r="M721" s="27" t="str">
        <f>IFERROR(__xludf.DUMMYFUNCTION("GOOGLETRANSLATE(C721,""EN"",""KN"")"),"ಬೆಳಗು")</f>
        <v>ಬೆಳಗು</v>
      </c>
      <c r="N721" s="27" t="str">
        <f t="array" ref="N721">_xlfn.XLOOKUP(B721,'Sets Progress'!I:I,'Sets Progress'!I:I,"NOT YET")</f>
        <v>NOT YET</v>
      </c>
      <c r="O721" s="27" t="str">
        <f t="array" ref="O721">_xlfn.XLOOKUP(L:L,'Overall Progress'!L:L,'Overall Progress'!L:L,"NOT YET")</f>
        <v>NOT YET</v>
      </c>
      <c r="P721" s="27"/>
      <c r="Q721" s="27"/>
      <c r="R721" s="27"/>
      <c r="S721" s="27"/>
      <c r="T721" s="27"/>
      <c r="U721" s="27"/>
      <c r="V721" s="27"/>
      <c r="W721" s="27"/>
      <c r="X721" s="27"/>
      <c r="Y721" s="27"/>
      <c r="Z721" s="27"/>
    </row>
    <row r="722" customHeight="1" spans="1:26">
      <c r="A722" s="26">
        <v>789</v>
      </c>
      <c r="B722" s="26">
        <v>45</v>
      </c>
      <c r="C722" s="26" t="s">
        <v>1130</v>
      </c>
      <c r="D722" s="26" t="s">
        <v>1721</v>
      </c>
      <c r="E722" s="26" t="s">
        <v>2889</v>
      </c>
      <c r="F722" s="26" t="str">
        <f t="shared" si="0"/>
        <v>Temporal Latin Origin</v>
      </c>
      <c r="G722" s="26">
        <f t="shared" si="1"/>
        <v>11</v>
      </c>
      <c r="H722" s="26"/>
      <c r="I722" s="26"/>
      <c r="J722" s="26"/>
      <c r="K722" s="26"/>
      <c r="L722" s="26" t="str">
        <f t="shared" si="2"/>
        <v>I</v>
      </c>
      <c r="M722" s="26" t="str">
        <f>IFERROR(__xludf.DUMMYFUNCTION("GOOGLETRANSLATE(C722,""EN"",""KN"")"),"ವಿವೇಚನಾರಹಿತ")</f>
        <v>ವಿವೇಚನಾರಹಿತ</v>
      </c>
      <c r="N722" s="26" t="str">
        <f t="array" ref="N722">_xlfn.XLOOKUP(B722,'Sets Progress'!I:I,'Sets Progress'!I:I,"NOT YET")</f>
        <v>NOT YET</v>
      </c>
      <c r="O722" s="26" t="str">
        <f t="array" ref="O722">_xlfn.XLOOKUP(L:L,'Overall Progress'!L:L,'Overall Progress'!L:L,"NOT YET")</f>
        <v>NOT YET</v>
      </c>
      <c r="P722" s="26"/>
      <c r="Q722" s="26"/>
      <c r="R722" s="26"/>
      <c r="S722" s="26"/>
      <c r="T722" s="26"/>
      <c r="U722" s="26"/>
      <c r="V722" s="26"/>
      <c r="W722" s="26"/>
      <c r="X722" s="26"/>
      <c r="Y722" s="26"/>
      <c r="Z722" s="26"/>
    </row>
    <row r="723" hidden="1" customHeight="1" spans="1:26">
      <c r="A723" s="27">
        <v>1082</v>
      </c>
      <c r="B723" s="27">
        <v>45</v>
      </c>
      <c r="C723" s="27" t="s">
        <v>1417</v>
      </c>
      <c r="D723" s="27" t="s">
        <v>1721</v>
      </c>
      <c r="E723" s="27" t="s">
        <v>2893</v>
      </c>
      <c r="F723" s="27" t="str">
        <f t="shared" si="0"/>
        <v>Temporal Greek Origin</v>
      </c>
      <c r="G723" s="27">
        <f t="shared" si="1"/>
        <v>9</v>
      </c>
      <c r="H723" s="27" t="s">
        <v>3637</v>
      </c>
      <c r="I723" s="27"/>
      <c r="J723" s="27"/>
      <c r="K723" s="27"/>
      <c r="L723" s="27" t="str">
        <f t="shared" si="2"/>
        <v>P</v>
      </c>
      <c r="M723" s="27" t="str">
        <f>IFERROR(__xludf.DUMMYFUNCTION("GOOGLETRANSLATE(C723,""EN"",""KN"")"),"ವಿವಾದಾತ್ಮಕ")</f>
        <v>ವಿವಾದಾತ್ಮಕ</v>
      </c>
      <c r="N723" s="27" t="str">
        <f t="array" ref="N723">_xlfn.XLOOKUP(B723,'Sets Progress'!I:I,'Sets Progress'!I:I,"NOT YET")</f>
        <v>NOT YET</v>
      </c>
      <c r="O723" s="27" t="str">
        <f t="array" ref="O723">_xlfn.XLOOKUP(L:L,'Overall Progress'!L:L,'Overall Progress'!L:L,"NOT YET")</f>
        <v>NOT YET</v>
      </c>
      <c r="P723" s="27"/>
      <c r="Q723" s="27"/>
      <c r="R723" s="27"/>
      <c r="S723" s="27"/>
      <c r="T723" s="27"/>
      <c r="U723" s="27"/>
      <c r="V723" s="27"/>
      <c r="W723" s="27"/>
      <c r="X723" s="27"/>
      <c r="Y723" s="27"/>
      <c r="Z723" s="27"/>
    </row>
    <row r="724" hidden="1" customHeight="1" spans="1:26">
      <c r="A724" s="26">
        <v>1121</v>
      </c>
      <c r="B724" s="26">
        <v>45</v>
      </c>
      <c r="C724" s="26" t="s">
        <v>1454</v>
      </c>
      <c r="D724" s="26" t="s">
        <v>2717</v>
      </c>
      <c r="E724" s="26" t="s">
        <v>2889</v>
      </c>
      <c r="F724" s="26" t="str">
        <f t="shared" si="0"/>
        <v>Positive Traits Latin Origin</v>
      </c>
      <c r="G724" s="26">
        <f t="shared" si="1"/>
        <v>10</v>
      </c>
      <c r="H724" s="26" t="s">
        <v>3638</v>
      </c>
      <c r="I724" s="26"/>
      <c r="J724" s="26"/>
      <c r="K724" s="26"/>
      <c r="L724" s="26" t="str">
        <f t="shared" si="2"/>
        <v>P</v>
      </c>
      <c r="M724" s="26" t="str">
        <f>IFERROR(__xludf.DUMMYFUNCTION("GOOGLETRANSLATE(C724,""EN"",""KN"")"),"ಅದ್ಭುತ")</f>
        <v>ಅದ್ಭುತ</v>
      </c>
      <c r="N724" s="26" t="str">
        <f t="array" ref="N724">_xlfn.XLOOKUP(B724,'Sets Progress'!I:I,'Sets Progress'!I:I,"NOT YET")</f>
        <v>NOT YET</v>
      </c>
      <c r="O724" s="26" t="str">
        <f t="array" ref="O724">_xlfn.XLOOKUP(L:L,'Overall Progress'!L:L,'Overall Progress'!L:L,"NOT YET")</f>
        <v>NOT YET</v>
      </c>
      <c r="P724" s="26"/>
      <c r="Q724" s="26"/>
      <c r="R724" s="26"/>
      <c r="S724" s="26"/>
      <c r="T724" s="26"/>
      <c r="U724" s="26"/>
      <c r="V724" s="26"/>
      <c r="W724" s="26"/>
      <c r="X724" s="26"/>
      <c r="Y724" s="26"/>
      <c r="Z724" s="26"/>
    </row>
    <row r="725" hidden="1" customHeight="1" spans="1:26">
      <c r="A725" s="27">
        <v>1228</v>
      </c>
      <c r="B725" s="27">
        <v>45</v>
      </c>
      <c r="C725" s="27" t="s">
        <v>1559</v>
      </c>
      <c r="D725" s="27" t="s">
        <v>2716</v>
      </c>
      <c r="E725" s="27" t="s">
        <v>2889</v>
      </c>
      <c r="F725" s="27" t="str">
        <f t="shared" si="0"/>
        <v>Negative Traits Latin Origin</v>
      </c>
      <c r="G725" s="27">
        <f t="shared" si="1"/>
        <v>8</v>
      </c>
      <c r="H725" s="27" t="s">
        <v>3639</v>
      </c>
      <c r="I725" s="27"/>
      <c r="J725" s="27"/>
      <c r="K725" s="27"/>
      <c r="L725" s="27" t="str">
        <f t="shared" si="2"/>
        <v>R</v>
      </c>
      <c r="M725" s="27" t="str">
        <f>IFERROR(__xludf.DUMMYFUNCTION("GOOGLETRANSLATE(C725,""EN"",""KN"")"),"ನಿವೃತ್ತರಾಗುತ್ತಿದ್ದಾರೆ")</f>
        <v>ನಿವೃತ್ತರಾಗುತ್ತಿದ್ದಾರೆ</v>
      </c>
      <c r="N725" s="27" t="str">
        <f t="array" ref="N725">_xlfn.XLOOKUP(B725,'Sets Progress'!I:I,'Sets Progress'!I:I,"NOT YET")</f>
        <v>NOT YET</v>
      </c>
      <c r="O725" s="27" t="str">
        <f t="array" ref="O725">_xlfn.XLOOKUP(L:L,'Overall Progress'!L:L,'Overall Progress'!L:L,"NOT YET")</f>
        <v>NOT YET</v>
      </c>
      <c r="P725" s="27"/>
      <c r="Q725" s="27"/>
      <c r="R725" s="27"/>
      <c r="S725" s="27"/>
      <c r="T725" s="27"/>
      <c r="U725" s="27"/>
      <c r="V725" s="27"/>
      <c r="W725" s="27"/>
      <c r="X725" s="27"/>
      <c r="Y725" s="27"/>
      <c r="Z725" s="27"/>
    </row>
    <row r="726" hidden="1" customHeight="1" spans="1:26">
      <c r="A726" s="26">
        <v>1307</v>
      </c>
      <c r="B726" s="26">
        <v>45</v>
      </c>
      <c r="C726" s="26" t="s">
        <v>1638</v>
      </c>
      <c r="D726" s="26" t="s">
        <v>2717</v>
      </c>
      <c r="E726" s="26" t="s">
        <v>2908</v>
      </c>
      <c r="F726" s="26" t="str">
        <f t="shared" si="0"/>
        <v>Positive Traits Old English Origin</v>
      </c>
      <c r="G726" s="26">
        <f t="shared" si="1"/>
        <v>5</v>
      </c>
      <c r="H726" s="26" t="s">
        <v>3640</v>
      </c>
      <c r="I726" s="26"/>
      <c r="J726" s="26"/>
      <c r="K726" s="26"/>
      <c r="L726" s="26" t="str">
        <f t="shared" si="2"/>
        <v>S</v>
      </c>
      <c r="M726" s="26" t="str">
        <f>IFERROR(__xludf.DUMMYFUNCTION("GOOGLETRANSLATE(C726,""EN"",""KN"")"),"ಧ್ವನಿ")</f>
        <v>ಧ್ವನಿ</v>
      </c>
      <c r="N726" s="26" t="str">
        <f t="array" ref="N726">_xlfn.XLOOKUP(B726,'Sets Progress'!I:I,'Sets Progress'!I:I,"NOT YET")</f>
        <v>NOT YET</v>
      </c>
      <c r="O726" s="26" t="str">
        <f t="array" ref="O726">_xlfn.XLOOKUP(L:L,'Overall Progress'!L:L,'Overall Progress'!L:L,"NOT YET")</f>
        <v>NOT YET</v>
      </c>
      <c r="P726" s="26"/>
      <c r="Q726" s="26"/>
      <c r="R726" s="26"/>
      <c r="S726" s="26"/>
      <c r="T726" s="26"/>
      <c r="U726" s="26"/>
      <c r="V726" s="26"/>
      <c r="W726" s="26"/>
      <c r="X726" s="26"/>
      <c r="Y726" s="26"/>
      <c r="Z726" s="26"/>
    </row>
    <row r="727" customHeight="1" spans="1:26">
      <c r="A727" s="27">
        <v>1319</v>
      </c>
      <c r="B727" s="27">
        <v>45</v>
      </c>
      <c r="C727" s="27" t="s">
        <v>1650</v>
      </c>
      <c r="D727" s="27" t="s">
        <v>2716</v>
      </c>
      <c r="E727" s="27" t="s">
        <v>2969</v>
      </c>
      <c r="F727" s="27" t="str">
        <f t="shared" si="0"/>
        <v>Negative Traits Old Norse Origin</v>
      </c>
      <c r="G727" s="27">
        <f t="shared" si="1"/>
        <v>5</v>
      </c>
      <c r="H727" s="27"/>
      <c r="I727" s="27"/>
      <c r="J727" s="27"/>
      <c r="K727" s="27"/>
      <c r="L727" s="27" t="str">
        <f t="shared" si="2"/>
        <v>S</v>
      </c>
      <c r="M727" s="27" t="str">
        <f>IFERROR(__xludf.DUMMYFUNCTION("GOOGLETRANSLATE(C727,""EN"",""KN"")"),"ಸ್ಟೇಡ್")</f>
        <v>ಸ್ಟೇಡ್</v>
      </c>
      <c r="N727" s="27" t="str">
        <f t="array" ref="N727">_xlfn.XLOOKUP(B727,'Sets Progress'!I:I,'Sets Progress'!I:I,"NOT YET")</f>
        <v>NOT YET</v>
      </c>
      <c r="O727" s="27" t="str">
        <f t="array" ref="O727">_xlfn.XLOOKUP(L:L,'Overall Progress'!L:L,'Overall Progress'!L:L,"NOT YET")</f>
        <v>NOT YET</v>
      </c>
      <c r="P727" s="27"/>
      <c r="Q727" s="27"/>
      <c r="R727" s="27"/>
      <c r="S727" s="27"/>
      <c r="T727" s="27"/>
      <c r="U727" s="27"/>
      <c r="V727" s="27"/>
      <c r="W727" s="27"/>
      <c r="X727" s="27"/>
      <c r="Y727" s="27"/>
      <c r="Z727" s="27"/>
    </row>
    <row r="728" hidden="1" customHeight="1" spans="1:26">
      <c r="A728" s="26">
        <v>1329</v>
      </c>
      <c r="B728" s="26">
        <v>45</v>
      </c>
      <c r="C728" s="26" t="s">
        <v>1660</v>
      </c>
      <c r="D728" s="26" t="s">
        <v>2716</v>
      </c>
      <c r="E728" s="26" t="s">
        <v>2921</v>
      </c>
      <c r="F728" s="26" t="str">
        <f t="shared" si="0"/>
        <v>Negative Traits Unknown Origin</v>
      </c>
      <c r="G728" s="26">
        <f t="shared" si="1"/>
        <v>6</v>
      </c>
      <c r="H728" s="26" t="s">
        <v>3641</v>
      </c>
      <c r="I728" s="26"/>
      <c r="J728" s="26"/>
      <c r="K728" s="26"/>
      <c r="L728" s="26" t="str">
        <f t="shared" si="2"/>
        <v>S</v>
      </c>
      <c r="M728" s="26" t="str">
        <f>IFERROR(__xludf.DUMMYFUNCTION("GOOGLETRANSLATE(C728,""EN"",""KN"")"),"ಜಿಪುಣ")</f>
        <v>ಜಿಪುಣ</v>
      </c>
      <c r="N728" s="26" t="str">
        <f t="array" ref="N728">_xlfn.XLOOKUP(B728,'Sets Progress'!I:I,'Sets Progress'!I:I,"NOT YET")</f>
        <v>NOT YET</v>
      </c>
      <c r="O728" s="26" t="str">
        <f t="array" ref="O728">_xlfn.XLOOKUP(L:L,'Overall Progress'!L:L,'Overall Progress'!L:L,"NOT YET")</f>
        <v>NOT YET</v>
      </c>
      <c r="P728" s="26"/>
      <c r="Q728" s="26"/>
      <c r="R728" s="26"/>
      <c r="S728" s="26"/>
      <c r="T728" s="26"/>
      <c r="U728" s="26"/>
      <c r="V728" s="26"/>
      <c r="W728" s="26"/>
      <c r="X728" s="26"/>
      <c r="Y728" s="26"/>
      <c r="Z728" s="26"/>
    </row>
    <row r="729" hidden="1" customHeight="1" spans="1:26">
      <c r="A729" s="27">
        <v>1343</v>
      </c>
      <c r="B729" s="27">
        <v>45</v>
      </c>
      <c r="C729" s="27" t="s">
        <v>1674</v>
      </c>
      <c r="D729" s="27" t="s">
        <v>1721</v>
      </c>
      <c r="E729" s="27" t="s">
        <v>2889</v>
      </c>
      <c r="F729" s="27" t="str">
        <f t="shared" si="0"/>
        <v>Temporal Latin Origin</v>
      </c>
      <c r="G729" s="27">
        <f t="shared" si="1"/>
        <v>11</v>
      </c>
      <c r="H729" s="27" t="s">
        <v>3642</v>
      </c>
      <c r="I729" s="27"/>
      <c r="J729" s="27"/>
      <c r="K729" s="27"/>
      <c r="L729" s="27" t="str">
        <f t="shared" si="2"/>
        <v>S</v>
      </c>
      <c r="M729" s="27" t="str">
        <f>IFERROR(__xludf.DUMMYFUNCTION("GOOGLETRANSLATE(C729,""EN"",""KN"")"),"ಸಬ್ಸ್ಟಾಂಟಿವ್")</f>
        <v>ಸಬ್ಸ್ಟಾಂಟಿವ್</v>
      </c>
      <c r="N729" s="27" t="str">
        <f t="array" ref="N729">_xlfn.XLOOKUP(B729,'Sets Progress'!I:I,'Sets Progress'!I:I,"NOT YET")</f>
        <v>NOT YET</v>
      </c>
      <c r="O729" s="27" t="str">
        <f t="array" ref="O729">_xlfn.XLOOKUP(L:L,'Overall Progress'!L:L,'Overall Progress'!L:L,"NOT YET")</f>
        <v>NOT YET</v>
      </c>
      <c r="P729" s="27"/>
      <c r="Q729" s="27"/>
      <c r="R729" s="27"/>
      <c r="S729" s="27"/>
      <c r="T729" s="27"/>
      <c r="U729" s="27"/>
      <c r="V729" s="27"/>
      <c r="W729" s="27"/>
      <c r="X729" s="27"/>
      <c r="Y729" s="27"/>
      <c r="Z729" s="27"/>
    </row>
    <row r="730" hidden="1" customHeight="1" spans="1:26">
      <c r="A730" s="26">
        <v>15</v>
      </c>
      <c r="B730" s="26">
        <v>46</v>
      </c>
      <c r="C730" s="26" t="s">
        <v>381</v>
      </c>
      <c r="D730" s="26" t="s">
        <v>1721</v>
      </c>
      <c r="E730" s="26" t="s">
        <v>2889</v>
      </c>
      <c r="F730" s="26" t="str">
        <f t="shared" si="0"/>
        <v>Temporal Latin Origin</v>
      </c>
      <c r="G730" s="26">
        <f t="shared" si="1"/>
        <v>7</v>
      </c>
      <c r="H730" s="26" t="s">
        <v>3643</v>
      </c>
      <c r="I730" s="26"/>
      <c r="J730" s="26"/>
      <c r="K730" s="26"/>
      <c r="L730" s="26" t="str">
        <f t="shared" si="2"/>
        <v>A</v>
      </c>
      <c r="M730" s="26" t="str">
        <f>IFERROR(__xludf.DUMMYFUNCTION("GOOGLETRANSLATE(C730,""EN"",""KN"")"),"ಪರಾರಿ")</f>
        <v>ಪರಾರಿ</v>
      </c>
      <c r="N730" s="26" t="str">
        <f t="array" ref="N730">_xlfn.XLOOKUP(B730,'Sets Progress'!I:I,'Sets Progress'!I:I,"NOT YET")</f>
        <v>NOT YET</v>
      </c>
      <c r="O730" s="26" t="str">
        <f t="array" ref="O730">_xlfn.XLOOKUP(L:L,'Overall Progress'!L:L,'Overall Progress'!L:L,"NOT YET")</f>
        <v>NOT YET</v>
      </c>
      <c r="P730" s="26"/>
      <c r="Q730" s="26"/>
      <c r="R730" s="26"/>
      <c r="S730" s="26"/>
      <c r="T730" s="26"/>
      <c r="U730" s="26"/>
      <c r="V730" s="26"/>
      <c r="W730" s="26"/>
      <c r="X730" s="26"/>
      <c r="Y730" s="26"/>
      <c r="Z730" s="26"/>
    </row>
    <row r="731" hidden="1" customHeight="1" spans="1:26">
      <c r="A731" s="27">
        <v>95</v>
      </c>
      <c r="B731" s="27">
        <v>46</v>
      </c>
      <c r="C731" s="27" t="s">
        <v>446</v>
      </c>
      <c r="D731" s="27" t="s">
        <v>1721</v>
      </c>
      <c r="E731" s="27" t="s">
        <v>2911</v>
      </c>
      <c r="F731" s="27" t="str">
        <f t="shared" si="0"/>
        <v>Temporal French Origin</v>
      </c>
      <c r="G731" s="27">
        <f t="shared" si="1"/>
        <v>7</v>
      </c>
      <c r="H731" s="27" t="s">
        <v>3644</v>
      </c>
      <c r="I731" s="27"/>
      <c r="J731" s="27"/>
      <c r="K731" s="27"/>
      <c r="L731" s="27" t="str">
        <f t="shared" si="2"/>
        <v>A</v>
      </c>
      <c r="M731" s="27" t="str">
        <f>IFERROR(__xludf.DUMMYFUNCTION("GOOGLETRANSLATE(C731,""EN"",""KN"")"),"ತಿಳಿಸು")</f>
        <v>ತಿಳಿಸು</v>
      </c>
      <c r="N731" s="27" t="str">
        <f t="array" ref="N731">_xlfn.XLOOKUP(B731,'Sets Progress'!I:I,'Sets Progress'!I:I,"NOT YET")</f>
        <v>NOT YET</v>
      </c>
      <c r="O731" s="27" t="str">
        <f t="array" ref="O731">_xlfn.XLOOKUP(L:L,'Overall Progress'!L:L,'Overall Progress'!L:L,"NOT YET")</f>
        <v>NOT YET</v>
      </c>
      <c r="P731" s="27"/>
      <c r="Q731" s="27"/>
      <c r="R731" s="27"/>
      <c r="S731" s="27"/>
      <c r="T731" s="27"/>
      <c r="U731" s="27"/>
      <c r="V731" s="27"/>
      <c r="W731" s="27"/>
      <c r="X731" s="27"/>
      <c r="Y731" s="27"/>
      <c r="Z731" s="27"/>
    </row>
    <row r="732" hidden="1" customHeight="1" spans="1:26">
      <c r="A732" s="26">
        <v>205</v>
      </c>
      <c r="B732" s="26">
        <v>46</v>
      </c>
      <c r="C732" s="26" t="s">
        <v>555</v>
      </c>
      <c r="D732" s="26" t="s">
        <v>3234</v>
      </c>
      <c r="E732" s="26" t="s">
        <v>2889</v>
      </c>
      <c r="F732" s="26" t="str">
        <f t="shared" si="0"/>
        <v>Religious Latin Origin</v>
      </c>
      <c r="G732" s="26">
        <f t="shared" si="1"/>
        <v>8</v>
      </c>
      <c r="H732" s="26" t="s">
        <v>3645</v>
      </c>
      <c r="I732" s="26"/>
      <c r="J732" s="26"/>
      <c r="K732" s="26"/>
      <c r="L732" s="26" t="str">
        <f t="shared" si="2"/>
        <v>C</v>
      </c>
      <c r="M732" s="26" t="str">
        <f>IFERROR(__xludf.DUMMYFUNCTION("GOOGLETRANSLATE(C732,""EN"",""KN"")"),"ಕ್ಯಾನೊನೈಸ್ ಮಾಡಿ")</f>
        <v>ಕ್ಯಾನೊನೈಸ್ ಮಾಡಿ</v>
      </c>
      <c r="N732" s="26" t="str">
        <f t="array" ref="N732">_xlfn.XLOOKUP(B732,'Sets Progress'!I:I,'Sets Progress'!I:I,"NOT YET")</f>
        <v>NOT YET</v>
      </c>
      <c r="O732" s="26" t="str">
        <f t="array" ref="O732">_xlfn.XLOOKUP(L:L,'Overall Progress'!L:L,'Overall Progress'!L:L,"NOT YET")</f>
        <v>NOT YET</v>
      </c>
      <c r="P732" s="26"/>
      <c r="Q732" s="26"/>
      <c r="R732" s="26"/>
      <c r="S732" s="26"/>
      <c r="T732" s="26"/>
      <c r="U732" s="26"/>
      <c r="V732" s="26"/>
      <c r="W732" s="26"/>
      <c r="X732" s="26"/>
      <c r="Y732" s="26"/>
      <c r="Z732" s="26"/>
    </row>
    <row r="733" hidden="1" customHeight="1" spans="1:26">
      <c r="A733" s="27">
        <v>240</v>
      </c>
      <c r="B733" s="27">
        <v>46</v>
      </c>
      <c r="C733" s="27" t="s">
        <v>591</v>
      </c>
      <c r="D733" s="27" t="s">
        <v>3022</v>
      </c>
      <c r="E733" s="27" t="s">
        <v>2908</v>
      </c>
      <c r="F733" s="27" t="str">
        <f t="shared" si="0"/>
        <v>Intellectual Old English Origin</v>
      </c>
      <c r="G733" s="27">
        <f t="shared" si="1"/>
        <v>11</v>
      </c>
      <c r="H733" s="27" t="s">
        <v>3646</v>
      </c>
      <c r="I733" s="27"/>
      <c r="J733" s="27"/>
      <c r="K733" s="27"/>
      <c r="L733" s="27" t="str">
        <f t="shared" si="2"/>
        <v>C</v>
      </c>
      <c r="M733" s="27" t="str">
        <f>IFERROR(__xludf.DUMMYFUNCTION("GOOGLETRANSLATE(C733,""EN"",""KN"")"),"ತೆರವುಗೊಳಿಸಲಾಗಿದೆ")</f>
        <v>ತೆರವುಗೊಳಿಸಲಾಗಿದೆ</v>
      </c>
      <c r="N733" s="27" t="str">
        <f t="array" ref="N733">_xlfn.XLOOKUP(B733,'Sets Progress'!I:I,'Sets Progress'!I:I,"NOT YET")</f>
        <v>NOT YET</v>
      </c>
      <c r="O733" s="27" t="str">
        <f t="array" ref="O733">_xlfn.XLOOKUP(L:L,'Overall Progress'!L:L,'Overall Progress'!L:L,"NOT YET")</f>
        <v>NOT YET</v>
      </c>
      <c r="P733" s="27"/>
      <c r="Q733" s="27"/>
      <c r="R733" s="27"/>
      <c r="S733" s="27"/>
      <c r="T733" s="27"/>
      <c r="U733" s="27"/>
      <c r="V733" s="27"/>
      <c r="W733" s="27"/>
      <c r="X733" s="27"/>
      <c r="Y733" s="27"/>
      <c r="Z733" s="27"/>
    </row>
    <row r="734" hidden="1" customHeight="1" spans="1:26">
      <c r="A734" s="26">
        <v>435</v>
      </c>
      <c r="B734" s="26">
        <v>46</v>
      </c>
      <c r="C734" s="26" t="s">
        <v>784</v>
      </c>
      <c r="D734" s="26" t="s">
        <v>2716</v>
      </c>
      <c r="E734" s="26" t="s">
        <v>2889</v>
      </c>
      <c r="F734" s="26" t="str">
        <f t="shared" si="0"/>
        <v>Negative Traits Latin Origin</v>
      </c>
      <c r="G734" s="26">
        <f t="shared" si="1"/>
        <v>9</v>
      </c>
      <c r="H734" s="26" t="s">
        <v>3647</v>
      </c>
      <c r="I734" s="26"/>
      <c r="J734" s="26"/>
      <c r="K734" s="26"/>
      <c r="L734" s="26" t="str">
        <f t="shared" si="2"/>
        <v>D</v>
      </c>
      <c r="M734" s="26" t="str">
        <f>IFERROR(__xludf.DUMMYFUNCTION("GOOGLETRANSLATE(C734,""EN"",""KN"")"),"ಡಿಸ್ಸೆಂಬಲ್ ಮಾಡಿ")</f>
        <v>ಡಿಸ್ಸೆಂಬಲ್ ಮಾಡಿ</v>
      </c>
      <c r="N734" s="26" t="str">
        <f t="array" ref="N734">_xlfn.XLOOKUP(B734,'Sets Progress'!I:I,'Sets Progress'!I:I,"NOT YET")</f>
        <v>NOT YET</v>
      </c>
      <c r="O734" s="26" t="str">
        <f t="array" ref="O734">_xlfn.XLOOKUP(L:L,'Overall Progress'!L:L,'Overall Progress'!L:L,"NOT YET")</f>
        <v>NOT YET</v>
      </c>
      <c r="P734" s="26"/>
      <c r="Q734" s="26"/>
      <c r="R734" s="26"/>
      <c r="S734" s="26"/>
      <c r="T734" s="26"/>
      <c r="U734" s="26"/>
      <c r="V734" s="26"/>
      <c r="W734" s="26"/>
      <c r="X734" s="26"/>
      <c r="Y734" s="26"/>
      <c r="Z734" s="26"/>
    </row>
    <row r="735" hidden="1" customHeight="1" spans="1:26">
      <c r="A735" s="27">
        <v>755</v>
      </c>
      <c r="B735" s="27">
        <v>46</v>
      </c>
      <c r="C735" s="27" t="s">
        <v>1096</v>
      </c>
      <c r="D735" s="27" t="s">
        <v>3003</v>
      </c>
      <c r="E735" s="27" t="s">
        <v>2889</v>
      </c>
      <c r="F735" s="27" t="str">
        <f t="shared" si="0"/>
        <v>Linguistic Latin Origin</v>
      </c>
      <c r="G735" s="27">
        <f t="shared" si="1"/>
        <v>14</v>
      </c>
      <c r="H735" s="27" t="s">
        <v>3648</v>
      </c>
      <c r="I735" s="27"/>
      <c r="J735" s="27"/>
      <c r="K735" s="27"/>
      <c r="L735" s="27" t="str">
        <f t="shared" si="2"/>
        <v>I</v>
      </c>
      <c r="M735" s="27" t="str">
        <f>IFERROR(__xludf.DUMMYFUNCTION("GOOGLETRANSLATE(C735,""EN"",""KN"")"),"ವಿವರಿಸಲಾಗದ")</f>
        <v>ವಿವರಿಸಲಾಗದ</v>
      </c>
      <c r="N735" s="27" t="str">
        <f t="array" ref="N735">_xlfn.XLOOKUP(B735,'Sets Progress'!I:I,'Sets Progress'!I:I,"NOT YET")</f>
        <v>NOT YET</v>
      </c>
      <c r="O735" s="27" t="str">
        <f t="array" ref="O735">_xlfn.XLOOKUP(L:L,'Overall Progress'!L:L,'Overall Progress'!L:L,"NOT YET")</f>
        <v>NOT YET</v>
      </c>
      <c r="P735" s="27"/>
      <c r="Q735" s="27"/>
      <c r="R735" s="27"/>
      <c r="S735" s="27"/>
      <c r="T735" s="27"/>
      <c r="U735" s="27"/>
      <c r="V735" s="27"/>
      <c r="W735" s="27"/>
      <c r="X735" s="27"/>
      <c r="Y735" s="27"/>
      <c r="Z735" s="27"/>
    </row>
    <row r="736" customHeight="1" spans="1:26">
      <c r="A736" s="26">
        <v>757</v>
      </c>
      <c r="B736" s="26">
        <v>46</v>
      </c>
      <c r="C736" s="26" t="s">
        <v>1098</v>
      </c>
      <c r="D736" s="26" t="s">
        <v>1721</v>
      </c>
      <c r="E736" s="26" t="s">
        <v>2889</v>
      </c>
      <c r="F736" s="26" t="str">
        <f t="shared" si="0"/>
        <v>Temporal Latin Origin</v>
      </c>
      <c r="G736" s="26">
        <f t="shared" si="1"/>
        <v>10</v>
      </c>
      <c r="H736" s="26"/>
      <c r="I736" s="26"/>
      <c r="J736" s="26"/>
      <c r="K736" s="26"/>
      <c r="L736" s="26" t="str">
        <f t="shared" si="2"/>
        <v>I</v>
      </c>
      <c r="M736" s="26" t="str">
        <f>IFERROR(__xludf.DUMMYFUNCTION("GOOGLETRANSLATE(C736,""EN"",""KN"")"),"ಅಸಭ್ಯ")</f>
        <v>ಅಸಭ್ಯ</v>
      </c>
      <c r="N736" s="26" t="str">
        <f t="array" ref="N736">_xlfn.XLOOKUP(B736,'Sets Progress'!I:I,'Sets Progress'!I:I,"NOT YET")</f>
        <v>NOT YET</v>
      </c>
      <c r="O736" s="26" t="str">
        <f t="array" ref="O736">_xlfn.XLOOKUP(L:L,'Overall Progress'!L:L,'Overall Progress'!L:L,"NOT YET")</f>
        <v>NOT YET</v>
      </c>
      <c r="P736" s="26"/>
      <c r="Q736" s="26"/>
      <c r="R736" s="26"/>
      <c r="S736" s="26"/>
      <c r="T736" s="26"/>
      <c r="U736" s="26"/>
      <c r="V736" s="26"/>
      <c r="W736" s="26"/>
      <c r="X736" s="26"/>
      <c r="Y736" s="26"/>
      <c r="Z736" s="26"/>
    </row>
    <row r="737" hidden="1" customHeight="1" spans="1:26">
      <c r="A737" s="27">
        <v>876</v>
      </c>
      <c r="B737" s="27">
        <v>46</v>
      </c>
      <c r="C737" s="27" t="s">
        <v>1214</v>
      </c>
      <c r="D737" s="27" t="s">
        <v>1721</v>
      </c>
      <c r="E737" s="27" t="s">
        <v>2896</v>
      </c>
      <c r="F737" s="27" t="str">
        <f t="shared" si="0"/>
        <v>Temporal Old French Origin</v>
      </c>
      <c r="G737" s="27">
        <f t="shared" si="1"/>
        <v>4</v>
      </c>
      <c r="H737" s="27" t="s">
        <v>3649</v>
      </c>
      <c r="I737" s="27"/>
      <c r="J737" s="27"/>
      <c r="K737" s="27"/>
      <c r="L737" s="27" t="str">
        <f t="shared" si="2"/>
        <v>L</v>
      </c>
      <c r="M737" s="27" t="str">
        <f>IFERROR(__xludf.DUMMYFUNCTION("GOOGLETRANSLATE(C737,""EN"",""KN"")"),"ಆಮಿಷ")</f>
        <v>ಆಮಿಷ</v>
      </c>
      <c r="N737" s="27" t="str">
        <f t="array" ref="N737">_xlfn.XLOOKUP(B737,'Sets Progress'!I:I,'Sets Progress'!I:I,"NOT YET")</f>
        <v>NOT YET</v>
      </c>
      <c r="O737" s="27" t="str">
        <f t="array" ref="O737">_xlfn.XLOOKUP(L:L,'Overall Progress'!L:L,'Overall Progress'!L:L,"NOT YET")</f>
        <v>NOT YET</v>
      </c>
      <c r="P737" s="27"/>
      <c r="Q737" s="27"/>
      <c r="R737" s="27"/>
      <c r="S737" s="27"/>
      <c r="T737" s="27"/>
      <c r="U737" s="27"/>
      <c r="V737" s="27"/>
      <c r="W737" s="27"/>
      <c r="X737" s="27"/>
      <c r="Y737" s="27"/>
      <c r="Z737" s="27"/>
    </row>
    <row r="738" hidden="1" customHeight="1" spans="1:26">
      <c r="A738" s="26">
        <v>1066</v>
      </c>
      <c r="B738" s="26">
        <v>46</v>
      </c>
      <c r="C738" s="26" t="s">
        <v>1401</v>
      </c>
      <c r="D738" s="26" t="s">
        <v>2717</v>
      </c>
      <c r="E738" s="26" t="s">
        <v>2911</v>
      </c>
      <c r="F738" s="26" t="str">
        <f t="shared" si="0"/>
        <v>Positive Traits French Origin</v>
      </c>
      <c r="G738" s="26">
        <f t="shared" si="1"/>
        <v>7</v>
      </c>
      <c r="H738" s="26" t="s">
        <v>3650</v>
      </c>
      <c r="I738" s="26"/>
      <c r="J738" s="26"/>
      <c r="K738" s="26"/>
      <c r="L738" s="26" t="str">
        <f t="shared" si="2"/>
        <v>P</v>
      </c>
      <c r="M738" s="26" t="str">
        <f>IFERROR(__xludf.DUMMYFUNCTION("GOOGLETRANSLATE(C738,""EN"",""KN"")"),"ಪಿಕ್ವಾಂಟ್")</f>
        <v>ಪಿಕ್ವಾಂಟ್</v>
      </c>
      <c r="N738" s="26" t="str">
        <f t="array" ref="N738">_xlfn.XLOOKUP(B738,'Sets Progress'!I:I,'Sets Progress'!I:I,"NOT YET")</f>
        <v>NOT YET</v>
      </c>
      <c r="O738" s="26" t="str">
        <f t="array" ref="O738">_xlfn.XLOOKUP(L:L,'Overall Progress'!L:L,'Overall Progress'!L:L,"NOT YET")</f>
        <v>NOT YET</v>
      </c>
      <c r="P738" s="26"/>
      <c r="Q738" s="26"/>
      <c r="R738" s="26"/>
      <c r="S738" s="26"/>
      <c r="T738" s="26"/>
      <c r="U738" s="26"/>
      <c r="V738" s="26"/>
      <c r="W738" s="26"/>
      <c r="X738" s="26"/>
      <c r="Y738" s="26"/>
      <c r="Z738" s="26"/>
    </row>
    <row r="739" hidden="1" customHeight="1" spans="1:26">
      <c r="A739" s="27">
        <v>1370</v>
      </c>
      <c r="B739" s="27">
        <v>46</v>
      </c>
      <c r="C739" s="27" t="s">
        <v>1701</v>
      </c>
      <c r="D739" s="27" t="s">
        <v>1721</v>
      </c>
      <c r="E739" s="27" t="s">
        <v>2893</v>
      </c>
      <c r="F739" s="27" t="str">
        <f t="shared" si="0"/>
        <v>Temporal Greek Origin</v>
      </c>
      <c r="G739" s="27">
        <f t="shared" si="1"/>
        <v>8</v>
      </c>
      <c r="H739" s="27" t="s">
        <v>3651</v>
      </c>
      <c r="I739" s="27"/>
      <c r="J739" s="27"/>
      <c r="K739" s="27"/>
      <c r="L739" s="27" t="str">
        <f t="shared" si="2"/>
        <v>S</v>
      </c>
      <c r="M739" s="27" t="str">
        <f>IFERROR(__xludf.DUMMYFUNCTION("GOOGLETRANSLATE(C739,""EN"",""KN"")"),"ಸಾರಾಂಶ")</f>
        <v>ಸಾರಾಂಶ</v>
      </c>
      <c r="N739" s="27" t="str">
        <f t="array" ref="N739">_xlfn.XLOOKUP(B739,'Sets Progress'!I:I,'Sets Progress'!I:I,"NOT YET")</f>
        <v>NOT YET</v>
      </c>
      <c r="O739" s="27" t="str">
        <f t="array" ref="O739">_xlfn.XLOOKUP(L:L,'Overall Progress'!L:L,'Overall Progress'!L:L,"NOT YET")</f>
        <v>NOT YET</v>
      </c>
      <c r="P739" s="27"/>
      <c r="Q739" s="27"/>
      <c r="R739" s="27"/>
      <c r="S739" s="27"/>
      <c r="T739" s="27"/>
      <c r="U739" s="27"/>
      <c r="V739" s="27"/>
      <c r="W739" s="27"/>
      <c r="X739" s="27"/>
      <c r="Y739" s="27"/>
      <c r="Z739" s="27"/>
    </row>
    <row r="740" hidden="1" customHeight="1" spans="1:26">
      <c r="A740" s="26">
        <v>1487</v>
      </c>
      <c r="B740" s="26">
        <v>46</v>
      </c>
      <c r="C740" s="26" t="s">
        <v>1815</v>
      </c>
      <c r="D740" s="26" t="s">
        <v>2717</v>
      </c>
      <c r="E740" s="26" t="s">
        <v>2889</v>
      </c>
      <c r="F740" s="26" t="str">
        <f t="shared" si="0"/>
        <v>Positive Traits Latin Origin</v>
      </c>
      <c r="G740" s="26">
        <f t="shared" si="1"/>
        <v>6</v>
      </c>
      <c r="H740" s="26" t="s">
        <v>3652</v>
      </c>
      <c r="I740" s="26"/>
      <c r="J740" s="26"/>
      <c r="K740" s="26"/>
      <c r="L740" s="26" t="str">
        <f t="shared" si="2"/>
        <v>U</v>
      </c>
      <c r="M740" s="26" t="str">
        <f>IFERROR(__xludf.DUMMYFUNCTION("GOOGLETRANSLATE(C740,""EN"",""KN"")"),"ನಗರವಾಸಿ")</f>
        <v>ನಗರವಾಸಿ</v>
      </c>
      <c r="N740" s="26" t="str">
        <f t="array" ref="N740">_xlfn.XLOOKUP(B740,'Sets Progress'!I:I,'Sets Progress'!I:I,"NOT YET")</f>
        <v>NOT YET</v>
      </c>
      <c r="O740" s="26" t="str">
        <f t="array" ref="O740">_xlfn.XLOOKUP(L:L,'Overall Progress'!L:L,'Overall Progress'!L:L,"NOT YET")</f>
        <v>NOT YET</v>
      </c>
      <c r="P740" s="26"/>
      <c r="Q740" s="26"/>
      <c r="R740" s="26"/>
      <c r="S740" s="26"/>
      <c r="T740" s="26"/>
      <c r="U740" s="26"/>
      <c r="V740" s="26"/>
      <c r="W740" s="26"/>
      <c r="X740" s="26"/>
      <c r="Y740" s="26"/>
      <c r="Z740" s="26"/>
    </row>
    <row r="741" hidden="1" customHeight="1" spans="1:26">
      <c r="A741" s="27">
        <v>107</v>
      </c>
      <c r="B741" s="27">
        <v>47</v>
      </c>
      <c r="C741" s="27" t="s">
        <v>457</v>
      </c>
      <c r="D741" s="27" t="s">
        <v>2717</v>
      </c>
      <c r="E741" s="27" t="s">
        <v>2908</v>
      </c>
      <c r="F741" s="27" t="str">
        <f t="shared" si="0"/>
        <v>Positive Traits Old English Origin</v>
      </c>
      <c r="G741" s="27">
        <f t="shared" si="1"/>
        <v>6</v>
      </c>
      <c r="H741" s="27" t="s">
        <v>3653</v>
      </c>
      <c r="I741" s="27"/>
      <c r="J741" s="27"/>
      <c r="K741" s="27"/>
      <c r="L741" s="27" t="str">
        <f t="shared" si="2"/>
        <v>A</v>
      </c>
      <c r="M741" s="27" t="str">
        <f>IFERROR(__xludf.DUMMYFUNCTION("GOOGLETRANSLATE(C741,""EN"",""KN"")"),"ಕಲಾತ್ಮಕ")</f>
        <v>ಕಲಾತ್ಮಕ</v>
      </c>
      <c r="N741" s="27" t="str">
        <f t="array" ref="N741">_xlfn.XLOOKUP(B741,'Sets Progress'!I:I,'Sets Progress'!I:I,"NOT YET")</f>
        <v>NOT YET</v>
      </c>
      <c r="O741" s="27" t="str">
        <f t="array" ref="O741">_xlfn.XLOOKUP(L:L,'Overall Progress'!L:L,'Overall Progress'!L:L,"NOT YET")</f>
        <v>NOT YET</v>
      </c>
      <c r="P741" s="27"/>
      <c r="Q741" s="27"/>
      <c r="R741" s="27"/>
      <c r="S741" s="27"/>
      <c r="T741" s="27"/>
      <c r="U741" s="27"/>
      <c r="V741" s="27"/>
      <c r="W741" s="27"/>
      <c r="X741" s="27"/>
      <c r="Y741" s="27"/>
      <c r="Z741" s="27"/>
    </row>
    <row r="742" hidden="1" customHeight="1" spans="1:26">
      <c r="A742" s="26">
        <v>219</v>
      </c>
      <c r="B742" s="26">
        <v>47</v>
      </c>
      <c r="C742" s="26" t="s">
        <v>568</v>
      </c>
      <c r="D742" s="26" t="s">
        <v>2717</v>
      </c>
      <c r="E742" s="26" t="s">
        <v>2889</v>
      </c>
      <c r="F742" s="26" t="str">
        <f t="shared" si="0"/>
        <v>Positive Traits Latin Origin</v>
      </c>
      <c r="G742" s="26">
        <f t="shared" si="1"/>
        <v>10</v>
      </c>
      <c r="H742" s="26" t="s">
        <v>3654</v>
      </c>
      <c r="I742" s="26"/>
      <c r="J742" s="26"/>
      <c r="K742" s="26"/>
      <c r="L742" s="26" t="str">
        <f t="shared" si="2"/>
        <v>C</v>
      </c>
      <c r="M742" s="26" t="str">
        <f>IFERROR(__xludf.DUMMYFUNCTION("GOOGLETRANSLATE(C742,""EN"",""KN"")"),"ಆಚರಿಸಲಾಯಿತು")</f>
        <v>ಆಚರಿಸಲಾಯಿತು</v>
      </c>
      <c r="N742" s="26" t="str">
        <f t="array" ref="N742">_xlfn.XLOOKUP(B742,'Sets Progress'!I:I,'Sets Progress'!I:I,"NOT YET")</f>
        <v>NOT YET</v>
      </c>
      <c r="O742" s="26" t="str">
        <f t="array" ref="O742">_xlfn.XLOOKUP(L:L,'Overall Progress'!L:L,'Overall Progress'!L:L,"NOT YET")</f>
        <v>NOT YET</v>
      </c>
      <c r="P742" s="26"/>
      <c r="Q742" s="26"/>
      <c r="R742" s="26"/>
      <c r="S742" s="26"/>
      <c r="T742" s="26"/>
      <c r="U742" s="26"/>
      <c r="V742" s="26"/>
      <c r="W742" s="26"/>
      <c r="X742" s="26"/>
      <c r="Y742" s="26"/>
      <c r="Z742" s="26"/>
    </row>
    <row r="743" hidden="1" customHeight="1" spans="1:26">
      <c r="A743" s="27">
        <v>231</v>
      </c>
      <c r="B743" s="27">
        <v>47</v>
      </c>
      <c r="C743" s="27" t="s">
        <v>582</v>
      </c>
      <c r="D743" s="27" t="s">
        <v>2717</v>
      </c>
      <c r="E743" s="27" t="s">
        <v>2896</v>
      </c>
      <c r="F743" s="27" t="str">
        <f t="shared" si="0"/>
        <v>Positive Traits Old French Origin</v>
      </c>
      <c r="G743" s="27">
        <f t="shared" si="1"/>
        <v>10</v>
      </c>
      <c r="H743" s="27" t="s">
        <v>3655</v>
      </c>
      <c r="I743" s="27"/>
      <c r="J743" s="27"/>
      <c r="K743" s="27"/>
      <c r="L743" s="27" t="str">
        <f t="shared" si="2"/>
        <v>C</v>
      </c>
      <c r="M743" s="27" t="str">
        <f>IFERROR(__xludf.DUMMYFUNCTION("GOOGLETRANSLATE(C743,""EN"",""KN"")"),"ಧೈರ್ಯಶಾಲಿ")</f>
        <v>ಧೈರ್ಯಶಾಲಿ</v>
      </c>
      <c r="N743" s="27" t="str">
        <f t="array" ref="N743">_xlfn.XLOOKUP(B743,'Sets Progress'!I:I,'Sets Progress'!I:I,"NOT YET")</f>
        <v>NOT YET</v>
      </c>
      <c r="O743" s="27" t="str">
        <f t="array" ref="O743">_xlfn.XLOOKUP(L:L,'Overall Progress'!L:L,'Overall Progress'!L:L,"NOT YET")</f>
        <v>NOT YET</v>
      </c>
      <c r="P743" s="27"/>
      <c r="Q743" s="27"/>
      <c r="R743" s="27"/>
      <c r="S743" s="27"/>
      <c r="T743" s="27"/>
      <c r="U743" s="27"/>
      <c r="V743" s="27"/>
      <c r="W743" s="27"/>
      <c r="X743" s="27"/>
      <c r="Y743" s="27"/>
      <c r="Z743" s="27"/>
    </row>
    <row r="744" hidden="1" customHeight="1" spans="1:26">
      <c r="A744" s="26">
        <v>281</v>
      </c>
      <c r="B744" s="26">
        <v>47</v>
      </c>
      <c r="C744" s="26" t="s">
        <v>634</v>
      </c>
      <c r="D744" s="26" t="s">
        <v>2892</v>
      </c>
      <c r="E744" s="26" t="s">
        <v>2889</v>
      </c>
      <c r="F744" s="26" t="str">
        <f t="shared" si="0"/>
        <v>Spatial Latin Origin</v>
      </c>
      <c r="G744" s="26">
        <f t="shared" si="1"/>
        <v>13</v>
      </c>
      <c r="H744" s="26" t="s">
        <v>3656</v>
      </c>
      <c r="I744" s="26"/>
      <c r="J744" s="26"/>
      <c r="K744" s="26"/>
      <c r="L744" s="26" t="str">
        <f t="shared" si="2"/>
        <v>C</v>
      </c>
      <c r="M744" s="26" t="str">
        <f>IFERROR(__xludf.DUMMYFUNCTION("GOOGLETRANSLATE(C744,""EN"",""KN"")"),"ಘರ್ಷಣೆ")</f>
        <v>ಘರ್ಷಣೆ</v>
      </c>
      <c r="N744" s="26" t="str">
        <f t="array" ref="N744">_xlfn.XLOOKUP(B744,'Sets Progress'!I:I,'Sets Progress'!I:I,"NOT YET")</f>
        <v>NOT YET</v>
      </c>
      <c r="O744" s="26" t="str">
        <f t="array" ref="O744">_xlfn.XLOOKUP(L:L,'Overall Progress'!L:L,'Overall Progress'!L:L,"NOT YET")</f>
        <v>NOT YET</v>
      </c>
      <c r="P744" s="26"/>
      <c r="Q744" s="26"/>
      <c r="R744" s="26"/>
      <c r="S744" s="26"/>
      <c r="T744" s="26"/>
      <c r="U744" s="26"/>
      <c r="V744" s="26"/>
      <c r="W744" s="26"/>
      <c r="X744" s="26"/>
      <c r="Y744" s="26"/>
      <c r="Z744" s="26"/>
    </row>
    <row r="745" hidden="1" customHeight="1" spans="1:26">
      <c r="A745" s="27">
        <v>499</v>
      </c>
      <c r="B745" s="27">
        <v>47</v>
      </c>
      <c r="C745" s="27" t="s">
        <v>848</v>
      </c>
      <c r="D745" s="27" t="s">
        <v>3022</v>
      </c>
      <c r="E745" s="27" t="s">
        <v>2893</v>
      </c>
      <c r="F745" s="27" t="str">
        <f t="shared" si="0"/>
        <v>Intellectual Greek Origin</v>
      </c>
      <c r="G745" s="27">
        <f t="shared" si="1"/>
        <v>12</v>
      </c>
      <c r="H745" s="27" t="s">
        <v>3657</v>
      </c>
      <c r="I745" s="27"/>
      <c r="J745" s="27"/>
      <c r="K745" s="27"/>
      <c r="L745" s="27" t="str">
        <f t="shared" si="2"/>
        <v>E</v>
      </c>
      <c r="M745" s="27" t="str">
        <f>IFERROR(__xludf.DUMMYFUNCTION("GOOGLETRANSLATE(C745,""EN"",""KN"")"),"ವಿಶ್ವಕೋಶ")</f>
        <v>ವಿಶ್ವಕೋಶ</v>
      </c>
      <c r="N745" s="27" t="str">
        <f t="array" ref="N745">_xlfn.XLOOKUP(B745,'Sets Progress'!I:I,'Sets Progress'!I:I,"NOT YET")</f>
        <v>NOT YET</v>
      </c>
      <c r="O745" s="27" t="str">
        <f t="array" ref="O745">_xlfn.XLOOKUP(L:L,'Overall Progress'!L:L,'Overall Progress'!L:L,"NOT YET")</f>
        <v>NOT YET</v>
      </c>
      <c r="P745" s="27"/>
      <c r="Q745" s="27"/>
      <c r="R745" s="27"/>
      <c r="S745" s="27"/>
      <c r="T745" s="27"/>
      <c r="U745" s="27"/>
      <c r="V745" s="27"/>
      <c r="W745" s="27"/>
      <c r="X745" s="27"/>
      <c r="Y745" s="27"/>
      <c r="Z745" s="27"/>
    </row>
    <row r="746" customHeight="1" spans="1:26">
      <c r="A746" s="26">
        <v>530</v>
      </c>
      <c r="B746" s="26">
        <v>47</v>
      </c>
      <c r="C746" s="26" t="s">
        <v>877</v>
      </c>
      <c r="D746" s="26" t="s">
        <v>2716</v>
      </c>
      <c r="E746" s="26" t="s">
        <v>2889</v>
      </c>
      <c r="F746" s="26" t="str">
        <f t="shared" si="0"/>
        <v>Negative Traits Latin Origin</v>
      </c>
      <c r="G746" s="26">
        <f t="shared" si="1"/>
        <v>9</v>
      </c>
      <c r="H746" s="26"/>
      <c r="I746" s="26"/>
      <c r="J746" s="26"/>
      <c r="K746" s="26"/>
      <c r="L746" s="26" t="str">
        <f t="shared" si="2"/>
        <v>E</v>
      </c>
      <c r="M746" s="26" t="str">
        <f>IFERROR(__xludf.DUMMYFUNCTION("GOOGLETRANSLATE(C746,""EN"",""KN"")"),"ತಪ್ಪಾಗಿದೆ")</f>
        <v>ತಪ್ಪಾಗಿದೆ</v>
      </c>
      <c r="N746" s="26" t="str">
        <f t="array" ref="N746">_xlfn.XLOOKUP(B746,'Sets Progress'!I:I,'Sets Progress'!I:I,"NOT YET")</f>
        <v>NOT YET</v>
      </c>
      <c r="O746" s="26" t="str">
        <f t="array" ref="O746">_xlfn.XLOOKUP(L:L,'Overall Progress'!L:L,'Overall Progress'!L:L,"NOT YET")</f>
        <v>NOT YET</v>
      </c>
      <c r="P746" s="26"/>
      <c r="Q746" s="26"/>
      <c r="R746" s="26"/>
      <c r="S746" s="26"/>
      <c r="T746" s="26"/>
      <c r="U746" s="26"/>
      <c r="V746" s="26"/>
      <c r="W746" s="26"/>
      <c r="X746" s="26"/>
      <c r="Y746" s="26"/>
      <c r="Z746" s="26"/>
    </row>
    <row r="747" customHeight="1" spans="1:26">
      <c r="A747" s="27">
        <v>534</v>
      </c>
      <c r="B747" s="27">
        <v>47</v>
      </c>
      <c r="C747" s="27" t="s">
        <v>880</v>
      </c>
      <c r="D747" s="27" t="s">
        <v>1721</v>
      </c>
      <c r="E747" s="27" t="s">
        <v>2908</v>
      </c>
      <c r="F747" s="27" t="str">
        <f t="shared" si="0"/>
        <v>Temporal Old English Origin</v>
      </c>
      <c r="G747" s="27">
        <f t="shared" si="1"/>
        <v>6</v>
      </c>
      <c r="H747" s="27"/>
      <c r="I747" s="27"/>
      <c r="J747" s="27"/>
      <c r="K747" s="27"/>
      <c r="L747" s="27" t="str">
        <f t="shared" si="2"/>
        <v>E</v>
      </c>
      <c r="M747" s="27" t="str">
        <f>IFERROR(__xludf.DUMMYFUNCTION("GOOGLETRANSLATE(C747,""EN"",""KN"")"),"ಎಸ್ಚೆವ್")</f>
        <v>ಎಸ್ಚೆವ್</v>
      </c>
      <c r="N747" s="27" t="str">
        <f t="array" ref="N747">_xlfn.XLOOKUP(B747,'Sets Progress'!I:I,'Sets Progress'!I:I,"NOT YET")</f>
        <v>NOT YET</v>
      </c>
      <c r="O747" s="27" t="str">
        <f t="array" ref="O747">_xlfn.XLOOKUP(L:L,'Overall Progress'!L:L,'Overall Progress'!L:L,"NOT YET")</f>
        <v>NOT YET</v>
      </c>
      <c r="P747" s="27"/>
      <c r="Q747" s="27"/>
      <c r="R747" s="27"/>
      <c r="S747" s="27"/>
      <c r="T747" s="27"/>
      <c r="U747" s="27"/>
      <c r="V747" s="27"/>
      <c r="W747" s="27"/>
      <c r="X747" s="27"/>
      <c r="Y747" s="27"/>
      <c r="Z747" s="27"/>
    </row>
    <row r="748" hidden="1" customHeight="1" spans="1:26">
      <c r="A748" s="26">
        <v>674</v>
      </c>
      <c r="B748" s="26">
        <v>47</v>
      </c>
      <c r="C748" s="26" t="s">
        <v>1016</v>
      </c>
      <c r="D748" s="26" t="s">
        <v>1721</v>
      </c>
      <c r="E748" s="26" t="s">
        <v>2969</v>
      </c>
      <c r="F748" s="26" t="str">
        <f t="shared" si="0"/>
        <v>Temporal Old Norse Origin</v>
      </c>
      <c r="G748" s="26">
        <f t="shared" si="1"/>
        <v>9</v>
      </c>
      <c r="H748" s="26" t="s">
        <v>3658</v>
      </c>
      <c r="I748" s="26"/>
      <c r="J748" s="26"/>
      <c r="K748" s="26"/>
      <c r="L748" s="26" t="str">
        <f t="shared" si="2"/>
        <v>H</v>
      </c>
      <c r="M748" s="26" t="str">
        <f>IFERROR(__xludf.DUMMYFUNCTION("GOOGLETRANSLATE(C748,""EN"",""KN"")"),"ಅಡ್ಡಾದಿಡ್ಡಿಯಾಗಿ")</f>
        <v>ಅಡ್ಡಾದಿಡ್ಡಿಯಾಗಿ</v>
      </c>
      <c r="N748" s="26" t="str">
        <f t="array" ref="N748">_xlfn.XLOOKUP(B748,'Sets Progress'!I:I,'Sets Progress'!I:I,"NOT YET")</f>
        <v>NOT YET</v>
      </c>
      <c r="O748" s="26" t="str">
        <f t="array" ref="O748">_xlfn.XLOOKUP(L:L,'Overall Progress'!L:L,'Overall Progress'!L:L,"NOT YET")</f>
        <v>NOT YET</v>
      </c>
      <c r="P748" s="26"/>
      <c r="Q748" s="26"/>
      <c r="R748" s="26"/>
      <c r="S748" s="26"/>
      <c r="T748" s="26"/>
      <c r="U748" s="26"/>
      <c r="V748" s="26"/>
      <c r="W748" s="26"/>
      <c r="X748" s="26"/>
      <c r="Y748" s="26"/>
      <c r="Z748" s="26"/>
    </row>
    <row r="749" hidden="1" customHeight="1" spans="1:26">
      <c r="A749" s="27">
        <v>866</v>
      </c>
      <c r="B749" s="27">
        <v>47</v>
      </c>
      <c r="C749" s="27" t="s">
        <v>1205</v>
      </c>
      <c r="D749" s="27" t="s">
        <v>2716</v>
      </c>
      <c r="E749" s="27" t="s">
        <v>2908</v>
      </c>
      <c r="F749" s="27" t="str">
        <f t="shared" si="0"/>
        <v>Negative Traits Old English Origin</v>
      </c>
      <c r="G749" s="27">
        <f t="shared" si="1"/>
        <v>6</v>
      </c>
      <c r="H749" s="27" t="s">
        <v>3659</v>
      </c>
      <c r="I749" s="27"/>
      <c r="J749" s="27"/>
      <c r="K749" s="27"/>
      <c r="L749" s="27" t="str">
        <f t="shared" si="2"/>
        <v>L</v>
      </c>
      <c r="M749" s="27" t="str">
        <f>IFERROR(__xludf.DUMMYFUNCTION("GOOGLETRANSLATE(C749,""EN"",""KN"")"),"ಅಸಹ್ಯ")</f>
        <v>ಅಸಹ್ಯ</v>
      </c>
      <c r="N749" s="27" t="str">
        <f t="array" ref="N749">_xlfn.XLOOKUP(B749,'Sets Progress'!I:I,'Sets Progress'!I:I,"NOT YET")</f>
        <v>NOT YET</v>
      </c>
      <c r="O749" s="27" t="str">
        <f t="array" ref="O749">_xlfn.XLOOKUP(L:L,'Overall Progress'!L:L,'Overall Progress'!L:L,"NOT YET")</f>
        <v>NOT YET</v>
      </c>
      <c r="P749" s="27"/>
      <c r="Q749" s="27"/>
      <c r="R749" s="27"/>
      <c r="S749" s="27"/>
      <c r="T749" s="27"/>
      <c r="U749" s="27"/>
      <c r="V749" s="27"/>
      <c r="W749" s="27"/>
      <c r="X749" s="27"/>
      <c r="Y749" s="27"/>
      <c r="Z749" s="27"/>
    </row>
    <row r="750" hidden="1" customHeight="1" spans="1:26">
      <c r="A750" s="26">
        <v>1010</v>
      </c>
      <c r="B750" s="26">
        <v>47</v>
      </c>
      <c r="C750" s="26" t="s">
        <v>1345</v>
      </c>
      <c r="D750" s="26" t="s">
        <v>1721</v>
      </c>
      <c r="E750" s="26" t="s">
        <v>2889</v>
      </c>
      <c r="F750" s="26" t="str">
        <f t="shared" si="0"/>
        <v>Temporal Latin Origin</v>
      </c>
      <c r="G750" s="26">
        <f t="shared" si="1"/>
        <v>8</v>
      </c>
      <c r="H750" s="26" t="s">
        <v>3660</v>
      </c>
      <c r="I750" s="26"/>
      <c r="J750" s="26"/>
      <c r="K750" s="26"/>
      <c r="L750" s="26" t="str">
        <f t="shared" si="2"/>
        <v>P</v>
      </c>
      <c r="M750" s="26" t="str">
        <f>IFERROR(__xludf.DUMMYFUNCTION("GOOGLETRANSLATE(C750,""EN"",""KN"")"),"ಸ್ಪರ್ಶನೀಯ")</f>
        <v>ಸ್ಪರ್ಶನೀಯ</v>
      </c>
      <c r="N750" s="26" t="str">
        <f t="array" ref="N750">_xlfn.XLOOKUP(B750,'Sets Progress'!I:I,'Sets Progress'!I:I,"NOT YET")</f>
        <v>NOT YET</v>
      </c>
      <c r="O750" s="26" t="str">
        <f t="array" ref="O750">_xlfn.XLOOKUP(L:L,'Overall Progress'!L:L,'Overall Progress'!L:L,"NOT YET")</f>
        <v>NOT YET</v>
      </c>
      <c r="P750" s="26"/>
      <c r="Q750" s="26"/>
      <c r="R750" s="26"/>
      <c r="S750" s="26"/>
      <c r="T750" s="26"/>
      <c r="U750" s="26"/>
      <c r="V750" s="26"/>
      <c r="W750" s="26"/>
      <c r="X750" s="26"/>
      <c r="Y750" s="26"/>
      <c r="Z750" s="26"/>
    </row>
    <row r="751" customHeight="1" spans="1:26">
      <c r="A751" s="27">
        <v>1230</v>
      </c>
      <c r="B751" s="27">
        <v>47</v>
      </c>
      <c r="C751" s="27" t="s">
        <v>1561</v>
      </c>
      <c r="D751" s="27" t="s">
        <v>2717</v>
      </c>
      <c r="E751" s="27" t="s">
        <v>2889</v>
      </c>
      <c r="F751" s="27" t="str">
        <f t="shared" si="0"/>
        <v>Positive Traits Latin Origin</v>
      </c>
      <c r="G751" s="27">
        <f t="shared" si="1"/>
        <v>9</v>
      </c>
      <c r="H751" s="27"/>
      <c r="I751" s="27"/>
      <c r="J751" s="27"/>
      <c r="K751" s="27"/>
      <c r="L751" s="27" t="str">
        <f t="shared" si="2"/>
        <v>R</v>
      </c>
      <c r="M751" s="27" t="str">
        <f>IFERROR(__xludf.DUMMYFUNCTION("GOOGLETRANSLATE(C751,""EN"",""KN"")"),"ಪೂಜ್ಯಭಾವನೆ")</f>
        <v>ಪೂಜ್ಯಭಾವನೆ</v>
      </c>
      <c r="N751" s="27" t="str">
        <f t="array" ref="N751">_xlfn.XLOOKUP(B751,'Sets Progress'!I:I,'Sets Progress'!I:I,"NOT YET")</f>
        <v>NOT YET</v>
      </c>
      <c r="O751" s="27" t="str">
        <f t="array" ref="O751">_xlfn.XLOOKUP(L:L,'Overall Progress'!L:L,'Overall Progress'!L:L,"NOT YET")</f>
        <v>NOT YET</v>
      </c>
      <c r="P751" s="27"/>
      <c r="Q751" s="27"/>
      <c r="R751" s="27"/>
      <c r="S751" s="27"/>
      <c r="T751" s="27"/>
      <c r="U751" s="27"/>
      <c r="V751" s="27"/>
      <c r="W751" s="27"/>
      <c r="X751" s="27"/>
      <c r="Y751" s="27"/>
      <c r="Z751" s="27"/>
    </row>
    <row r="752" hidden="1" customHeight="1" spans="1:26">
      <c r="A752" s="26">
        <v>1330</v>
      </c>
      <c r="B752" s="26">
        <v>47</v>
      </c>
      <c r="C752" s="26" t="s">
        <v>1661</v>
      </c>
      <c r="D752" s="26" t="s">
        <v>1721</v>
      </c>
      <c r="E752" s="26" t="s">
        <v>2908</v>
      </c>
      <c r="F752" s="26" t="str">
        <f t="shared" si="0"/>
        <v>Temporal Old English Origin</v>
      </c>
      <c r="G752" s="26">
        <f t="shared" si="1"/>
        <v>5</v>
      </c>
      <c r="H752" s="26" t="s">
        <v>3661</v>
      </c>
      <c r="I752" s="26"/>
      <c r="J752" s="26"/>
      <c r="K752" s="26"/>
      <c r="L752" s="26" t="str">
        <f t="shared" si="2"/>
        <v>S</v>
      </c>
      <c r="M752" s="26" t="str">
        <f>IFERROR(__xludf.DUMMYFUNCTION("GOOGLETRANSLATE(C752,""EN"",""KN"")"),"ಸ್ಟಿಂಟ್")</f>
        <v>ಸ್ಟಿಂಟ್</v>
      </c>
      <c r="N752" s="26" t="str">
        <f t="array" ref="N752">_xlfn.XLOOKUP(B752,'Sets Progress'!I:I,'Sets Progress'!I:I,"NOT YET")</f>
        <v>NOT YET</v>
      </c>
      <c r="O752" s="26" t="str">
        <f t="array" ref="O752">_xlfn.XLOOKUP(L:L,'Overall Progress'!L:L,'Overall Progress'!L:L,"NOT YET")</f>
        <v>NOT YET</v>
      </c>
      <c r="P752" s="26"/>
      <c r="Q752" s="26"/>
      <c r="R752" s="26"/>
      <c r="S752" s="26"/>
      <c r="T752" s="26"/>
      <c r="U752" s="26"/>
      <c r="V752" s="26"/>
      <c r="W752" s="26"/>
      <c r="X752" s="26"/>
      <c r="Y752" s="26"/>
      <c r="Z752" s="26"/>
    </row>
    <row r="753" hidden="1" customHeight="1" spans="1:26">
      <c r="A753" s="27">
        <v>1485</v>
      </c>
      <c r="B753" s="27">
        <v>47</v>
      </c>
      <c r="C753" s="27" t="s">
        <v>1813</v>
      </c>
      <c r="D753" s="27" t="s">
        <v>1721</v>
      </c>
      <c r="E753" s="27" t="s">
        <v>2908</v>
      </c>
      <c r="F753" s="27" t="str">
        <f t="shared" si="0"/>
        <v>Temporal Old English Origin</v>
      </c>
      <c r="G753" s="27">
        <f t="shared" si="1"/>
        <v>11</v>
      </c>
      <c r="H753" s="27" t="s">
        <v>3662</v>
      </c>
      <c r="I753" s="27"/>
      <c r="J753" s="27"/>
      <c r="K753" s="27"/>
      <c r="L753" s="27" t="str">
        <f t="shared" si="2"/>
        <v>U</v>
      </c>
      <c r="M753" s="27" t="str">
        <f>IFERROR(__xludf.DUMMYFUNCTION("GOOGLETRANSLATE(C753,""EN"",""KN"")"),"ತಿಳಿಯದೆ")</f>
        <v>ತಿಳಿಯದೆ</v>
      </c>
      <c r="N753" s="27" t="str">
        <f t="array" ref="N753">_xlfn.XLOOKUP(B753,'Sets Progress'!I:I,'Sets Progress'!I:I,"NOT YET")</f>
        <v>NOT YET</v>
      </c>
      <c r="O753" s="27" t="str">
        <f t="array" ref="O753">_xlfn.XLOOKUP(L:L,'Overall Progress'!L:L,'Overall Progress'!L:L,"NOT YET")</f>
        <v>NOT YET</v>
      </c>
      <c r="P753" s="27"/>
      <c r="Q753" s="27"/>
      <c r="R753" s="27"/>
      <c r="S753" s="27"/>
      <c r="T753" s="27"/>
      <c r="U753" s="27"/>
      <c r="V753" s="27"/>
      <c r="W753" s="27"/>
      <c r="X753" s="27"/>
      <c r="Y753" s="27"/>
      <c r="Z753" s="27"/>
    </row>
    <row r="754" hidden="1" customHeight="1" spans="1:26">
      <c r="A754" s="26">
        <v>64</v>
      </c>
      <c r="B754" s="26">
        <v>48</v>
      </c>
      <c r="C754" s="26" t="s">
        <v>417</v>
      </c>
      <c r="D754" s="26" t="s">
        <v>2946</v>
      </c>
      <c r="E754" s="26" t="s">
        <v>2889</v>
      </c>
      <c r="F754" s="26" t="str">
        <f t="shared" si="0"/>
        <v>Emotional Latin Origin</v>
      </c>
      <c r="G754" s="26">
        <f t="shared" si="1"/>
        <v>10</v>
      </c>
      <c r="H754" s="26" t="s">
        <v>3663</v>
      </c>
      <c r="I754" s="26"/>
      <c r="J754" s="26"/>
      <c r="K754" s="26"/>
      <c r="L754" s="26" t="str">
        <f t="shared" si="2"/>
        <v>A</v>
      </c>
      <c r="M754" s="26" t="str">
        <f>IFERROR(__xludf.DUMMYFUNCTION("GOOGLETRANSLATE(C754,""EN"",""KN"")"),"ದ್ವಂದ್ವಾರ್ಥ")</f>
        <v>ದ್ವಂದ್ವಾರ್ಥ</v>
      </c>
      <c r="N754" s="26" t="str">
        <f t="array" ref="N754">_xlfn.XLOOKUP(B754,'Sets Progress'!I:I,'Sets Progress'!I:I,"NOT YET")</f>
        <v>NOT YET</v>
      </c>
      <c r="O754" s="26" t="str">
        <f t="array" ref="O754">_xlfn.XLOOKUP(L:L,'Overall Progress'!L:L,'Overall Progress'!L:L,"NOT YET")</f>
        <v>NOT YET</v>
      </c>
      <c r="P754" s="26"/>
      <c r="Q754" s="26"/>
      <c r="R754" s="26"/>
      <c r="S754" s="26"/>
      <c r="T754" s="26"/>
      <c r="U754" s="26"/>
      <c r="V754" s="26"/>
      <c r="W754" s="26"/>
      <c r="X754" s="26"/>
      <c r="Y754" s="26"/>
      <c r="Z754" s="26"/>
    </row>
    <row r="755" hidden="1" customHeight="1" spans="1:26">
      <c r="A755" s="27">
        <v>67</v>
      </c>
      <c r="B755" s="27">
        <v>48</v>
      </c>
      <c r="C755" s="27" t="s">
        <v>420</v>
      </c>
      <c r="D755" s="27" t="s">
        <v>1721</v>
      </c>
      <c r="E755" s="27" t="s">
        <v>2889</v>
      </c>
      <c r="F755" s="27" t="str">
        <f t="shared" si="0"/>
        <v>Temporal Latin Origin</v>
      </c>
      <c r="G755" s="27">
        <f t="shared" si="1"/>
        <v>5</v>
      </c>
      <c r="H755" s="27" t="s">
        <v>3664</v>
      </c>
      <c r="I755" s="27"/>
      <c r="J755" s="27"/>
      <c r="K755" s="27"/>
      <c r="L755" s="27" t="str">
        <f t="shared" si="2"/>
        <v>A</v>
      </c>
      <c r="M755" s="27" t="str">
        <f>IFERROR(__xludf.DUMMYFUNCTION("GOOGLETRANSLATE(C755,""EN"",""KN"")"),"ತಿದ್ದುಪಡಿ ಮಾಡಿ")</f>
        <v>ತಿದ್ದುಪಡಿ ಮಾಡಿ</v>
      </c>
      <c r="N755" s="27" t="str">
        <f t="array" ref="N755">_xlfn.XLOOKUP(B755,'Sets Progress'!I:I,'Sets Progress'!I:I,"NOT YET")</f>
        <v>NOT YET</v>
      </c>
      <c r="O755" s="27" t="str">
        <f t="array" ref="O755">_xlfn.XLOOKUP(L:L,'Overall Progress'!L:L,'Overall Progress'!L:L,"NOT YET")</f>
        <v>NOT YET</v>
      </c>
      <c r="P755" s="27"/>
      <c r="Q755" s="27"/>
      <c r="R755" s="27"/>
      <c r="S755" s="27"/>
      <c r="T755" s="27"/>
      <c r="U755" s="27"/>
      <c r="V755" s="27"/>
      <c r="W755" s="27"/>
      <c r="X755" s="27"/>
      <c r="Y755" s="27"/>
      <c r="Z755" s="27"/>
    </row>
    <row r="756" hidden="1" customHeight="1" spans="1:26">
      <c r="A756" s="26">
        <v>119</v>
      </c>
      <c r="B756" s="26">
        <v>48</v>
      </c>
      <c r="C756" s="26" t="s">
        <v>468</v>
      </c>
      <c r="D756" s="26" t="s">
        <v>2946</v>
      </c>
      <c r="E756" s="26" t="s">
        <v>2908</v>
      </c>
      <c r="F756" s="26" t="str">
        <f t="shared" si="0"/>
        <v>Emotional Old English Origin</v>
      </c>
      <c r="G756" s="26">
        <f t="shared" si="1"/>
        <v>7</v>
      </c>
      <c r="H756" s="26" t="s">
        <v>3665</v>
      </c>
      <c r="I756" s="26"/>
      <c r="J756" s="26"/>
      <c r="K756" s="26"/>
      <c r="L756" s="26" t="str">
        <f t="shared" si="2"/>
        <v>A</v>
      </c>
      <c r="M756" s="26" t="str">
        <f>IFERROR(__xludf.DUMMYFUNCTION("GOOGLETRANSLATE(C756,""EN"",""KN"")"),"ದಿಗ್ಭ್ರಮೆಗೊಳಿಸು")</f>
        <v>ದಿಗ್ಭ್ರಮೆಗೊಳಿಸು</v>
      </c>
      <c r="N756" s="26" t="str">
        <f t="array" ref="N756">_xlfn.XLOOKUP(B756,'Sets Progress'!I:I,'Sets Progress'!I:I,"NOT YET")</f>
        <v>NOT YET</v>
      </c>
      <c r="O756" s="26" t="str">
        <f t="array" ref="O756">_xlfn.XLOOKUP(L:L,'Overall Progress'!L:L,'Overall Progress'!L:L,"NOT YET")</f>
        <v>NOT YET</v>
      </c>
      <c r="P756" s="26"/>
      <c r="Q756" s="26"/>
      <c r="R756" s="26"/>
      <c r="S756" s="26"/>
      <c r="T756" s="26"/>
      <c r="U756" s="26"/>
      <c r="V756" s="26"/>
      <c r="W756" s="26"/>
      <c r="X756" s="26"/>
      <c r="Y756" s="26"/>
      <c r="Z756" s="26"/>
    </row>
    <row r="757" hidden="1" customHeight="1" spans="1:26">
      <c r="A757" s="27">
        <v>191</v>
      </c>
      <c r="B757" s="27">
        <v>48</v>
      </c>
      <c r="C757" s="27" t="s">
        <v>541</v>
      </c>
      <c r="D757" s="27" t="s">
        <v>2892</v>
      </c>
      <c r="E757" s="27" t="s">
        <v>2899</v>
      </c>
      <c r="F757" s="27" t="str">
        <f t="shared" si="0"/>
        <v>Spatial Middle English Origin</v>
      </c>
      <c r="G757" s="27">
        <f t="shared" si="1"/>
        <v>7</v>
      </c>
      <c r="H757" s="27" t="s">
        <v>3666</v>
      </c>
      <c r="I757" s="27"/>
      <c r="J757" s="27"/>
      <c r="K757" s="27"/>
      <c r="L757" s="27" t="str">
        <f t="shared" si="2"/>
        <v>B</v>
      </c>
      <c r="M757" s="27" t="str">
        <f>IFERROR(__xludf.DUMMYFUNCTION("GOOGLETRANSLATE(C757,""EN"",""KN"")"),"ಸುಟ್ಟುಹಾಕು")</f>
        <v>ಸುಟ್ಟುಹಾಕು</v>
      </c>
      <c r="N757" s="27" t="str">
        <f t="array" ref="N757">_xlfn.XLOOKUP(B757,'Sets Progress'!I:I,'Sets Progress'!I:I,"NOT YET")</f>
        <v>NOT YET</v>
      </c>
      <c r="O757" s="27" t="str">
        <f t="array" ref="O757">_xlfn.XLOOKUP(L:L,'Overall Progress'!L:L,'Overall Progress'!L:L,"NOT YET")</f>
        <v>NOT YET</v>
      </c>
      <c r="P757" s="27"/>
      <c r="Q757" s="27"/>
      <c r="R757" s="27"/>
      <c r="S757" s="27"/>
      <c r="T757" s="27"/>
      <c r="U757" s="27"/>
      <c r="V757" s="27"/>
      <c r="W757" s="27"/>
      <c r="X757" s="27"/>
      <c r="Y757" s="27"/>
      <c r="Z757" s="27"/>
    </row>
    <row r="758" hidden="1" customHeight="1" spans="1:26">
      <c r="A758" s="26">
        <v>197</v>
      </c>
      <c r="B758" s="26">
        <v>48</v>
      </c>
      <c r="C758" s="26" t="s">
        <v>547</v>
      </c>
      <c r="D758" s="26" t="s">
        <v>2892</v>
      </c>
      <c r="E758" s="26" t="s">
        <v>2889</v>
      </c>
      <c r="F758" s="26" t="str">
        <f t="shared" si="0"/>
        <v>Spatial Latin Origin</v>
      </c>
      <c r="G758" s="26">
        <f t="shared" si="1"/>
        <v>9</v>
      </c>
      <c r="H758" s="26" t="s">
        <v>3667</v>
      </c>
      <c r="I758" s="26"/>
      <c r="J758" s="26"/>
      <c r="K758" s="26"/>
      <c r="L758" s="26" t="str">
        <f t="shared" si="2"/>
        <v>C</v>
      </c>
      <c r="M758" s="26" t="str">
        <f>IFERROR(__xludf.DUMMYFUNCTION("GOOGLETRANSLATE(C758,""EN"",""KN"")"),"ಮಾಪನಾಂಕ ನಿರ್ಣಯಿಸಿ")</f>
        <v>ಮಾಪನಾಂಕ ನಿರ್ಣಯಿಸಿ</v>
      </c>
      <c r="N758" s="26" t="str">
        <f t="array" ref="N758">_xlfn.XLOOKUP(B758,'Sets Progress'!I:I,'Sets Progress'!I:I,"NOT YET")</f>
        <v>NOT YET</v>
      </c>
      <c r="O758" s="26" t="str">
        <f t="array" ref="O758">_xlfn.XLOOKUP(L:L,'Overall Progress'!L:L,'Overall Progress'!L:L,"NOT YET")</f>
        <v>NOT YET</v>
      </c>
      <c r="P758" s="26"/>
      <c r="Q758" s="26"/>
      <c r="R758" s="26"/>
      <c r="S758" s="26"/>
      <c r="T758" s="26"/>
      <c r="U758" s="26"/>
      <c r="V758" s="26"/>
      <c r="W758" s="26"/>
      <c r="X758" s="26"/>
      <c r="Y758" s="26"/>
      <c r="Z758" s="26"/>
    </row>
    <row r="759" customHeight="1" spans="1:26">
      <c r="A759" s="27">
        <v>437</v>
      </c>
      <c r="B759" s="27">
        <v>48</v>
      </c>
      <c r="C759" s="27" t="s">
        <v>786</v>
      </c>
      <c r="D759" s="27" t="s">
        <v>2716</v>
      </c>
      <c r="E759" s="27" t="s">
        <v>2889</v>
      </c>
      <c r="F759" s="27" t="str">
        <f t="shared" si="0"/>
        <v>Negative Traits Latin Origin</v>
      </c>
      <c r="G759" s="27">
        <f t="shared" si="1"/>
        <v>7</v>
      </c>
      <c r="H759" s="27"/>
      <c r="I759" s="27"/>
      <c r="J759" s="27"/>
      <c r="K759" s="27"/>
      <c r="L759" s="27" t="str">
        <f t="shared" si="2"/>
        <v>D</v>
      </c>
      <c r="M759" s="27" t="str">
        <f>IFERROR(__xludf.DUMMYFUNCTION("GOOGLETRANSLATE(C759,""EN"",""KN"")"),"ಭಿನ್ನಾಭಿಪ್ರಾಯ")</f>
        <v>ಭಿನ್ನಾಭಿಪ್ರಾಯ</v>
      </c>
      <c r="N759" s="27" t="str">
        <f t="array" ref="N759">_xlfn.XLOOKUP(B759,'Sets Progress'!I:I,'Sets Progress'!I:I,"NOT YET")</f>
        <v>NOT YET</v>
      </c>
      <c r="O759" s="27" t="str">
        <f t="array" ref="O759">_xlfn.XLOOKUP(L:L,'Overall Progress'!L:L,'Overall Progress'!L:L,"NOT YET")</f>
        <v>NOT YET</v>
      </c>
      <c r="P759" s="27"/>
      <c r="Q759" s="27"/>
      <c r="R759" s="27"/>
      <c r="S759" s="27"/>
      <c r="T759" s="27"/>
      <c r="U759" s="27"/>
      <c r="V759" s="27"/>
      <c r="W759" s="27"/>
      <c r="X759" s="27"/>
      <c r="Y759" s="27"/>
      <c r="Z759" s="27"/>
    </row>
    <row r="760" customHeight="1" spans="1:26">
      <c r="A760" s="26">
        <v>582</v>
      </c>
      <c r="B760" s="26">
        <v>48</v>
      </c>
      <c r="C760" s="26" t="s">
        <v>927</v>
      </c>
      <c r="D760" s="26" t="s">
        <v>1721</v>
      </c>
      <c r="E760" s="26" t="s">
        <v>2908</v>
      </c>
      <c r="F760" s="26" t="str">
        <f t="shared" si="0"/>
        <v>Temporal Old English Origin</v>
      </c>
      <c r="G760" s="26">
        <f t="shared" si="1"/>
        <v>6</v>
      </c>
      <c r="H760" s="26"/>
      <c r="I760" s="26"/>
      <c r="J760" s="26"/>
      <c r="K760" s="26"/>
      <c r="L760" s="26" t="str">
        <f t="shared" si="2"/>
        <v>F</v>
      </c>
      <c r="M760" s="26" t="str">
        <f>IFERROR(__xludf.DUMMYFUNCTION("GOOGLETRANSLATE(C760,""EN"",""KN"")"),"ತಬ್ಬಿಬ್ಬು")</f>
        <v>ತಬ್ಬಿಬ್ಬು</v>
      </c>
      <c r="N760" s="26" t="str">
        <f t="array" ref="N760">_xlfn.XLOOKUP(B760,'Sets Progress'!I:I,'Sets Progress'!I:I,"NOT YET")</f>
        <v>NOT YET</v>
      </c>
      <c r="O760" s="26" t="str">
        <f t="array" ref="O760">_xlfn.XLOOKUP(L:L,'Overall Progress'!L:L,'Overall Progress'!L:L,"NOT YET")</f>
        <v>NOT YET</v>
      </c>
      <c r="P760" s="26"/>
      <c r="Q760" s="26"/>
      <c r="R760" s="26"/>
      <c r="S760" s="26"/>
      <c r="T760" s="26"/>
      <c r="U760" s="26"/>
      <c r="V760" s="26"/>
      <c r="W760" s="26"/>
      <c r="X760" s="26"/>
      <c r="Y760" s="26"/>
      <c r="Z760" s="26"/>
    </row>
    <row r="761" hidden="1" customHeight="1" spans="1:26">
      <c r="A761" s="27">
        <v>926</v>
      </c>
      <c r="B761" s="27">
        <v>48</v>
      </c>
      <c r="C761" s="27" t="s">
        <v>1262</v>
      </c>
      <c r="D761" s="27" t="s">
        <v>2716</v>
      </c>
      <c r="E761" s="27" t="s">
        <v>2893</v>
      </c>
      <c r="F761" s="27" t="str">
        <f t="shared" si="0"/>
        <v>Negative Traits Greek Origin</v>
      </c>
      <c r="G761" s="27">
        <f t="shared" si="1"/>
        <v>10</v>
      </c>
      <c r="H761" s="27" t="s">
        <v>3668</v>
      </c>
      <c r="I761" s="27"/>
      <c r="J761" s="27"/>
      <c r="K761" s="27"/>
      <c r="L761" s="27" t="str">
        <f t="shared" si="2"/>
        <v>M</v>
      </c>
      <c r="M761" s="27" t="str">
        <f>IFERROR(__xludf.DUMMYFUNCTION("GOOGLETRANSLATE(C761,""EN"",""KN"")"),"ಏಕತಾನತೆ")</f>
        <v>ಏಕತಾನತೆ</v>
      </c>
      <c r="N761" s="27" t="str">
        <f t="array" ref="N761">_xlfn.XLOOKUP(B761,'Sets Progress'!I:I,'Sets Progress'!I:I,"NOT YET")</f>
        <v>NOT YET</v>
      </c>
      <c r="O761" s="27" t="str">
        <f t="array" ref="O761">_xlfn.XLOOKUP(L:L,'Overall Progress'!L:L,'Overall Progress'!L:L,"NOT YET")</f>
        <v>NOT YET</v>
      </c>
      <c r="P761" s="27"/>
      <c r="Q761" s="27"/>
      <c r="R761" s="27"/>
      <c r="S761" s="27"/>
      <c r="T761" s="27"/>
      <c r="U761" s="27"/>
      <c r="V761" s="27"/>
      <c r="W761" s="27"/>
      <c r="X761" s="27"/>
      <c r="Y761" s="27"/>
      <c r="Z761" s="27"/>
    </row>
    <row r="762" hidden="1" customHeight="1" spans="1:26">
      <c r="A762" s="26">
        <v>966</v>
      </c>
      <c r="B762" s="26">
        <v>48</v>
      </c>
      <c r="C762" s="26" t="s">
        <v>1302</v>
      </c>
      <c r="D762" s="26" t="s">
        <v>1721</v>
      </c>
      <c r="E762" s="26" t="s">
        <v>2889</v>
      </c>
      <c r="F762" s="26" t="str">
        <f t="shared" si="0"/>
        <v>Temporal Latin Origin</v>
      </c>
      <c r="G762" s="26">
        <f t="shared" si="1"/>
        <v>9</v>
      </c>
      <c r="H762" s="26" t="s">
        <v>3669</v>
      </c>
      <c r="I762" s="26"/>
      <c r="J762" s="26"/>
      <c r="K762" s="26"/>
      <c r="L762" s="26" t="str">
        <f t="shared" si="2"/>
        <v>O</v>
      </c>
      <c r="M762" s="26" t="str">
        <f>IFERROR(__xludf.DUMMYFUNCTION("GOOGLETRANSLATE(C762,""EN"",""KN"")"),"ಅಸ್ಪಷ್ಟಗೊಳಿಸು")</f>
        <v>ಅಸ್ಪಷ್ಟಗೊಳಿಸು</v>
      </c>
      <c r="N762" s="26" t="str">
        <f t="array" ref="N762">_xlfn.XLOOKUP(B762,'Sets Progress'!I:I,'Sets Progress'!I:I,"NOT YET")</f>
        <v>NOT YET</v>
      </c>
      <c r="O762" s="26" t="str">
        <f t="array" ref="O762">_xlfn.XLOOKUP(L:L,'Overall Progress'!L:L,'Overall Progress'!L:L,"NOT YET")</f>
        <v>NOT YET</v>
      </c>
      <c r="P762" s="26"/>
      <c r="Q762" s="26"/>
      <c r="R762" s="26"/>
      <c r="S762" s="26"/>
      <c r="T762" s="26"/>
      <c r="U762" s="26"/>
      <c r="V762" s="26"/>
      <c r="W762" s="26"/>
      <c r="X762" s="26"/>
      <c r="Y762" s="26"/>
      <c r="Z762" s="26"/>
    </row>
    <row r="763" hidden="1" customHeight="1" spans="1:26">
      <c r="A763" s="27">
        <v>1016</v>
      </c>
      <c r="B763" s="27">
        <v>48</v>
      </c>
      <c r="C763" s="27" t="s">
        <v>1351</v>
      </c>
      <c r="D763" s="27" t="s">
        <v>2717</v>
      </c>
      <c r="E763" s="27" t="s">
        <v>2893</v>
      </c>
      <c r="F763" s="27" t="str">
        <f t="shared" si="0"/>
        <v>Positive Traits Greek Origin</v>
      </c>
      <c r="G763" s="27">
        <f t="shared" si="1"/>
        <v>7</v>
      </c>
      <c r="H763" s="27" t="s">
        <v>3670</v>
      </c>
      <c r="I763" s="27"/>
      <c r="J763" s="27"/>
      <c r="K763" s="27"/>
      <c r="L763" s="27" t="str">
        <f t="shared" si="2"/>
        <v>P</v>
      </c>
      <c r="M763" s="27" t="str">
        <f>IFERROR(__xludf.DUMMYFUNCTION("GOOGLETRANSLATE(C763,""EN"",""KN"")"),"ಪ್ಯಾರಾಗಾನ್")</f>
        <v>ಪ್ಯಾರಾಗಾನ್</v>
      </c>
      <c r="N763" s="27" t="str">
        <f t="array" ref="N763">_xlfn.XLOOKUP(B763,'Sets Progress'!I:I,'Sets Progress'!I:I,"NOT YET")</f>
        <v>NOT YET</v>
      </c>
      <c r="O763" s="27" t="str">
        <f t="array" ref="O763">_xlfn.XLOOKUP(L:L,'Overall Progress'!L:L,'Overall Progress'!L:L,"NOT YET")</f>
        <v>NOT YET</v>
      </c>
      <c r="P763" s="27"/>
      <c r="Q763" s="27"/>
      <c r="R763" s="27"/>
      <c r="S763" s="27"/>
      <c r="T763" s="27"/>
      <c r="U763" s="27"/>
      <c r="V763" s="27"/>
      <c r="W763" s="27"/>
      <c r="X763" s="27"/>
      <c r="Y763" s="27"/>
      <c r="Z763" s="27"/>
    </row>
    <row r="764" hidden="1" customHeight="1" spans="1:26">
      <c r="A764" s="26">
        <v>1141</v>
      </c>
      <c r="B764" s="26">
        <v>48</v>
      </c>
      <c r="C764" s="26" t="s">
        <v>1473</v>
      </c>
      <c r="D764" s="26" t="s">
        <v>2717</v>
      </c>
      <c r="E764" s="26" t="s">
        <v>2889</v>
      </c>
      <c r="F764" s="26" t="str">
        <f t="shared" si="0"/>
        <v>Positive Traits Latin Origin</v>
      </c>
      <c r="G764" s="26">
        <f t="shared" si="1"/>
        <v>12</v>
      </c>
      <c r="H764" s="26" t="s">
        <v>3671</v>
      </c>
      <c r="I764" s="26"/>
      <c r="J764" s="26"/>
      <c r="K764" s="26"/>
      <c r="L764" s="26" t="str">
        <f t="shared" si="2"/>
        <v>P</v>
      </c>
      <c r="M764" s="26" t="str">
        <f>IFERROR(__xludf.DUMMYFUNCTION("GOOGLETRANSLATE(C764,""EN"",""KN"")"),"ಪ್ರಾವಿಡೆನ್ಶಿಯಲ್")</f>
        <v>ಪ್ರಾವಿಡೆನ್ಶಿಯಲ್</v>
      </c>
      <c r="N764" s="26" t="str">
        <f t="array" ref="N764">_xlfn.XLOOKUP(B764,'Sets Progress'!I:I,'Sets Progress'!I:I,"NOT YET")</f>
        <v>NOT YET</v>
      </c>
      <c r="O764" s="26" t="str">
        <f t="array" ref="O764">_xlfn.XLOOKUP(L:L,'Overall Progress'!L:L,'Overall Progress'!L:L,"NOT YET")</f>
        <v>NOT YET</v>
      </c>
      <c r="P764" s="26"/>
      <c r="Q764" s="26"/>
      <c r="R764" s="26"/>
      <c r="S764" s="26"/>
      <c r="T764" s="26"/>
      <c r="U764" s="26"/>
      <c r="V764" s="26"/>
      <c r="W764" s="26"/>
      <c r="X764" s="26"/>
      <c r="Y764" s="26"/>
      <c r="Z764" s="26"/>
    </row>
    <row r="765" hidden="1" customHeight="1" spans="1:26">
      <c r="A765" s="27">
        <v>1152</v>
      </c>
      <c r="B765" s="27">
        <v>48</v>
      </c>
      <c r="C765" s="27" t="s">
        <v>1483</v>
      </c>
      <c r="D765" s="27" t="s">
        <v>1721</v>
      </c>
      <c r="E765" s="27" t="s">
        <v>2921</v>
      </c>
      <c r="F765" s="27" t="str">
        <f t="shared" si="0"/>
        <v>Temporal Unknown Origin</v>
      </c>
      <c r="G765" s="27">
        <f t="shared" si="1"/>
        <v>6</v>
      </c>
      <c r="H765" s="27" t="s">
        <v>3672</v>
      </c>
      <c r="I765" s="27"/>
      <c r="J765" s="27"/>
      <c r="K765" s="27"/>
      <c r="L765" s="27" t="str">
        <f t="shared" si="2"/>
        <v>P</v>
      </c>
      <c r="M765" s="27" t="str">
        <f>IFERROR(__xludf.DUMMYFUNCTION("GOOGLETRANSLATE(C765,""EN"",""KN"")"),"ಒಗಟು")</f>
        <v>ಒಗಟು</v>
      </c>
      <c r="N765" s="27" t="str">
        <f t="array" ref="N765">_xlfn.XLOOKUP(B765,'Sets Progress'!I:I,'Sets Progress'!I:I,"NOT YET")</f>
        <v>NOT YET</v>
      </c>
      <c r="O765" s="27" t="str">
        <f t="array" ref="O765">_xlfn.XLOOKUP(L:L,'Overall Progress'!L:L,'Overall Progress'!L:L,"NOT YET")</f>
        <v>NOT YET</v>
      </c>
      <c r="P765" s="27"/>
      <c r="Q765" s="27"/>
      <c r="R765" s="27"/>
      <c r="S765" s="27"/>
      <c r="T765" s="27"/>
      <c r="U765" s="27"/>
      <c r="V765" s="27"/>
      <c r="W765" s="27"/>
      <c r="X765" s="27"/>
      <c r="Y765" s="27"/>
      <c r="Z765" s="27"/>
    </row>
    <row r="766" customHeight="1" spans="1:26">
      <c r="A766" s="26">
        <v>1164</v>
      </c>
      <c r="B766" s="26">
        <v>48</v>
      </c>
      <c r="C766" s="26" t="s">
        <v>1495</v>
      </c>
      <c r="D766" s="26" t="s">
        <v>2717</v>
      </c>
      <c r="E766" s="26" t="s">
        <v>2911</v>
      </c>
      <c r="F766" s="26" t="str">
        <f t="shared" si="0"/>
        <v>Positive Traits French Origin</v>
      </c>
      <c r="G766" s="26">
        <f t="shared" si="1"/>
        <v>8</v>
      </c>
      <c r="H766" s="26"/>
      <c r="I766" s="26"/>
      <c r="J766" s="26"/>
      <c r="K766" s="26"/>
      <c r="L766" s="26" t="str">
        <f t="shared" si="2"/>
        <v>R</v>
      </c>
      <c r="M766" s="26" t="str">
        <f>IFERROR(__xludf.DUMMYFUNCTION("GOOGLETRANSLATE(C766,""EN"",""KN"")"),"ರೈಲರಿ")</f>
        <v>ರೈಲರಿ</v>
      </c>
      <c r="N766" s="26" t="str">
        <f t="array" ref="N766">_xlfn.XLOOKUP(B766,'Sets Progress'!I:I,'Sets Progress'!I:I,"NOT YET")</f>
        <v>NOT YET</v>
      </c>
      <c r="O766" s="26" t="str">
        <f t="array" ref="O766">_xlfn.XLOOKUP(L:L,'Overall Progress'!L:L,'Overall Progress'!L:L,"NOT YET")</f>
        <v>NOT YET</v>
      </c>
      <c r="P766" s="26"/>
      <c r="Q766" s="26"/>
      <c r="R766" s="26"/>
      <c r="S766" s="26"/>
      <c r="T766" s="26"/>
      <c r="U766" s="26"/>
      <c r="V766" s="26"/>
      <c r="W766" s="26"/>
      <c r="X766" s="26"/>
      <c r="Y766" s="26"/>
      <c r="Z766" s="26"/>
    </row>
    <row r="767" customHeight="1" spans="1:26">
      <c r="A767" s="27">
        <v>1217</v>
      </c>
      <c r="B767" s="27">
        <v>48</v>
      </c>
      <c r="C767" s="27" t="s">
        <v>1548</v>
      </c>
      <c r="D767" s="27" t="s">
        <v>2717</v>
      </c>
      <c r="E767" s="27" t="s">
        <v>2889</v>
      </c>
      <c r="F767" s="27" t="str">
        <f t="shared" si="0"/>
        <v>Positive Traits Latin Origin</v>
      </c>
      <c r="G767" s="27">
        <f t="shared" si="1"/>
        <v>9</v>
      </c>
      <c r="H767" s="27"/>
      <c r="I767" s="27"/>
      <c r="J767" s="27"/>
      <c r="K767" s="27"/>
      <c r="L767" s="27" t="str">
        <f t="shared" si="2"/>
        <v>R</v>
      </c>
      <c r="M767" s="27" t="str">
        <f>IFERROR(__xludf.DUMMYFUNCTION("GOOGLETRANSLATE(C767,""EN"",""KN"")"),"ಸ್ಥಿತಿಸ್ಥಾಪಕ")</f>
        <v>ಸ್ಥಿತಿಸ್ಥಾಪಕ</v>
      </c>
      <c r="N767" s="27" t="str">
        <f t="array" ref="N767">_xlfn.XLOOKUP(B767,'Sets Progress'!I:I,'Sets Progress'!I:I,"NOT YET")</f>
        <v>NOT YET</v>
      </c>
      <c r="O767" s="27" t="str">
        <f t="array" ref="O767">_xlfn.XLOOKUP(L:L,'Overall Progress'!L:L,'Overall Progress'!L:L,"NOT YET")</f>
        <v>NOT YET</v>
      </c>
      <c r="P767" s="27"/>
      <c r="Q767" s="27"/>
      <c r="R767" s="27"/>
      <c r="S767" s="27"/>
      <c r="T767" s="27"/>
      <c r="U767" s="27"/>
      <c r="V767" s="27"/>
      <c r="W767" s="27"/>
      <c r="X767" s="27"/>
      <c r="Y767" s="27"/>
      <c r="Z767" s="27"/>
    </row>
    <row r="768" customHeight="1" spans="1:26">
      <c r="A768" s="26">
        <v>1250</v>
      </c>
      <c r="B768" s="26">
        <v>48</v>
      </c>
      <c r="C768" s="26" t="s">
        <v>1581</v>
      </c>
      <c r="D768" s="26" t="s">
        <v>1721</v>
      </c>
      <c r="E768" s="26" t="s">
        <v>2889</v>
      </c>
      <c r="F768" s="26" t="str">
        <f t="shared" si="0"/>
        <v>Temporal Latin Origin</v>
      </c>
      <c r="G768" s="26">
        <f t="shared" si="1"/>
        <v>9</v>
      </c>
      <c r="H768" s="26"/>
      <c r="I768" s="26"/>
      <c r="J768" s="26"/>
      <c r="K768" s="26"/>
      <c r="L768" s="26" t="str">
        <f t="shared" si="2"/>
        <v>S</v>
      </c>
      <c r="M768" s="26" t="str">
        <f>IFERROR(__xludf.DUMMYFUNCTION("GOOGLETRANSLATE(C768,""EN"",""KN"")"),"ಸಾರ್ಟೋರಿಯಲ್")</f>
        <v>ಸಾರ್ಟೋರಿಯಲ್</v>
      </c>
      <c r="N768" s="26" t="str">
        <f t="array" ref="N768">_xlfn.XLOOKUP(B768,'Sets Progress'!I:I,'Sets Progress'!I:I,"NOT YET")</f>
        <v>NOT YET</v>
      </c>
      <c r="O768" s="26" t="str">
        <f t="array" ref="O768">_xlfn.XLOOKUP(L:L,'Overall Progress'!L:L,'Overall Progress'!L:L,"NOT YET")</f>
        <v>NOT YET</v>
      </c>
      <c r="P768" s="26"/>
      <c r="Q768" s="26"/>
      <c r="R768" s="26"/>
      <c r="S768" s="26"/>
      <c r="T768" s="26"/>
      <c r="U768" s="26"/>
      <c r="V768" s="26"/>
      <c r="W768" s="26"/>
      <c r="X768" s="26"/>
      <c r="Y768" s="26"/>
      <c r="Z768" s="26"/>
    </row>
    <row r="769" hidden="1" customHeight="1" spans="1:26">
      <c r="A769" s="27">
        <v>1455</v>
      </c>
      <c r="B769" s="27">
        <v>48</v>
      </c>
      <c r="C769" s="27" t="s">
        <v>1783</v>
      </c>
      <c r="D769" s="27" t="s">
        <v>2716</v>
      </c>
      <c r="E769" s="27" t="s">
        <v>2921</v>
      </c>
      <c r="F769" s="27" t="str">
        <f t="shared" si="0"/>
        <v>Negative Traits Unknown Origin</v>
      </c>
      <c r="G769" s="27">
        <f t="shared" si="1"/>
        <v>12</v>
      </c>
      <c r="H769" s="27" t="s">
        <v>3673</v>
      </c>
      <c r="I769" s="27"/>
      <c r="J769" s="27"/>
      <c r="K769" s="27"/>
      <c r="L769" s="27" t="str">
        <f t="shared" si="2"/>
        <v>U</v>
      </c>
      <c r="M769" s="27" t="str">
        <f>IFERROR(__xludf.DUMMYFUNCTION("GOOGLETRANSLATE(C769,""EN"",""KN"")"),"ಪತ್ತೆಹಚ್ಚಲಾಗದ")</f>
        <v>ಪತ್ತೆಹಚ್ಚಲಾಗದ</v>
      </c>
      <c r="N769" s="27" t="str">
        <f t="array" ref="N769">_xlfn.XLOOKUP(B769,'Sets Progress'!I:I,'Sets Progress'!I:I,"NOT YET")</f>
        <v>NOT YET</v>
      </c>
      <c r="O769" s="27" t="str">
        <f t="array" ref="O769">_xlfn.XLOOKUP(L:L,'Overall Progress'!L:L,'Overall Progress'!L:L,"NOT YET")</f>
        <v>NOT YET</v>
      </c>
      <c r="P769" s="27"/>
      <c r="Q769" s="27"/>
      <c r="R769" s="27"/>
      <c r="S769" s="27"/>
      <c r="T769" s="27"/>
      <c r="U769" s="27"/>
      <c r="V769" s="27"/>
      <c r="W769" s="27"/>
      <c r="X769" s="27"/>
      <c r="Y769" s="27"/>
      <c r="Z769" s="27"/>
    </row>
    <row r="770" hidden="1" customHeight="1" spans="1:26">
      <c r="A770" s="26">
        <v>1467</v>
      </c>
      <c r="B770" s="26">
        <v>48</v>
      </c>
      <c r="C770" s="26" t="s">
        <v>1795</v>
      </c>
      <c r="D770" s="26" t="s">
        <v>1721</v>
      </c>
      <c r="E770" s="26" t="s">
        <v>2889</v>
      </c>
      <c r="F770" s="26" t="str">
        <f t="shared" si="0"/>
        <v>Temporal Latin Origin</v>
      </c>
      <c r="G770" s="26">
        <f t="shared" si="1"/>
        <v>9</v>
      </c>
      <c r="H770" s="26" t="s">
        <v>3674</v>
      </c>
      <c r="I770" s="26"/>
      <c r="J770" s="26"/>
      <c r="K770" s="26"/>
      <c r="L770" s="26" t="str">
        <f t="shared" si="2"/>
        <v>U</v>
      </c>
      <c r="M770" s="26" t="str">
        <f>IFERROR(__xludf.DUMMYFUNCTION("GOOGLETRANSLATE(C770,""EN"",""KN"")"),"ಯುನಿವರ್ಸಲ್")</f>
        <v>ಯುನಿವರ್ಸಲ್</v>
      </c>
      <c r="N770" s="26" t="str">
        <f t="array" ref="N770">_xlfn.XLOOKUP(B770,'Sets Progress'!I:I,'Sets Progress'!I:I,"NOT YET")</f>
        <v>NOT YET</v>
      </c>
      <c r="O770" s="26" t="str">
        <f t="array" ref="O770">_xlfn.XLOOKUP(L:L,'Overall Progress'!L:L,'Overall Progress'!L:L,"NOT YET")</f>
        <v>NOT YET</v>
      </c>
      <c r="P770" s="26"/>
      <c r="Q770" s="26"/>
      <c r="R770" s="26"/>
      <c r="S770" s="26"/>
      <c r="T770" s="26"/>
      <c r="U770" s="26"/>
      <c r="V770" s="26"/>
      <c r="W770" s="26"/>
      <c r="X770" s="26"/>
      <c r="Y770" s="26"/>
      <c r="Z770" s="26"/>
    </row>
    <row r="771" hidden="1" customHeight="1" spans="1:26">
      <c r="A771" s="27">
        <v>1522</v>
      </c>
      <c r="B771" s="27">
        <v>48</v>
      </c>
      <c r="C771" s="27" t="s">
        <v>1850</v>
      </c>
      <c r="D771" s="27" t="s">
        <v>2717</v>
      </c>
      <c r="E771" s="27" t="s">
        <v>2908</v>
      </c>
      <c r="F771" s="27" t="str">
        <f t="shared" si="0"/>
        <v>Positive Traits Old English Origin</v>
      </c>
      <c r="G771" s="27">
        <f t="shared" si="1"/>
        <v>7</v>
      </c>
      <c r="H771" s="27" t="s">
        <v>3675</v>
      </c>
      <c r="I771" s="27"/>
      <c r="J771" s="27"/>
      <c r="K771" s="27"/>
      <c r="L771" s="27" t="str">
        <f t="shared" si="2"/>
        <v>W</v>
      </c>
      <c r="M771" s="27" t="str">
        <f>IFERROR(__xludf.DUMMYFUNCTION("GOOGLETRANSLATE(C771,""EN"",""KN"")"),"ವಾಗ್ಗಿಶ್")</f>
        <v>ವಾಗ್ಗಿಶ್</v>
      </c>
      <c r="N771" s="27" t="str">
        <f t="array" ref="N771">_xlfn.XLOOKUP(B771,'Sets Progress'!I:I,'Sets Progress'!I:I,"NOT YET")</f>
        <v>NOT YET</v>
      </c>
      <c r="O771" s="27" t="str">
        <f t="array" ref="O771">_xlfn.XLOOKUP(L:L,'Overall Progress'!L:L,'Overall Progress'!L:L,"NOT YET")</f>
        <v>NOT YET</v>
      </c>
      <c r="P771" s="27"/>
      <c r="Q771" s="27"/>
      <c r="R771" s="27"/>
      <c r="S771" s="27"/>
      <c r="T771" s="27"/>
      <c r="U771" s="27"/>
      <c r="V771" s="27"/>
      <c r="W771" s="27"/>
      <c r="X771" s="27"/>
      <c r="Y771" s="27"/>
      <c r="Z771" s="27"/>
    </row>
    <row r="772" hidden="1" customHeight="1" spans="1:26">
      <c r="A772" s="26">
        <v>1528</v>
      </c>
      <c r="B772" s="26">
        <v>48</v>
      </c>
      <c r="C772" s="26" t="s">
        <v>1856</v>
      </c>
      <c r="D772" s="26" t="s">
        <v>2716</v>
      </c>
      <c r="E772" s="26" t="s">
        <v>2908</v>
      </c>
      <c r="F772" s="26" t="str">
        <f t="shared" si="0"/>
        <v>Negative Traits Old English Origin</v>
      </c>
      <c r="G772" s="26">
        <f t="shared" si="1"/>
        <v>7</v>
      </c>
      <c r="H772" s="26" t="s">
        <v>3676</v>
      </c>
      <c r="I772" s="26"/>
      <c r="J772" s="26"/>
      <c r="K772" s="26"/>
      <c r="L772" s="26" t="str">
        <f t="shared" si="2"/>
        <v>W</v>
      </c>
      <c r="M772" s="26" t="str">
        <f>IFERROR(__xludf.DUMMYFUNCTION("GOOGLETRANSLATE(C772,""EN"",""KN"")"),"ದಾರಿ ತಪ್ಪಿದ")</f>
        <v>ದಾರಿ ತಪ್ಪಿದ</v>
      </c>
      <c r="N772" s="26" t="str">
        <f t="array" ref="N772">_xlfn.XLOOKUP(B772,'Sets Progress'!I:I,'Sets Progress'!I:I,"NOT YET")</f>
        <v>NOT YET</v>
      </c>
      <c r="O772" s="26" t="str">
        <f t="array" ref="O772">_xlfn.XLOOKUP(L:L,'Overall Progress'!L:L,'Overall Progress'!L:L,"NOT YET")</f>
        <v>NOT YET</v>
      </c>
      <c r="P772" s="26"/>
      <c r="Q772" s="26"/>
      <c r="R772" s="26"/>
      <c r="S772" s="26"/>
      <c r="T772" s="26"/>
      <c r="U772" s="26"/>
      <c r="V772" s="26"/>
      <c r="W772" s="26"/>
      <c r="X772" s="26"/>
      <c r="Y772" s="26"/>
      <c r="Z772" s="26"/>
    </row>
    <row r="773" hidden="1" customHeight="1" spans="1:26">
      <c r="A773" s="27">
        <v>1530</v>
      </c>
      <c r="B773" s="27">
        <v>48</v>
      </c>
      <c r="C773" s="27" t="s">
        <v>1858</v>
      </c>
      <c r="D773" s="27" t="s">
        <v>2716</v>
      </c>
      <c r="E773" s="27" t="s">
        <v>2908</v>
      </c>
      <c r="F773" s="27" t="str">
        <f t="shared" si="0"/>
        <v>Negative Traits Old English Origin</v>
      </c>
      <c r="G773" s="27">
        <f t="shared" si="1"/>
        <v>5</v>
      </c>
      <c r="H773" s="27" t="s">
        <v>3677</v>
      </c>
      <c r="I773" s="27"/>
      <c r="J773" s="27"/>
      <c r="K773" s="27"/>
      <c r="L773" s="27" t="str">
        <f t="shared" si="2"/>
        <v>W</v>
      </c>
      <c r="M773" s="27" t="str">
        <f>IFERROR(__xludf.DUMMYFUNCTION("GOOGLETRANSLATE(C773,""EN"",""KN"")"),"ಸುಸ್ತಾಗಿದೆ")</f>
        <v>ಸುಸ್ತಾಗಿದೆ</v>
      </c>
      <c r="N773" s="27" t="str">
        <f t="array" ref="N773">_xlfn.XLOOKUP(B773,'Sets Progress'!I:I,'Sets Progress'!I:I,"NOT YET")</f>
        <v>NOT YET</v>
      </c>
      <c r="O773" s="27" t="str">
        <f t="array" ref="O773">_xlfn.XLOOKUP(L:L,'Overall Progress'!L:L,'Overall Progress'!L:L,"NOT YET")</f>
        <v>NOT YET</v>
      </c>
      <c r="P773" s="27"/>
      <c r="Q773" s="27"/>
      <c r="R773" s="27"/>
      <c r="S773" s="27"/>
      <c r="T773" s="27"/>
      <c r="U773" s="27"/>
      <c r="V773" s="27"/>
      <c r="W773" s="27"/>
      <c r="X773" s="27"/>
      <c r="Y773" s="27"/>
      <c r="Z773" s="27"/>
    </row>
    <row r="774" hidden="1" customHeight="1" spans="1:26">
      <c r="A774" s="26">
        <v>129</v>
      </c>
      <c r="B774" s="26">
        <v>49</v>
      </c>
      <c r="C774" s="26" t="s">
        <v>478</v>
      </c>
      <c r="D774" s="26" t="s">
        <v>1721</v>
      </c>
      <c r="E774" s="26" t="s">
        <v>2889</v>
      </c>
      <c r="F774" s="26" t="str">
        <f t="shared" si="0"/>
        <v>Temporal Latin Origin</v>
      </c>
      <c r="G774" s="26">
        <f t="shared" si="1"/>
        <v>6</v>
      </c>
      <c r="H774" s="26" t="s">
        <v>3678</v>
      </c>
      <c r="I774" s="26"/>
      <c r="J774" s="26"/>
      <c r="K774" s="26"/>
      <c r="L774" s="26" t="str">
        <f t="shared" si="2"/>
        <v>A</v>
      </c>
      <c r="M774" s="26" t="str">
        <f>IFERROR(__xludf.DUMMYFUNCTION("GOOGLETRANSLATE(C774,""EN"",""KN"")"),"ಆಗಸ್ಟ್")</f>
        <v>ಆಗಸ್ಟ್</v>
      </c>
      <c r="N774" s="26" t="str">
        <f t="array" ref="N774">_xlfn.XLOOKUP(B774,'Sets Progress'!I:I,'Sets Progress'!I:I,"NOT YET")</f>
        <v>NOT YET</v>
      </c>
      <c r="O774" s="26" t="str">
        <f t="array" ref="O774">_xlfn.XLOOKUP(L:L,'Overall Progress'!L:L,'Overall Progress'!L:L,"NOT YET")</f>
        <v>NOT YET</v>
      </c>
      <c r="P774" s="26"/>
      <c r="Q774" s="26"/>
      <c r="R774" s="26"/>
      <c r="S774" s="26"/>
      <c r="T774" s="26"/>
      <c r="U774" s="26"/>
      <c r="V774" s="26"/>
      <c r="W774" s="26"/>
      <c r="X774" s="26"/>
      <c r="Y774" s="26"/>
      <c r="Z774" s="26"/>
    </row>
    <row r="775" hidden="1" customHeight="1" spans="1:26">
      <c r="A775" s="27">
        <v>296</v>
      </c>
      <c r="B775" s="27">
        <v>49</v>
      </c>
      <c r="C775" s="27" t="s">
        <v>649</v>
      </c>
      <c r="D775" s="27" t="s">
        <v>1721</v>
      </c>
      <c r="E775" s="27" t="s">
        <v>2889</v>
      </c>
      <c r="F775" s="27" t="str">
        <f t="shared" si="0"/>
        <v>Temporal Latin Origin</v>
      </c>
      <c r="G775" s="27">
        <f t="shared" si="1"/>
        <v>7</v>
      </c>
      <c r="H775" s="27" t="s">
        <v>3679</v>
      </c>
      <c r="I775" s="27"/>
      <c r="J775" s="27"/>
      <c r="K775" s="27"/>
      <c r="L775" s="27" t="str">
        <f t="shared" si="2"/>
        <v>C</v>
      </c>
      <c r="M775" s="27" t="str">
        <f>IFERROR(__xludf.DUMMYFUNCTION("GOOGLETRANSLATE(C775,""EN"",""KN"")"),"ವಾದ ಮಾಡು")</f>
        <v>ವಾದ ಮಾಡು</v>
      </c>
      <c r="N775" s="27" t="str">
        <f t="array" ref="N775">_xlfn.XLOOKUP(B775,'Sets Progress'!I:I,'Sets Progress'!I:I,"NOT YET")</f>
        <v>NOT YET</v>
      </c>
      <c r="O775" s="27" t="str">
        <f t="array" ref="O775">_xlfn.XLOOKUP(L:L,'Overall Progress'!L:L,'Overall Progress'!L:L,"NOT YET")</f>
        <v>NOT YET</v>
      </c>
      <c r="P775" s="27"/>
      <c r="Q775" s="27"/>
      <c r="R775" s="27"/>
      <c r="S775" s="27"/>
      <c r="T775" s="27"/>
      <c r="U775" s="27"/>
      <c r="V775" s="27"/>
      <c r="W775" s="27"/>
      <c r="X775" s="27"/>
      <c r="Y775" s="27"/>
      <c r="Z775" s="27"/>
    </row>
    <row r="776" hidden="1" customHeight="1" spans="1:26">
      <c r="A776" s="26">
        <v>488</v>
      </c>
      <c r="B776" s="26">
        <v>49</v>
      </c>
      <c r="C776" s="26" t="s">
        <v>837</v>
      </c>
      <c r="D776" s="26" t="s">
        <v>2717</v>
      </c>
      <c r="E776" s="26" t="s">
        <v>2889</v>
      </c>
      <c r="F776" s="26" t="str">
        <f t="shared" si="0"/>
        <v>Positive Traits Latin Origin</v>
      </c>
      <c r="G776" s="26">
        <f t="shared" si="1"/>
        <v>8</v>
      </c>
      <c r="H776" s="26" t="s">
        <v>3680</v>
      </c>
      <c r="I776" s="26"/>
      <c r="J776" s="26"/>
      <c r="K776" s="26"/>
      <c r="L776" s="26" t="str">
        <f t="shared" si="2"/>
        <v>E</v>
      </c>
      <c r="M776" s="26" t="str">
        <f>IFERROR(__xludf.DUMMYFUNCTION("GOOGLETRANSLATE(C776,""EN"",""KN"")"),"ನಿರರ್ಗಳ")</f>
        <v>ನಿರರ್ಗಳ</v>
      </c>
      <c r="N776" s="26" t="str">
        <f t="array" ref="N776">_xlfn.XLOOKUP(B776,'Sets Progress'!I:I,'Sets Progress'!I:I,"NOT YET")</f>
        <v>NOT YET</v>
      </c>
      <c r="O776" s="26" t="str">
        <f t="array" ref="O776">_xlfn.XLOOKUP(L:L,'Overall Progress'!L:L,'Overall Progress'!L:L,"NOT YET")</f>
        <v>NOT YET</v>
      </c>
      <c r="P776" s="26"/>
      <c r="Q776" s="26"/>
      <c r="R776" s="26"/>
      <c r="S776" s="26"/>
      <c r="T776" s="26"/>
      <c r="U776" s="26"/>
      <c r="V776" s="26"/>
      <c r="W776" s="26"/>
      <c r="X776" s="26"/>
      <c r="Y776" s="26"/>
      <c r="Z776" s="26"/>
    </row>
    <row r="777" customHeight="1" spans="1:26">
      <c r="A777" s="27">
        <v>518</v>
      </c>
      <c r="B777" s="27">
        <v>49</v>
      </c>
      <c r="C777" s="27" t="s">
        <v>867</v>
      </c>
      <c r="D777" s="27" t="s">
        <v>1721</v>
      </c>
      <c r="E777" s="27" t="s">
        <v>2896</v>
      </c>
      <c r="F777" s="27" t="str">
        <f t="shared" si="0"/>
        <v>Temporal Old French Origin</v>
      </c>
      <c r="G777" s="27">
        <f t="shared" si="1"/>
        <v>8</v>
      </c>
      <c r="H777" s="27"/>
      <c r="I777" s="27"/>
      <c r="J777" s="27"/>
      <c r="K777" s="27"/>
      <c r="L777" s="27" t="str">
        <f t="shared" si="2"/>
        <v>E</v>
      </c>
      <c r="M777" s="27" t="str">
        <f>IFERROR(__xludf.DUMMYFUNCTION("GOOGLETRANSLATE(C777,""EN"",""KN"")"),"ಮನವಿ")</f>
        <v>ಮನವಿ</v>
      </c>
      <c r="N777" s="27" t="str">
        <f t="array" ref="N777">_xlfn.XLOOKUP(B777,'Sets Progress'!I:I,'Sets Progress'!I:I,"NOT YET")</f>
        <v>NOT YET</v>
      </c>
      <c r="O777" s="27" t="str">
        <f t="array" ref="O777">_xlfn.XLOOKUP(L:L,'Overall Progress'!L:L,'Overall Progress'!L:L,"NOT YET")</f>
        <v>NOT YET</v>
      </c>
      <c r="P777" s="27"/>
      <c r="Q777" s="27"/>
      <c r="R777" s="27"/>
      <c r="S777" s="27"/>
      <c r="T777" s="27"/>
      <c r="U777" s="27"/>
      <c r="V777" s="27"/>
      <c r="W777" s="27"/>
      <c r="X777" s="27"/>
      <c r="Y777" s="27"/>
      <c r="Z777" s="27"/>
    </row>
    <row r="778" customHeight="1" spans="1:26">
      <c r="A778" s="26">
        <v>579</v>
      </c>
      <c r="B778" s="26">
        <v>49</v>
      </c>
      <c r="C778" s="26" t="s">
        <v>924</v>
      </c>
      <c r="D778" s="26" t="s">
        <v>2716</v>
      </c>
      <c r="E778" s="26" t="s">
        <v>2889</v>
      </c>
      <c r="F778" s="26" t="str">
        <f t="shared" si="0"/>
        <v>Negative Traits Latin Origin</v>
      </c>
      <c r="G778" s="26">
        <f t="shared" si="1"/>
        <v>10</v>
      </c>
      <c r="H778" s="26"/>
      <c r="I778" s="26"/>
      <c r="J778" s="26"/>
      <c r="K778" s="26"/>
      <c r="L778" s="26" t="str">
        <f t="shared" si="2"/>
        <v>F</v>
      </c>
      <c r="M778" s="26" t="str">
        <f>IFERROR(__xludf.DUMMYFUNCTION("GOOGLETRANSLATE(C778,""EN"",""KN"")"),"ತಪ್ಪು")</f>
        <v>ತಪ್ಪು</v>
      </c>
      <c r="N778" s="26" t="str">
        <f t="array" ref="N778">_xlfn.XLOOKUP(B778,'Sets Progress'!I:I,'Sets Progress'!I:I,"NOT YET")</f>
        <v>NOT YET</v>
      </c>
      <c r="O778" s="26" t="str">
        <f t="array" ref="O778">_xlfn.XLOOKUP(L:L,'Overall Progress'!L:L,'Overall Progress'!L:L,"NOT YET")</f>
        <v>NOT YET</v>
      </c>
      <c r="P778" s="26"/>
      <c r="Q778" s="26"/>
      <c r="R778" s="26"/>
      <c r="S778" s="26"/>
      <c r="T778" s="26"/>
      <c r="U778" s="26"/>
      <c r="V778" s="26"/>
      <c r="W778" s="26"/>
      <c r="X778" s="26"/>
      <c r="Y778" s="26"/>
      <c r="Z778" s="26"/>
    </row>
    <row r="779" hidden="1" customHeight="1" spans="1:26">
      <c r="A779" s="27">
        <v>714</v>
      </c>
      <c r="B779" s="27">
        <v>49</v>
      </c>
      <c r="C779" s="27" t="s">
        <v>1056</v>
      </c>
      <c r="D779" s="27" t="s">
        <v>2717</v>
      </c>
      <c r="E779" s="27" t="s">
        <v>2889</v>
      </c>
      <c r="F779" s="27" t="str">
        <f t="shared" si="0"/>
        <v>Positive Traits Latin Origin</v>
      </c>
      <c r="G779" s="27">
        <f t="shared" si="1"/>
        <v>8</v>
      </c>
      <c r="H779" s="27" t="s">
        <v>3681</v>
      </c>
      <c r="I779" s="27"/>
      <c r="J779" s="27"/>
      <c r="K779" s="27"/>
      <c r="L779" s="27" t="str">
        <f t="shared" si="2"/>
        <v>I</v>
      </c>
      <c r="M779" s="27" t="str">
        <f>IFERROR(__xludf.DUMMYFUNCTION("GOOGLETRANSLATE(C779,""EN"",""KN"")"),"ರೋಗನಿರೋಧಕ ಶಕ್ತಿ")</f>
        <v>ರೋಗನಿರೋಧಕ ಶಕ್ತಿ</v>
      </c>
      <c r="N779" s="27" t="str">
        <f t="array" ref="N779">_xlfn.XLOOKUP(B779,'Sets Progress'!I:I,'Sets Progress'!I:I,"NOT YET")</f>
        <v>NOT YET</v>
      </c>
      <c r="O779" s="27" t="str">
        <f t="array" ref="O779">_xlfn.XLOOKUP(L:L,'Overall Progress'!L:L,'Overall Progress'!L:L,"NOT YET")</f>
        <v>NOT YET</v>
      </c>
      <c r="P779" s="27"/>
      <c r="Q779" s="27"/>
      <c r="R779" s="27"/>
      <c r="S779" s="27"/>
      <c r="T779" s="27"/>
      <c r="U779" s="27"/>
      <c r="V779" s="27"/>
      <c r="W779" s="27"/>
      <c r="X779" s="27"/>
      <c r="Y779" s="27"/>
      <c r="Z779" s="27"/>
    </row>
    <row r="780" hidden="1" customHeight="1" spans="1:26">
      <c r="A780" s="26">
        <v>754</v>
      </c>
      <c r="B780" s="26">
        <v>49</v>
      </c>
      <c r="C780" s="26" t="s">
        <v>1095</v>
      </c>
      <c r="D780" s="26" t="s">
        <v>1721</v>
      </c>
      <c r="E780" s="26" t="s">
        <v>2908</v>
      </c>
      <c r="F780" s="26" t="str">
        <f t="shared" si="0"/>
        <v>Temporal Old English Origin</v>
      </c>
      <c r="G780" s="26">
        <f t="shared" si="1"/>
        <v>8</v>
      </c>
      <c r="H780" s="26" t="s">
        <v>3682</v>
      </c>
      <c r="I780" s="26"/>
      <c r="J780" s="26"/>
      <c r="K780" s="26"/>
      <c r="L780" s="26" t="str">
        <f t="shared" si="2"/>
        <v>I</v>
      </c>
      <c r="M780" s="26" t="str">
        <f>IFERROR(__xludf.DUMMYFUNCTION("GOOGLETRANSLATE(C780,""EN"",""KN"")"),"ಋಣಿಯಾಗಿದೆ")</f>
        <v>ಋಣಿಯಾಗಿದೆ</v>
      </c>
      <c r="N780" s="26" t="str">
        <f t="array" ref="N780">_xlfn.XLOOKUP(B780,'Sets Progress'!I:I,'Sets Progress'!I:I,"NOT YET")</f>
        <v>NOT YET</v>
      </c>
      <c r="O780" s="26" t="str">
        <f t="array" ref="O780">_xlfn.XLOOKUP(L:L,'Overall Progress'!L:L,'Overall Progress'!L:L,"NOT YET")</f>
        <v>NOT YET</v>
      </c>
      <c r="P780" s="26"/>
      <c r="Q780" s="26"/>
      <c r="R780" s="26"/>
      <c r="S780" s="26"/>
      <c r="T780" s="26"/>
      <c r="U780" s="26"/>
      <c r="V780" s="26"/>
      <c r="W780" s="26"/>
      <c r="X780" s="26"/>
      <c r="Y780" s="26"/>
      <c r="Z780" s="26"/>
    </row>
    <row r="781" customHeight="1" spans="1:26">
      <c r="A781" s="27">
        <v>785</v>
      </c>
      <c r="B781" s="27">
        <v>49</v>
      </c>
      <c r="C781" s="27" t="s">
        <v>1126</v>
      </c>
      <c r="D781" s="27" t="s">
        <v>2716</v>
      </c>
      <c r="E781" s="27" t="s">
        <v>2889</v>
      </c>
      <c r="F781" s="27" t="str">
        <f t="shared" si="0"/>
        <v>Negative Traits Latin Origin</v>
      </c>
      <c r="G781" s="27">
        <f t="shared" si="1"/>
        <v>8</v>
      </c>
      <c r="H781" s="27"/>
      <c r="I781" s="27"/>
      <c r="J781" s="27"/>
      <c r="K781" s="27"/>
      <c r="L781" s="27" t="str">
        <f t="shared" si="2"/>
        <v>I</v>
      </c>
      <c r="M781" s="27" t="str">
        <f>IFERROR(__xludf.DUMMYFUNCTION("GOOGLETRANSLATE(C781,""EN"",""KN"")"),"ಶತ್ರುತ್ವದ")</f>
        <v>ಶತ್ರುತ್ವದ</v>
      </c>
      <c r="N781" s="27" t="str">
        <f t="array" ref="N781">_xlfn.XLOOKUP(B781,'Sets Progress'!I:I,'Sets Progress'!I:I,"NOT YET")</f>
        <v>NOT YET</v>
      </c>
      <c r="O781" s="27" t="str">
        <f t="array" ref="O781">_xlfn.XLOOKUP(L:L,'Overall Progress'!L:L,'Overall Progress'!L:L,"NOT YET")</f>
        <v>NOT YET</v>
      </c>
      <c r="P781" s="27"/>
      <c r="Q781" s="27"/>
      <c r="R781" s="27"/>
      <c r="S781" s="27"/>
      <c r="T781" s="27"/>
      <c r="U781" s="27"/>
      <c r="V781" s="27"/>
      <c r="W781" s="27"/>
      <c r="X781" s="27"/>
      <c r="Y781" s="27"/>
      <c r="Z781" s="27"/>
    </row>
    <row r="782" customHeight="1" spans="1:26">
      <c r="A782" s="26">
        <v>834</v>
      </c>
      <c r="B782" s="26">
        <v>49</v>
      </c>
      <c r="C782" s="26" t="s">
        <v>1174</v>
      </c>
      <c r="D782" s="26" t="s">
        <v>1721</v>
      </c>
      <c r="E782" s="26" t="s">
        <v>2889</v>
      </c>
      <c r="F782" s="26" t="str">
        <f t="shared" si="0"/>
        <v>Temporal Latin Origin</v>
      </c>
      <c r="G782" s="26">
        <f t="shared" si="1"/>
        <v>10</v>
      </c>
      <c r="H782" s="26"/>
      <c r="I782" s="26"/>
      <c r="J782" s="26"/>
      <c r="K782" s="26"/>
      <c r="L782" s="26" t="str">
        <f t="shared" si="2"/>
        <v>I</v>
      </c>
      <c r="M782" s="26" t="str">
        <f>IFERROR(__xludf.DUMMYFUNCTION("GOOGLETRANSLATE(C782,""EN"",""KN"")"),"ಅನಿರ್ದಿಷ್ಟ")</f>
        <v>ಅನಿರ್ದಿಷ್ಟ</v>
      </c>
      <c r="N782" s="26" t="str">
        <f t="array" ref="N782">_xlfn.XLOOKUP(B782,'Sets Progress'!I:I,'Sets Progress'!I:I,"NOT YET")</f>
        <v>NOT YET</v>
      </c>
      <c r="O782" s="26" t="str">
        <f t="array" ref="O782">_xlfn.XLOOKUP(L:L,'Overall Progress'!L:L,'Overall Progress'!L:L,"NOT YET")</f>
        <v>NOT YET</v>
      </c>
      <c r="P782" s="26"/>
      <c r="Q782" s="26"/>
      <c r="R782" s="26"/>
      <c r="S782" s="26"/>
      <c r="T782" s="26"/>
      <c r="U782" s="26"/>
      <c r="V782" s="26"/>
      <c r="W782" s="26"/>
      <c r="X782" s="26"/>
      <c r="Y782" s="26"/>
      <c r="Z782" s="26"/>
    </row>
    <row r="783" hidden="1" customHeight="1" spans="1:26">
      <c r="A783" s="27">
        <v>1022</v>
      </c>
      <c r="B783" s="27">
        <v>49</v>
      </c>
      <c r="C783" s="27" t="s">
        <v>1357</v>
      </c>
      <c r="D783" s="27" t="s">
        <v>1721</v>
      </c>
      <c r="E783" s="27" t="s">
        <v>2889</v>
      </c>
      <c r="F783" s="27" t="str">
        <f t="shared" si="0"/>
        <v>Temporal Latin Origin</v>
      </c>
      <c r="G783" s="27">
        <f t="shared" si="1"/>
        <v>8</v>
      </c>
      <c r="H783" s="27" t="s">
        <v>3683</v>
      </c>
      <c r="I783" s="27"/>
      <c r="J783" s="27"/>
      <c r="K783" s="27"/>
      <c r="L783" s="27" t="str">
        <f t="shared" si="2"/>
        <v>P</v>
      </c>
      <c r="M783" s="27" t="str">
        <f>IFERROR(__xludf.DUMMYFUNCTION("GOOGLETRANSLATE(C783,""EN"",""KN"")"),"ರವಾನಿಸಬಹುದಾದ")</f>
        <v>ರವಾನಿಸಬಹುದಾದ</v>
      </c>
      <c r="N783" s="27" t="str">
        <f t="array" ref="N783">_xlfn.XLOOKUP(B783,'Sets Progress'!I:I,'Sets Progress'!I:I,"NOT YET")</f>
        <v>NOT YET</v>
      </c>
      <c r="O783" s="27" t="str">
        <f t="array" ref="O783">_xlfn.XLOOKUP(L:L,'Overall Progress'!L:L,'Overall Progress'!L:L,"NOT YET")</f>
        <v>NOT YET</v>
      </c>
      <c r="P783" s="27"/>
      <c r="Q783" s="27"/>
      <c r="R783" s="27"/>
      <c r="S783" s="27"/>
      <c r="T783" s="27"/>
      <c r="U783" s="27"/>
      <c r="V783" s="27"/>
      <c r="W783" s="27"/>
      <c r="X783" s="27"/>
      <c r="Y783" s="27"/>
      <c r="Z783" s="27"/>
    </row>
    <row r="784" hidden="1" customHeight="1" spans="1:26">
      <c r="A784" s="26">
        <v>1477</v>
      </c>
      <c r="B784" s="26">
        <v>49</v>
      </c>
      <c r="C784" s="26" t="s">
        <v>1805</v>
      </c>
      <c r="D784" s="26" t="s">
        <v>1721</v>
      </c>
      <c r="E784" s="26" t="s">
        <v>2896</v>
      </c>
      <c r="F784" s="26" t="str">
        <f t="shared" si="0"/>
        <v>Temporal Old French Origin</v>
      </c>
      <c r="G784" s="26">
        <f t="shared" si="1"/>
        <v>10</v>
      </c>
      <c r="H784" s="26" t="s">
        <v>3684</v>
      </c>
      <c r="I784" s="26"/>
      <c r="J784" s="26"/>
      <c r="K784" s="26"/>
      <c r="L784" s="26" t="str">
        <f t="shared" si="2"/>
        <v>U</v>
      </c>
      <c r="M784" s="26" t="str">
        <f>IFERROR(__xludf.DUMMYFUNCTION("GOOGLETRANSLATE(C784,""EN"",""KN"")"),"ಪರಿಹರಿಸಲಾಗಿಲ್ಲ")</f>
        <v>ಪರಿಹರಿಸಲಾಗಿಲ್ಲ</v>
      </c>
      <c r="N784" s="26" t="str">
        <f t="array" ref="N784">_xlfn.XLOOKUP(B784,'Sets Progress'!I:I,'Sets Progress'!I:I,"NOT YET")</f>
        <v>NOT YET</v>
      </c>
      <c r="O784" s="26" t="str">
        <f t="array" ref="O784">_xlfn.XLOOKUP(L:L,'Overall Progress'!L:L,'Overall Progress'!L:L,"NOT YET")</f>
        <v>NOT YET</v>
      </c>
      <c r="P784" s="26"/>
      <c r="Q784" s="26"/>
      <c r="R784" s="26"/>
      <c r="S784" s="26"/>
      <c r="T784" s="26"/>
      <c r="U784" s="26"/>
      <c r="V784" s="26"/>
      <c r="W784" s="26"/>
      <c r="X784" s="26"/>
      <c r="Y784" s="26"/>
      <c r="Z784" s="26"/>
    </row>
    <row r="785" hidden="1" customHeight="1" spans="1:26">
      <c r="A785" s="27">
        <v>250</v>
      </c>
      <c r="B785" s="27">
        <v>50</v>
      </c>
      <c r="C785" s="27" t="s">
        <v>601</v>
      </c>
      <c r="D785" s="27" t="s">
        <v>3022</v>
      </c>
      <c r="E785" s="27" t="s">
        <v>2889</v>
      </c>
      <c r="F785" s="27" t="str">
        <f t="shared" si="0"/>
        <v>Intellectual Latin Origin</v>
      </c>
      <c r="G785" s="27">
        <f t="shared" si="1"/>
        <v>10</v>
      </c>
      <c r="H785" s="27" t="s">
        <v>3685</v>
      </c>
      <c r="I785" s="27"/>
      <c r="J785" s="27"/>
      <c r="K785" s="27"/>
      <c r="L785" s="27" t="str">
        <f t="shared" si="2"/>
        <v>C</v>
      </c>
      <c r="M785" s="27" t="str">
        <f>IFERROR(__xludf.DUMMYFUNCTION("GOOGLETRANSLATE(C785,""EN"",""KN"")"),"ಅರಿವು")</f>
        <v>ಅರಿವು</v>
      </c>
      <c r="N785" s="27" t="str">
        <f t="array" ref="N785">_xlfn.XLOOKUP(B785,'Sets Progress'!I:I,'Sets Progress'!I:I,"NOT YET")</f>
        <v>NOT YET</v>
      </c>
      <c r="O785" s="27" t="str">
        <f t="array" ref="O785">_xlfn.XLOOKUP(L:L,'Overall Progress'!L:L,'Overall Progress'!L:L,"NOT YET")</f>
        <v>NOT YET</v>
      </c>
      <c r="P785" s="27"/>
      <c r="Q785" s="27"/>
      <c r="R785" s="27"/>
      <c r="S785" s="27"/>
      <c r="T785" s="27"/>
      <c r="U785" s="27"/>
      <c r="V785" s="27"/>
      <c r="W785" s="27"/>
      <c r="X785" s="27"/>
      <c r="Y785" s="27"/>
      <c r="Z785" s="27"/>
    </row>
    <row r="786" hidden="1" customHeight="1" spans="1:26">
      <c r="A786" s="26">
        <v>409</v>
      </c>
      <c r="B786" s="26">
        <v>50</v>
      </c>
      <c r="C786" s="26" t="s">
        <v>758</v>
      </c>
      <c r="D786" s="26" t="s">
        <v>2892</v>
      </c>
      <c r="E786" s="26" t="s">
        <v>2889</v>
      </c>
      <c r="F786" s="26" t="str">
        <f t="shared" si="0"/>
        <v>Spatial Latin Origin</v>
      </c>
      <c r="G786" s="26">
        <f t="shared" si="1"/>
        <v>11</v>
      </c>
      <c r="H786" s="26" t="s">
        <v>3686</v>
      </c>
      <c r="I786" s="26"/>
      <c r="J786" s="26"/>
      <c r="K786" s="26"/>
      <c r="L786" s="26" t="str">
        <f t="shared" si="2"/>
        <v>D</v>
      </c>
      <c r="M786" s="26" t="str">
        <f>IFERROR(__xludf.DUMMYFUNCTION("GOOGLETRANSLATE(C786,""EN"",""KN"")"),"ಗ್ರಹಿಸಬಹುದಾದ")</f>
        <v>ಗ್ರಹಿಸಬಹುದಾದ</v>
      </c>
      <c r="N786" s="26" t="str">
        <f t="array" ref="N786">_xlfn.XLOOKUP(B786,'Sets Progress'!I:I,'Sets Progress'!I:I,"NOT YET")</f>
        <v>NOT YET</v>
      </c>
      <c r="O786" s="26" t="str">
        <f t="array" ref="O786">_xlfn.XLOOKUP(L:L,'Overall Progress'!L:L,'Overall Progress'!L:L,"NOT YET")</f>
        <v>NOT YET</v>
      </c>
      <c r="P786" s="26"/>
      <c r="Q786" s="26"/>
      <c r="R786" s="26"/>
      <c r="S786" s="26"/>
      <c r="T786" s="26"/>
      <c r="U786" s="26"/>
      <c r="V786" s="26"/>
      <c r="W786" s="26"/>
      <c r="X786" s="26"/>
      <c r="Y786" s="26"/>
      <c r="Z786" s="26"/>
    </row>
    <row r="787" hidden="1" customHeight="1" spans="1:26">
      <c r="A787" s="27">
        <v>475</v>
      </c>
      <c r="B787" s="27">
        <v>50</v>
      </c>
      <c r="C787" s="27" t="s">
        <v>824</v>
      </c>
      <c r="D787" s="27" t="s">
        <v>2717</v>
      </c>
      <c r="E787" s="27" t="s">
        <v>2889</v>
      </c>
      <c r="F787" s="27" t="str">
        <f t="shared" si="0"/>
        <v>Positive Traits Latin Origin</v>
      </c>
      <c r="G787" s="27">
        <f t="shared" si="1"/>
        <v>11</v>
      </c>
      <c r="H787" s="27" t="s">
        <v>3687</v>
      </c>
      <c r="I787" s="27"/>
      <c r="J787" s="27"/>
      <c r="K787" s="27"/>
      <c r="L787" s="27" t="str">
        <f t="shared" si="2"/>
        <v>E</v>
      </c>
      <c r="M787" s="27" t="str">
        <f>IFERROR(__xludf.DUMMYFUNCTION("GOOGLETRANSLATE(C787,""EN"",""KN"")"),"ಪರಿಣಾಮಕಾರಿ")</f>
        <v>ಪರಿಣಾಮಕಾರಿ</v>
      </c>
      <c r="N787" s="27" t="str">
        <f t="array" ref="N787">_xlfn.XLOOKUP(B787,'Sets Progress'!I:I,'Sets Progress'!I:I,"NOT YET")</f>
        <v>NOT YET</v>
      </c>
      <c r="O787" s="27" t="str">
        <f t="array" ref="O787">_xlfn.XLOOKUP(L:L,'Overall Progress'!L:L,'Overall Progress'!L:L,"NOT YET")</f>
        <v>NOT YET</v>
      </c>
      <c r="P787" s="27"/>
      <c r="Q787" s="27"/>
      <c r="R787" s="27"/>
      <c r="S787" s="27"/>
      <c r="T787" s="27"/>
      <c r="U787" s="27"/>
      <c r="V787" s="27"/>
      <c r="W787" s="27"/>
      <c r="X787" s="27"/>
      <c r="Y787" s="27"/>
      <c r="Z787" s="27"/>
    </row>
    <row r="788" hidden="1" customHeight="1" spans="1:26">
      <c r="A788" s="26">
        <v>486</v>
      </c>
      <c r="B788" s="26">
        <v>50</v>
      </c>
      <c r="C788" s="26" t="s">
        <v>835</v>
      </c>
      <c r="D788" s="26" t="s">
        <v>1721</v>
      </c>
      <c r="E788" s="26" t="s">
        <v>2889</v>
      </c>
      <c r="F788" s="26" t="str">
        <f t="shared" si="0"/>
        <v>Temporal Latin Origin</v>
      </c>
      <c r="G788" s="26">
        <f t="shared" si="1"/>
        <v>6</v>
      </c>
      <c r="H788" s="26" t="s">
        <v>3688</v>
      </c>
      <c r="I788" s="26"/>
      <c r="J788" s="26"/>
      <c r="K788" s="26"/>
      <c r="L788" s="26" t="str">
        <f t="shared" si="2"/>
        <v>E</v>
      </c>
      <c r="M788" s="26" t="str">
        <f>IFERROR(__xludf.DUMMYFUNCTION("GOOGLETRANSLATE(C788,""EN"",""KN"")"),"ಎಲಿಸಿಟ್")</f>
        <v>ಎಲಿಸಿಟ್</v>
      </c>
      <c r="N788" s="26" t="str">
        <f t="array" ref="N788">_xlfn.XLOOKUP(B788,'Sets Progress'!I:I,'Sets Progress'!I:I,"NOT YET")</f>
        <v>NOT YET</v>
      </c>
      <c r="O788" s="26" t="str">
        <f t="array" ref="O788">_xlfn.XLOOKUP(L:L,'Overall Progress'!L:L,'Overall Progress'!L:L,"NOT YET")</f>
        <v>NOT YET</v>
      </c>
      <c r="P788" s="26"/>
      <c r="Q788" s="26"/>
      <c r="R788" s="26"/>
      <c r="S788" s="26"/>
      <c r="T788" s="26"/>
      <c r="U788" s="26"/>
      <c r="V788" s="26"/>
      <c r="W788" s="26"/>
      <c r="X788" s="26"/>
      <c r="Y788" s="26"/>
      <c r="Z788" s="26"/>
    </row>
    <row r="789" hidden="1" customHeight="1" spans="1:26">
      <c r="A789" s="27">
        <v>506</v>
      </c>
      <c r="B789" s="27">
        <v>50</v>
      </c>
      <c r="C789" s="27" t="s">
        <v>855</v>
      </c>
      <c r="D789" s="27" t="s">
        <v>1721</v>
      </c>
      <c r="E789" s="27" t="s">
        <v>2896</v>
      </c>
      <c r="F789" s="27" t="str">
        <f t="shared" si="0"/>
        <v>Temporal Old French Origin</v>
      </c>
      <c r="G789" s="27">
        <f t="shared" si="1"/>
        <v>6</v>
      </c>
      <c r="H789" s="27" t="s">
        <v>3689</v>
      </c>
      <c r="I789" s="27"/>
      <c r="J789" s="27"/>
      <c r="K789" s="27"/>
      <c r="L789" s="27" t="str">
        <f t="shared" si="2"/>
        <v>E</v>
      </c>
      <c r="M789" s="27" t="str">
        <f>IFERROR(__xludf.DUMMYFUNCTION("GOOGLETRANSLATE(C789,""EN"",""KN"")"),"ತೊಡಗಿಸಿಕೊಳ್ಳಿ")</f>
        <v>ತೊಡಗಿಸಿಕೊಳ್ಳಿ</v>
      </c>
      <c r="N789" s="27" t="str">
        <f t="array" ref="N789">_xlfn.XLOOKUP(B789,'Sets Progress'!I:I,'Sets Progress'!I:I,"NOT YET")</f>
        <v>NOT YET</v>
      </c>
      <c r="O789" s="27" t="str">
        <f t="array" ref="O789">_xlfn.XLOOKUP(L:L,'Overall Progress'!L:L,'Overall Progress'!L:L,"NOT YET")</f>
        <v>NOT YET</v>
      </c>
      <c r="P789" s="27"/>
      <c r="Q789" s="27"/>
      <c r="R789" s="27"/>
      <c r="S789" s="27"/>
      <c r="T789" s="27"/>
      <c r="U789" s="27"/>
      <c r="V789" s="27"/>
      <c r="W789" s="27"/>
      <c r="X789" s="27"/>
      <c r="Y789" s="27"/>
      <c r="Z789" s="27"/>
    </row>
    <row r="790" hidden="1" customHeight="1" spans="1:26">
      <c r="A790" s="26">
        <v>691</v>
      </c>
      <c r="B790" s="26">
        <v>50</v>
      </c>
      <c r="C790" s="26" t="s">
        <v>1033</v>
      </c>
      <c r="D790" s="26" t="s">
        <v>1721</v>
      </c>
      <c r="E790" s="26" t="s">
        <v>2893</v>
      </c>
      <c r="F790" s="26" t="str">
        <f t="shared" si="0"/>
        <v>Temporal Greek Origin</v>
      </c>
      <c r="G790" s="26">
        <f t="shared" si="1"/>
        <v>11</v>
      </c>
      <c r="H790" s="26" t="s">
        <v>3690</v>
      </c>
      <c r="I790" s="26"/>
      <c r="J790" s="26"/>
      <c r="K790" s="26"/>
      <c r="L790" s="26" t="str">
        <f t="shared" si="2"/>
        <v>H</v>
      </c>
      <c r="M790" s="26" t="str">
        <f>IFERROR(__xludf.DUMMYFUNCTION("GOOGLETRANSLATE(C790,""EN"",""KN"")"),"ಏಕರೂಪದ")</f>
        <v>ಏಕರೂಪದ</v>
      </c>
      <c r="N790" s="26" t="str">
        <f t="array" ref="N790">_xlfn.XLOOKUP(B790,'Sets Progress'!I:I,'Sets Progress'!I:I,"NOT YET")</f>
        <v>NOT YET</v>
      </c>
      <c r="O790" s="26" t="str">
        <f t="array" ref="O790">_xlfn.XLOOKUP(L:L,'Overall Progress'!L:L,'Overall Progress'!L:L,"NOT YET")</f>
        <v>NOT YET</v>
      </c>
      <c r="P790" s="26"/>
      <c r="Q790" s="26"/>
      <c r="R790" s="26"/>
      <c r="S790" s="26"/>
      <c r="T790" s="26"/>
      <c r="U790" s="26"/>
      <c r="V790" s="26"/>
      <c r="W790" s="26"/>
      <c r="X790" s="26"/>
      <c r="Y790" s="26"/>
      <c r="Z790" s="26"/>
    </row>
    <row r="791" customHeight="1" spans="1:26">
      <c r="A791" s="27">
        <v>828</v>
      </c>
      <c r="B791" s="27">
        <v>50</v>
      </c>
      <c r="C791" s="27" t="s">
        <v>1168</v>
      </c>
      <c r="D791" s="27" t="s">
        <v>2716</v>
      </c>
      <c r="E791" s="27" t="s">
        <v>2969</v>
      </c>
      <c r="F791" s="27" t="str">
        <f t="shared" si="0"/>
        <v>Negative Traits Old Norse Origin</v>
      </c>
      <c r="G791" s="27">
        <f t="shared" si="1"/>
        <v>7</v>
      </c>
      <c r="H791" s="27"/>
      <c r="I791" s="27"/>
      <c r="J791" s="27"/>
      <c r="K791" s="27"/>
      <c r="L791" s="27" t="str">
        <f t="shared" si="2"/>
        <v>I</v>
      </c>
      <c r="M791" s="27" t="str">
        <f>IFERROR(__xludf.DUMMYFUNCTION("GOOGLETRANSLATE(C791,""EN"",""KN"")"),"ಕಿರಿಕಿರಿ")</f>
        <v>ಕಿರಿಕಿರಿ</v>
      </c>
      <c r="N791" s="27" t="str">
        <f t="array" ref="N791">_xlfn.XLOOKUP(B791,'Sets Progress'!I:I,'Sets Progress'!I:I,"NOT YET")</f>
        <v>NOT YET</v>
      </c>
      <c r="O791" s="27" t="str">
        <f t="array" ref="O791">_xlfn.XLOOKUP(L:L,'Overall Progress'!L:L,'Overall Progress'!L:L,"NOT YET")</f>
        <v>NOT YET</v>
      </c>
      <c r="P791" s="27"/>
      <c r="Q791" s="27"/>
      <c r="R791" s="27"/>
      <c r="S791" s="27"/>
      <c r="T791" s="27"/>
      <c r="U791" s="27"/>
      <c r="V791" s="27"/>
      <c r="W791" s="27"/>
      <c r="X791" s="27"/>
      <c r="Y791" s="27"/>
      <c r="Z791" s="27"/>
    </row>
    <row r="792" customHeight="1" spans="1:26">
      <c r="A792" s="26">
        <v>830</v>
      </c>
      <c r="B792" s="26">
        <v>50</v>
      </c>
      <c r="C792" s="26" t="s">
        <v>1170</v>
      </c>
      <c r="D792" s="26" t="s">
        <v>1721</v>
      </c>
      <c r="E792" s="26" t="s">
        <v>2889</v>
      </c>
      <c r="F792" s="26" t="str">
        <f t="shared" si="0"/>
        <v>Temporal Latin Origin</v>
      </c>
      <c r="G792" s="26">
        <f t="shared" si="1"/>
        <v>6</v>
      </c>
      <c r="H792" s="26"/>
      <c r="I792" s="26"/>
      <c r="J792" s="26"/>
      <c r="K792" s="26"/>
      <c r="L792" s="26" t="str">
        <f t="shared" si="2"/>
        <v>I</v>
      </c>
      <c r="M792" s="26" t="str">
        <f>IFERROR(__xludf.DUMMYFUNCTION("GOOGLETRANSLATE(C792,""EN"",""KN"")"),"ವಿಪರ್ಯಾಸ")</f>
        <v>ವಿಪರ್ಯಾಸ</v>
      </c>
      <c r="N792" s="26" t="str">
        <f t="array" ref="N792">_xlfn.XLOOKUP(B792,'Sets Progress'!I:I,'Sets Progress'!I:I,"NOT YET")</f>
        <v>NOT YET</v>
      </c>
      <c r="O792" s="26" t="str">
        <f t="array" ref="O792">_xlfn.XLOOKUP(L:L,'Overall Progress'!L:L,'Overall Progress'!L:L,"NOT YET")</f>
        <v>NOT YET</v>
      </c>
      <c r="P792" s="26"/>
      <c r="Q792" s="26"/>
      <c r="R792" s="26"/>
      <c r="S792" s="26"/>
      <c r="T792" s="26"/>
      <c r="U792" s="26"/>
      <c r="V792" s="26"/>
      <c r="W792" s="26"/>
      <c r="X792" s="26"/>
      <c r="Y792" s="26"/>
      <c r="Z792" s="26"/>
    </row>
    <row r="793" hidden="1" customHeight="1" spans="1:26">
      <c r="A793" s="27">
        <v>861</v>
      </c>
      <c r="B793" s="27">
        <v>50</v>
      </c>
      <c r="C793" s="27" t="s">
        <v>1201</v>
      </c>
      <c r="D793" s="27" t="s">
        <v>1721</v>
      </c>
      <c r="E793" s="27" t="s">
        <v>2889</v>
      </c>
      <c r="F793" s="27" t="str">
        <f t="shared" si="0"/>
        <v>Temporal Latin Origin</v>
      </c>
      <c r="G793" s="27">
        <f t="shared" si="1"/>
        <v>9</v>
      </c>
      <c r="H793" s="27" t="s">
        <v>3691</v>
      </c>
      <c r="I793" s="27"/>
      <c r="J793" s="27"/>
      <c r="K793" s="27"/>
      <c r="L793" s="27" t="str">
        <f t="shared" si="2"/>
        <v>L</v>
      </c>
      <c r="M793" s="27" t="str">
        <f>IFERROR(__xludf.DUMMYFUNCTION("GOOGLETRANSLATE(C793,""EN"",""KN"")"),"ಹೊಣೆಗಾರಿಕೆ")</f>
        <v>ಹೊಣೆಗಾರಿಕೆ</v>
      </c>
      <c r="N793" s="27" t="str">
        <f t="array" ref="N793">_xlfn.XLOOKUP(B793,'Sets Progress'!I:I,'Sets Progress'!I:I,"NOT YET")</f>
        <v>NOT YET</v>
      </c>
      <c r="O793" s="27" t="str">
        <f t="array" ref="O793">_xlfn.XLOOKUP(L:L,'Overall Progress'!L:L,'Overall Progress'!L:L,"NOT YET")</f>
        <v>NOT YET</v>
      </c>
      <c r="P793" s="27"/>
      <c r="Q793" s="27"/>
      <c r="R793" s="27"/>
      <c r="S793" s="27"/>
      <c r="T793" s="27"/>
      <c r="U793" s="27"/>
      <c r="V793" s="27"/>
      <c r="W793" s="27"/>
      <c r="X793" s="27"/>
      <c r="Y793" s="27"/>
      <c r="Z793" s="27"/>
    </row>
    <row r="794" hidden="1" customHeight="1" spans="1:26">
      <c r="A794" s="26">
        <v>884</v>
      </c>
      <c r="B794" s="26">
        <v>50</v>
      </c>
      <c r="C794" s="26" t="s">
        <v>1221</v>
      </c>
      <c r="D794" s="26" t="s">
        <v>2716</v>
      </c>
      <c r="E794" s="26" t="s">
        <v>2889</v>
      </c>
      <c r="F794" s="26" t="str">
        <f t="shared" si="0"/>
        <v>Negative Traits Latin Origin</v>
      </c>
      <c r="G794" s="26">
        <f t="shared" si="1"/>
        <v>10</v>
      </c>
      <c r="H794" s="26" t="s">
        <v>3692</v>
      </c>
      <c r="I794" s="26"/>
      <c r="J794" s="26"/>
      <c r="K794" s="26"/>
      <c r="L794" s="26" t="str">
        <f t="shared" si="2"/>
        <v>M</v>
      </c>
      <c r="M794" s="26" t="str">
        <f>IFERROR(__xludf.DUMMYFUNCTION("GOOGLETRANSLATE(C794,""EN"",""KN"")"),"ದುರುದ್ದೇಶಪೂರಿತ")</f>
        <v>ದುರುದ್ದೇಶಪೂರಿತ</v>
      </c>
      <c r="N794" s="26" t="str">
        <f t="array" ref="N794">_xlfn.XLOOKUP(B794,'Sets Progress'!I:I,'Sets Progress'!I:I,"NOT YET")</f>
        <v>NOT YET</v>
      </c>
      <c r="O794" s="26" t="str">
        <f t="array" ref="O794">_xlfn.XLOOKUP(L:L,'Overall Progress'!L:L,'Overall Progress'!L:L,"NOT YET")</f>
        <v>NOT YET</v>
      </c>
      <c r="P794" s="26"/>
      <c r="Q794" s="26"/>
      <c r="R794" s="26"/>
      <c r="S794" s="26"/>
      <c r="T794" s="26"/>
      <c r="U794" s="26"/>
      <c r="V794" s="26"/>
      <c r="W794" s="26"/>
      <c r="X794" s="26"/>
      <c r="Y794" s="26"/>
      <c r="Z794" s="26"/>
    </row>
    <row r="795" hidden="1" customHeight="1" spans="1:26">
      <c r="A795" s="27">
        <v>1140</v>
      </c>
      <c r="B795" s="27">
        <v>50</v>
      </c>
      <c r="C795" s="27" t="s">
        <v>1472</v>
      </c>
      <c r="D795" s="27" t="s">
        <v>1721</v>
      </c>
      <c r="E795" s="27" t="s">
        <v>2889</v>
      </c>
      <c r="F795" s="27" t="str">
        <f t="shared" si="0"/>
        <v>Temporal Latin Origin</v>
      </c>
      <c r="G795" s="27">
        <f t="shared" si="1"/>
        <v>8</v>
      </c>
      <c r="H795" s="27" t="s">
        <v>3693</v>
      </c>
      <c r="I795" s="27"/>
      <c r="J795" s="27"/>
      <c r="K795" s="27"/>
      <c r="L795" s="27" t="str">
        <f t="shared" si="2"/>
        <v>P</v>
      </c>
      <c r="M795" s="27" t="str">
        <f>IFERROR(__xludf.DUMMYFUNCTION("GOOGLETRANSLATE(C795,""EN"",""KN"")"),"ಮುಂದೂಡು")</f>
        <v>ಮುಂದೂಡು</v>
      </c>
      <c r="N795" s="27" t="str">
        <f t="array" ref="N795">_xlfn.XLOOKUP(B795,'Sets Progress'!I:I,'Sets Progress'!I:I,"NOT YET")</f>
        <v>NOT YET</v>
      </c>
      <c r="O795" s="27" t="str">
        <f t="array" ref="O795">_xlfn.XLOOKUP(L:L,'Overall Progress'!L:L,'Overall Progress'!L:L,"NOT YET")</f>
        <v>NOT YET</v>
      </c>
      <c r="P795" s="27"/>
      <c r="Q795" s="27"/>
      <c r="R795" s="27"/>
      <c r="S795" s="27"/>
      <c r="T795" s="27"/>
      <c r="U795" s="27"/>
      <c r="V795" s="27"/>
      <c r="W795" s="27"/>
      <c r="X795" s="27"/>
      <c r="Y795" s="27"/>
      <c r="Z795" s="27"/>
    </row>
    <row r="796" hidden="1" customHeight="1" spans="1:26">
      <c r="A796" s="26">
        <v>1142</v>
      </c>
      <c r="B796" s="26">
        <v>50</v>
      </c>
      <c r="C796" s="26" t="s">
        <v>1474</v>
      </c>
      <c r="D796" s="26" t="s">
        <v>1721</v>
      </c>
      <c r="E796" s="26" t="s">
        <v>2889</v>
      </c>
      <c r="F796" s="26" t="str">
        <f t="shared" si="0"/>
        <v>Temporal Latin Origin</v>
      </c>
      <c r="G796" s="26">
        <f t="shared" si="1"/>
        <v>10</v>
      </c>
      <c r="H796" s="26" t="s">
        <v>3694</v>
      </c>
      <c r="I796" s="26"/>
      <c r="J796" s="26"/>
      <c r="K796" s="26"/>
      <c r="L796" s="26" t="str">
        <f t="shared" si="2"/>
        <v>P</v>
      </c>
      <c r="M796" s="26" t="str">
        <f>IFERROR(__xludf.DUMMYFUNCTION("GOOGLETRANSLATE(C796,""EN"",""KN"")"),"ಪ್ರಾಂತೀಯ")</f>
        <v>ಪ್ರಾಂತೀಯ</v>
      </c>
      <c r="N796" s="26" t="str">
        <f t="array" ref="N796">_xlfn.XLOOKUP(B796,'Sets Progress'!I:I,'Sets Progress'!I:I,"NOT YET")</f>
        <v>NOT YET</v>
      </c>
      <c r="O796" s="26" t="str">
        <f t="array" ref="O796">_xlfn.XLOOKUP(L:L,'Overall Progress'!L:L,'Overall Progress'!L:L,"NOT YET")</f>
        <v>NOT YET</v>
      </c>
      <c r="P796" s="26"/>
      <c r="Q796" s="26"/>
      <c r="R796" s="26"/>
      <c r="S796" s="26"/>
      <c r="T796" s="26"/>
      <c r="U796" s="26"/>
      <c r="V796" s="26"/>
      <c r="W796" s="26"/>
      <c r="X796" s="26"/>
      <c r="Y796" s="26"/>
      <c r="Z796" s="26"/>
    </row>
    <row r="797" hidden="1" customHeight="1" spans="1:26">
      <c r="A797" s="27">
        <v>1219</v>
      </c>
      <c r="B797" s="27">
        <v>50</v>
      </c>
      <c r="C797" s="27" t="s">
        <v>1550</v>
      </c>
      <c r="D797" s="27" t="s">
        <v>2717</v>
      </c>
      <c r="E797" s="27" t="s">
        <v>2889</v>
      </c>
      <c r="F797" s="27" t="str">
        <f t="shared" si="0"/>
        <v>Positive Traits Latin Origin</v>
      </c>
      <c r="G797" s="27">
        <f t="shared" si="1"/>
        <v>10</v>
      </c>
      <c r="H797" s="27" t="s">
        <v>3695</v>
      </c>
      <c r="I797" s="27"/>
      <c r="J797" s="27"/>
      <c r="K797" s="27"/>
      <c r="L797" s="27" t="str">
        <f t="shared" si="2"/>
        <v>R</v>
      </c>
      <c r="M797" s="27" t="str">
        <f>IFERROR(__xludf.DUMMYFUNCTION("GOOGLETRANSLATE(C797,""EN"",""KN"")"),"ರೆಸಲ್ಯೂಶನ್")</f>
        <v>ರೆಸಲ್ಯೂಶನ್</v>
      </c>
      <c r="N797" s="27" t="str">
        <f t="array" ref="N797">_xlfn.XLOOKUP(B797,'Sets Progress'!I:I,'Sets Progress'!I:I,"NOT YET")</f>
        <v>NOT YET</v>
      </c>
      <c r="O797" s="27" t="str">
        <f t="array" ref="O797">_xlfn.XLOOKUP(L:L,'Overall Progress'!L:L,'Overall Progress'!L:L,"NOT YET")</f>
        <v>NOT YET</v>
      </c>
      <c r="P797" s="27"/>
      <c r="Q797" s="27"/>
      <c r="R797" s="27"/>
      <c r="S797" s="27"/>
      <c r="T797" s="27"/>
      <c r="U797" s="27"/>
      <c r="V797" s="27"/>
      <c r="W797" s="27"/>
      <c r="X797" s="27"/>
      <c r="Y797" s="27"/>
      <c r="Z797" s="27"/>
    </row>
    <row r="798" hidden="1" customHeight="1" spans="1:26">
      <c r="A798" s="26">
        <v>1237</v>
      </c>
      <c r="B798" s="26">
        <v>50</v>
      </c>
      <c r="C798" s="26" t="s">
        <v>1568</v>
      </c>
      <c r="D798" s="26" t="s">
        <v>2717</v>
      </c>
      <c r="E798" s="26" t="s">
        <v>2889</v>
      </c>
      <c r="F798" s="26" t="str">
        <f t="shared" si="0"/>
        <v>Positive Traits Latin Origin</v>
      </c>
      <c r="G798" s="26">
        <f t="shared" si="1"/>
        <v>6</v>
      </c>
      <c r="H798" s="26" t="s">
        <v>3696</v>
      </c>
      <c r="I798" s="26"/>
      <c r="J798" s="26"/>
      <c r="K798" s="26"/>
      <c r="L798" s="26" t="str">
        <f t="shared" si="2"/>
        <v>R</v>
      </c>
      <c r="M798" s="26" t="str">
        <f>IFERROR(__xludf.DUMMYFUNCTION("GOOGLETRANSLATE(C798,""EN"",""KN"")"),"ದೃಢವಾದ")</f>
        <v>ದೃಢವಾದ</v>
      </c>
      <c r="N798" s="26" t="str">
        <f t="array" ref="N798">_xlfn.XLOOKUP(B798,'Sets Progress'!I:I,'Sets Progress'!I:I,"NOT YET")</f>
        <v>NOT YET</v>
      </c>
      <c r="O798" s="26" t="str">
        <f t="array" ref="O798">_xlfn.XLOOKUP(L:L,'Overall Progress'!L:L,'Overall Progress'!L:L,"NOT YET")</f>
        <v>NOT YET</v>
      </c>
      <c r="P798" s="26"/>
      <c r="Q798" s="26"/>
      <c r="R798" s="26"/>
      <c r="S798" s="26"/>
      <c r="T798" s="26"/>
      <c r="U798" s="26"/>
      <c r="V798" s="26"/>
      <c r="W798" s="26"/>
      <c r="X798" s="26"/>
      <c r="Y798" s="26"/>
      <c r="Z798" s="26"/>
    </row>
    <row r="799" customHeight="1" spans="1:26">
      <c r="A799" s="27">
        <v>1337</v>
      </c>
      <c r="B799" s="27">
        <v>50</v>
      </c>
      <c r="C799" s="27" t="s">
        <v>1668</v>
      </c>
      <c r="D799" s="27" t="s">
        <v>2716</v>
      </c>
      <c r="E799" s="27" t="s">
        <v>2896</v>
      </c>
      <c r="F799" s="27" t="str">
        <f t="shared" si="0"/>
        <v>Negative Traits Old French Origin</v>
      </c>
      <c r="G799" s="27">
        <f t="shared" si="1"/>
        <v>7</v>
      </c>
      <c r="H799" s="27"/>
      <c r="I799" s="27"/>
      <c r="J799" s="27"/>
      <c r="K799" s="27"/>
      <c r="L799" s="27" t="str">
        <f t="shared" si="2"/>
        <v>S</v>
      </c>
      <c r="M799" s="27" t="str">
        <f>IFERROR(__xludf.DUMMYFUNCTION("GOOGLETRANSLATE(C799,""EN"",""KN"")"),"ವಶಪಡಿಸಿಕೊಂಡರು")</f>
        <v>ವಶಪಡಿಸಿಕೊಂಡರು</v>
      </c>
      <c r="N799" s="27" t="str">
        <f t="array" ref="N799">_xlfn.XLOOKUP(B799,'Sets Progress'!I:I,'Sets Progress'!I:I,"NOT YET")</f>
        <v>NOT YET</v>
      </c>
      <c r="O799" s="27" t="str">
        <f t="array" ref="O799">_xlfn.XLOOKUP(L:L,'Overall Progress'!L:L,'Overall Progress'!L:L,"NOT YET")</f>
        <v>NOT YET</v>
      </c>
      <c r="P799" s="27"/>
      <c r="Q799" s="27"/>
      <c r="R799" s="27"/>
      <c r="S799" s="27"/>
      <c r="T799" s="27"/>
      <c r="U799" s="27"/>
      <c r="V799" s="27"/>
      <c r="W799" s="27"/>
      <c r="X799" s="27"/>
      <c r="Y799" s="27"/>
      <c r="Z799" s="27"/>
    </row>
    <row r="800" hidden="1" customHeight="1" spans="1:26">
      <c r="A800" s="26">
        <v>1355</v>
      </c>
      <c r="B800" s="26">
        <v>50</v>
      </c>
      <c r="C800" s="26" t="s">
        <v>1686</v>
      </c>
      <c r="D800" s="26" t="s">
        <v>1721</v>
      </c>
      <c r="E800" s="26" t="s">
        <v>2889</v>
      </c>
      <c r="F800" s="26" t="str">
        <f t="shared" si="0"/>
        <v>Temporal Latin Origin</v>
      </c>
      <c r="G800" s="26">
        <f t="shared" si="1"/>
        <v>10</v>
      </c>
      <c r="H800" s="26" t="s">
        <v>3697</v>
      </c>
      <c r="I800" s="26"/>
      <c r="J800" s="26"/>
      <c r="K800" s="26"/>
      <c r="L800" s="26" t="str">
        <f t="shared" si="2"/>
        <v>S</v>
      </c>
      <c r="M800" s="26" t="str">
        <f>IFERROR(__xludf.DUMMYFUNCTION("GOOGLETRANSLATE(C800,""EN"",""KN"")"),"ಪೂರಕ")</f>
        <v>ಪೂರಕ</v>
      </c>
      <c r="N800" s="26" t="str">
        <f t="array" ref="N800">_xlfn.XLOOKUP(B800,'Sets Progress'!I:I,'Sets Progress'!I:I,"NOT YET")</f>
        <v>NOT YET</v>
      </c>
      <c r="O800" s="26" t="str">
        <f t="array" ref="O800">_xlfn.XLOOKUP(L:L,'Overall Progress'!L:L,'Overall Progress'!L:L,"NOT YET")</f>
        <v>NOT YET</v>
      </c>
      <c r="P800" s="26"/>
      <c r="Q800" s="26"/>
      <c r="R800" s="26"/>
      <c r="S800" s="26"/>
      <c r="T800" s="26"/>
      <c r="U800" s="26"/>
      <c r="V800" s="26"/>
      <c r="W800" s="26"/>
      <c r="X800" s="26"/>
      <c r="Y800" s="26"/>
      <c r="Z800" s="26"/>
    </row>
    <row r="801" hidden="1" customHeight="1" spans="1:26">
      <c r="A801" s="27">
        <v>1450</v>
      </c>
      <c r="B801" s="27">
        <v>50</v>
      </c>
      <c r="C801" s="27" t="s">
        <v>1778</v>
      </c>
      <c r="D801" s="27" t="s">
        <v>1721</v>
      </c>
      <c r="E801" s="27" t="s">
        <v>2908</v>
      </c>
      <c r="F801" s="27" t="str">
        <f t="shared" si="0"/>
        <v>Temporal Old English Origin</v>
      </c>
      <c r="G801" s="27">
        <f t="shared" si="1"/>
        <v>9</v>
      </c>
      <c r="H801" s="27" t="s">
        <v>3698</v>
      </c>
      <c r="I801" s="27"/>
      <c r="J801" s="27"/>
      <c r="K801" s="27"/>
      <c r="L801" s="27" t="str">
        <f t="shared" si="2"/>
        <v>U</v>
      </c>
      <c r="M801" s="27" t="str">
        <f>IFERROR(__xludf.DUMMYFUNCTION("GOOGLETRANSLATE(C801,""EN"",""KN"")"),"ದುರ್ಬಲಗೊಳಿಸು")</f>
        <v>ದುರ್ಬಲಗೊಳಿಸು</v>
      </c>
      <c r="N801" s="27" t="str">
        <f t="array" ref="N801">_xlfn.XLOOKUP(B801,'Sets Progress'!I:I,'Sets Progress'!I:I,"NOT YET")</f>
        <v>NOT YET</v>
      </c>
      <c r="O801" s="27" t="str">
        <f t="array" ref="O801">_xlfn.XLOOKUP(L:L,'Overall Progress'!L:L,'Overall Progress'!L:L,"NOT YET")</f>
        <v>NOT YET</v>
      </c>
      <c r="P801" s="27"/>
      <c r="Q801" s="27"/>
      <c r="R801" s="27"/>
      <c r="S801" s="27"/>
      <c r="T801" s="27"/>
      <c r="U801" s="27"/>
      <c r="V801" s="27"/>
      <c r="W801" s="27"/>
      <c r="X801" s="27"/>
      <c r="Y801" s="27"/>
      <c r="Z801" s="27"/>
    </row>
    <row r="802" hidden="1" customHeight="1" spans="1:26">
      <c r="A802" s="26">
        <v>177</v>
      </c>
      <c r="B802" s="26">
        <v>51</v>
      </c>
      <c r="C802" s="26" t="s">
        <v>527</v>
      </c>
      <c r="D802" s="26" t="s">
        <v>2717</v>
      </c>
      <c r="E802" s="26" t="s">
        <v>2908</v>
      </c>
      <c r="F802" s="26" t="str">
        <f t="shared" si="0"/>
        <v>Positive Traits Old English Origin</v>
      </c>
      <c r="G802" s="26">
        <f t="shared" si="1"/>
        <v>4</v>
      </c>
      <c r="H802" s="26" t="s">
        <v>3699</v>
      </c>
      <c r="I802" s="26"/>
      <c r="J802" s="26"/>
      <c r="K802" s="26"/>
      <c r="L802" s="26" t="str">
        <f t="shared" si="2"/>
        <v>B</v>
      </c>
      <c r="M802" s="26" t="str">
        <f>IFERROR(__xludf.DUMMYFUNCTION("GOOGLETRANSLATE(C802,""EN"",""KN"")"),"ವರದಾನ")</f>
        <v>ವರದಾನ</v>
      </c>
      <c r="N802" s="26" t="str">
        <f t="array" ref="N802">_xlfn.XLOOKUP(B802,'Sets Progress'!I:I,'Sets Progress'!I:I,"NOT YET")</f>
        <v>NOT YET</v>
      </c>
      <c r="O802" s="26" t="str">
        <f t="array" ref="O802">_xlfn.XLOOKUP(L:L,'Overall Progress'!L:L,'Overall Progress'!L:L,"NOT YET")</f>
        <v>NOT YET</v>
      </c>
      <c r="P802" s="26"/>
      <c r="Q802" s="26"/>
      <c r="R802" s="26"/>
      <c r="S802" s="26"/>
      <c r="T802" s="26"/>
      <c r="U802" s="26"/>
      <c r="V802" s="26"/>
      <c r="W802" s="26"/>
      <c r="X802" s="26"/>
      <c r="Y802" s="26"/>
      <c r="Z802" s="26"/>
    </row>
    <row r="803" hidden="1" customHeight="1" spans="1:26">
      <c r="A803" s="27">
        <v>280</v>
      </c>
      <c r="B803" s="27">
        <v>51</v>
      </c>
      <c r="C803" s="27" t="s">
        <v>633</v>
      </c>
      <c r="D803" s="27" t="s">
        <v>2717</v>
      </c>
      <c r="E803" s="27" t="s">
        <v>2889</v>
      </c>
      <c r="F803" s="27" t="str">
        <f t="shared" si="0"/>
        <v>Positive Traits Latin Origin</v>
      </c>
      <c r="G803" s="27">
        <f t="shared" si="1"/>
        <v>9</v>
      </c>
      <c r="H803" s="27" t="s">
        <v>3700</v>
      </c>
      <c r="I803" s="27"/>
      <c r="J803" s="27"/>
      <c r="K803" s="27"/>
      <c r="L803" s="27" t="str">
        <f t="shared" si="2"/>
        <v>C</v>
      </c>
      <c r="M803" s="27" t="str">
        <f>IFERROR(__xludf.DUMMYFUNCTION("GOOGLETRANSLATE(C803,""EN"",""KN"")"),"ಅನುಕೂಲಕರ")</f>
        <v>ಅನುಕೂಲಕರ</v>
      </c>
      <c r="N803" s="27" t="str">
        <f t="array" ref="N803">_xlfn.XLOOKUP(B803,'Sets Progress'!I:I,'Sets Progress'!I:I,"NOT YET")</f>
        <v>NOT YET</v>
      </c>
      <c r="O803" s="27" t="str">
        <f t="array" ref="O803">_xlfn.XLOOKUP(L:L,'Overall Progress'!L:L,'Overall Progress'!L:L,"NOT YET")</f>
        <v>NOT YET</v>
      </c>
      <c r="P803" s="27"/>
      <c r="Q803" s="27"/>
      <c r="R803" s="27"/>
      <c r="S803" s="27"/>
      <c r="T803" s="27"/>
      <c r="U803" s="27"/>
      <c r="V803" s="27"/>
      <c r="W803" s="27"/>
      <c r="X803" s="27"/>
      <c r="Y803" s="27"/>
      <c r="Z803" s="27"/>
    </row>
    <row r="804" hidden="1" customHeight="1" spans="1:26">
      <c r="A804" s="26">
        <v>497</v>
      </c>
      <c r="B804" s="26">
        <v>51</v>
      </c>
      <c r="C804" s="26" t="s">
        <v>846</v>
      </c>
      <c r="D804" s="26" t="s">
        <v>2717</v>
      </c>
      <c r="E804" s="26" t="s">
        <v>2889</v>
      </c>
      <c r="F804" s="26" t="str">
        <f t="shared" si="0"/>
        <v>Positive Traits Latin Origin</v>
      </c>
      <c r="G804" s="26">
        <f t="shared" si="1"/>
        <v>7</v>
      </c>
      <c r="H804" s="26" t="s">
        <v>3701</v>
      </c>
      <c r="I804" s="26"/>
      <c r="J804" s="26"/>
      <c r="K804" s="26"/>
      <c r="L804" s="26" t="str">
        <f t="shared" si="2"/>
        <v>E</v>
      </c>
      <c r="M804" s="26" t="str">
        <f>IFERROR(__xludf.DUMMYFUNCTION("GOOGLETRANSLATE(C804,""EN"",""KN"")"),"ಮೋಡಿಮಾಡು")</f>
        <v>ಮೋಡಿಮಾಡು</v>
      </c>
      <c r="N804" s="26" t="str">
        <f t="array" ref="N804">_xlfn.XLOOKUP(B804,'Sets Progress'!I:I,'Sets Progress'!I:I,"NOT YET")</f>
        <v>NOT YET</v>
      </c>
      <c r="O804" s="26" t="str">
        <f t="array" ref="O804">_xlfn.XLOOKUP(L:L,'Overall Progress'!L:L,'Overall Progress'!L:L,"NOT YET")</f>
        <v>NOT YET</v>
      </c>
      <c r="P804" s="26"/>
      <c r="Q804" s="26"/>
      <c r="R804" s="26"/>
      <c r="S804" s="26"/>
      <c r="T804" s="26"/>
      <c r="U804" s="26"/>
      <c r="V804" s="26"/>
      <c r="W804" s="26"/>
      <c r="X804" s="26"/>
      <c r="Y804" s="26"/>
      <c r="Z804" s="26"/>
    </row>
    <row r="805" customHeight="1" spans="1:26">
      <c r="A805" s="27">
        <v>517</v>
      </c>
      <c r="B805" s="27">
        <v>51</v>
      </c>
      <c r="C805" s="27" t="s">
        <v>866</v>
      </c>
      <c r="D805" s="27" t="s">
        <v>1721</v>
      </c>
      <c r="E805" s="27" t="s">
        <v>2896</v>
      </c>
      <c r="F805" s="27" t="str">
        <f t="shared" si="0"/>
        <v>Temporal Old French Origin</v>
      </c>
      <c r="G805" s="27">
        <f t="shared" si="1"/>
        <v>7</v>
      </c>
      <c r="H805" s="27"/>
      <c r="I805" s="27"/>
      <c r="J805" s="27"/>
      <c r="K805" s="27"/>
      <c r="L805" s="27" t="str">
        <f t="shared" si="2"/>
        <v>E</v>
      </c>
      <c r="M805" s="27" t="str">
        <f>IFERROR(__xludf.DUMMYFUNCTION("GOOGLETRANSLATE(C805,""EN"",""KN"")"),"ಮನವಿ")</f>
        <v>ಮನವಿ</v>
      </c>
      <c r="N805" s="27" t="str">
        <f t="array" ref="N805">_xlfn.XLOOKUP(B805,'Sets Progress'!I:I,'Sets Progress'!I:I,"NOT YET")</f>
        <v>NOT YET</v>
      </c>
      <c r="O805" s="27" t="str">
        <f t="array" ref="O805">_xlfn.XLOOKUP(L:L,'Overall Progress'!L:L,'Overall Progress'!L:L,"NOT YET")</f>
        <v>NOT YET</v>
      </c>
      <c r="P805" s="27"/>
      <c r="Q805" s="27"/>
      <c r="R805" s="27"/>
      <c r="S805" s="27"/>
      <c r="T805" s="27"/>
      <c r="U805" s="27"/>
      <c r="V805" s="27"/>
      <c r="W805" s="27"/>
      <c r="X805" s="27"/>
      <c r="Y805" s="27"/>
      <c r="Z805" s="27"/>
    </row>
    <row r="806" hidden="1" customHeight="1" spans="1:26">
      <c r="A806" s="26">
        <v>526</v>
      </c>
      <c r="B806" s="26">
        <v>51</v>
      </c>
      <c r="C806" s="26" t="s">
        <v>873</v>
      </c>
      <c r="D806" s="26" t="s">
        <v>1721</v>
      </c>
      <c r="E806" s="26" t="s">
        <v>2889</v>
      </c>
      <c r="F806" s="26" t="str">
        <f t="shared" si="0"/>
        <v>Temporal Latin Origin</v>
      </c>
      <c r="G806" s="26">
        <f t="shared" si="1"/>
        <v>10</v>
      </c>
      <c r="H806" s="26" t="s">
        <v>3702</v>
      </c>
      <c r="I806" s="26"/>
      <c r="J806" s="26"/>
      <c r="K806" s="26"/>
      <c r="L806" s="26" t="str">
        <f t="shared" si="2"/>
        <v>E</v>
      </c>
      <c r="M806" s="26" t="str">
        <f>IFERROR(__xludf.DUMMYFUNCTION("GOOGLETRANSLATE(C806,""EN"",""KN"")"),"ಇಕ್ವಿವೋಕೇಟ್")</f>
        <v>ಇಕ್ವಿವೋಕೇಟ್</v>
      </c>
      <c r="N806" s="26" t="str">
        <f t="array" ref="N806">_xlfn.XLOOKUP(B806,'Sets Progress'!I:I,'Sets Progress'!I:I,"NOT YET")</f>
        <v>NOT YET</v>
      </c>
      <c r="O806" s="26" t="str">
        <f t="array" ref="O806">_xlfn.XLOOKUP(L:L,'Overall Progress'!L:L,'Overall Progress'!L:L,"NOT YET")</f>
        <v>NOT YET</v>
      </c>
      <c r="P806" s="26"/>
      <c r="Q806" s="26"/>
      <c r="R806" s="26"/>
      <c r="S806" s="26"/>
      <c r="T806" s="26"/>
      <c r="U806" s="26"/>
      <c r="V806" s="26"/>
      <c r="W806" s="26"/>
      <c r="X806" s="26"/>
      <c r="Y806" s="26"/>
      <c r="Z806" s="26"/>
    </row>
    <row r="807" hidden="1" customHeight="1" spans="1:26">
      <c r="A807" s="27">
        <v>683</v>
      </c>
      <c r="B807" s="27">
        <v>51</v>
      </c>
      <c r="C807" s="27" t="s">
        <v>1025</v>
      </c>
      <c r="D807" s="27" t="s">
        <v>1721</v>
      </c>
      <c r="E807" s="27" t="s">
        <v>2908</v>
      </c>
      <c r="F807" s="27" t="str">
        <f t="shared" si="0"/>
        <v>Temporal Old English Origin</v>
      </c>
      <c r="G807" s="27">
        <f t="shared" si="1"/>
        <v>4</v>
      </c>
      <c r="H807" s="27" t="s">
        <v>3703</v>
      </c>
      <c r="I807" s="27"/>
      <c r="J807" s="27"/>
      <c r="K807" s="27"/>
      <c r="L807" s="27" t="str">
        <f t="shared" si="2"/>
        <v>H</v>
      </c>
      <c r="M807" s="27" t="str">
        <f>IFERROR(__xludf.DUMMYFUNCTION("GOOGLETRANSLATE(C807,""EN"",""KN"")"),"ಗಮನಿಸು")</f>
        <v>ಗಮನಿಸು</v>
      </c>
      <c r="N807" s="27" t="str">
        <f t="array" ref="N807">_xlfn.XLOOKUP(B807,'Sets Progress'!I:I,'Sets Progress'!I:I,"NOT YET")</f>
        <v>NOT YET</v>
      </c>
      <c r="O807" s="27" t="str">
        <f t="array" ref="O807">_xlfn.XLOOKUP(L:L,'Overall Progress'!L:L,'Overall Progress'!L:L,"NOT YET")</f>
        <v>NOT YET</v>
      </c>
      <c r="P807" s="27"/>
      <c r="Q807" s="27"/>
      <c r="R807" s="27"/>
      <c r="S807" s="27"/>
      <c r="T807" s="27"/>
      <c r="U807" s="27"/>
      <c r="V807" s="27"/>
      <c r="W807" s="27"/>
      <c r="X807" s="27"/>
      <c r="Y807" s="27"/>
      <c r="Z807" s="27"/>
    </row>
    <row r="808" customHeight="1" spans="1:26">
      <c r="A808" s="26">
        <v>786</v>
      </c>
      <c r="B808" s="26">
        <v>51</v>
      </c>
      <c r="C808" s="26" t="s">
        <v>1127</v>
      </c>
      <c r="D808" s="26" t="s">
        <v>1721</v>
      </c>
      <c r="E808" s="26" t="s">
        <v>2889</v>
      </c>
      <c r="F808" s="26" t="str">
        <f t="shared" si="0"/>
        <v>Temporal Latin Origin</v>
      </c>
      <c r="G808" s="26">
        <f t="shared" si="1"/>
        <v>11</v>
      </c>
      <c r="H808" s="26"/>
      <c r="I808" s="26"/>
      <c r="J808" s="26"/>
      <c r="K808" s="26"/>
      <c r="L808" s="26" t="str">
        <f t="shared" si="2"/>
        <v>I</v>
      </c>
      <c r="M808" s="26" t="str">
        <f>IFERROR(__xludf.DUMMYFUNCTION("GOOGLETRANSLATE(C808,""EN"",""KN"")"),"ಅನ್ಯಾಯದ")</f>
        <v>ಅನ್ಯಾಯದ</v>
      </c>
      <c r="N808" s="26" t="str">
        <f t="array" ref="N808">_xlfn.XLOOKUP(B808,'Sets Progress'!I:I,'Sets Progress'!I:I,"NOT YET")</f>
        <v>NOT YET</v>
      </c>
      <c r="O808" s="26" t="str">
        <f t="array" ref="O808">_xlfn.XLOOKUP(L:L,'Overall Progress'!L:L,'Overall Progress'!L:L,"NOT YET")</f>
        <v>NOT YET</v>
      </c>
      <c r="P808" s="26"/>
      <c r="Q808" s="26"/>
      <c r="R808" s="26"/>
      <c r="S808" s="26"/>
      <c r="T808" s="26"/>
      <c r="U808" s="26"/>
      <c r="V808" s="26"/>
      <c r="W808" s="26"/>
      <c r="X808" s="26"/>
      <c r="Y808" s="26"/>
      <c r="Z808" s="26"/>
    </row>
    <row r="809" customHeight="1" spans="1:26">
      <c r="A809" s="27">
        <v>815</v>
      </c>
      <c r="B809" s="27">
        <v>51</v>
      </c>
      <c r="C809" s="27" t="s">
        <v>1155</v>
      </c>
      <c r="D809" s="27" t="s">
        <v>1721</v>
      </c>
      <c r="E809" s="27" t="s">
        <v>2889</v>
      </c>
      <c r="F809" s="27" t="str">
        <f t="shared" si="0"/>
        <v>Temporal Latin Origin</v>
      </c>
      <c r="G809" s="27">
        <f t="shared" si="1"/>
        <v>9</v>
      </c>
      <c r="H809" s="27"/>
      <c r="I809" s="27"/>
      <c r="J809" s="27"/>
      <c r="K809" s="27"/>
      <c r="L809" s="27" t="str">
        <f t="shared" si="2"/>
        <v>I</v>
      </c>
      <c r="M809" s="27" t="str">
        <f>IFERROR(__xludf.DUMMYFUNCTION("GOOGLETRANSLATE(C809,""EN"",""KN"")"),"ಅಂತರ್ಗತ")</f>
        <v>ಅಂತರ್ಗತ</v>
      </c>
      <c r="N809" s="27" t="str">
        <f t="array" ref="N809">_xlfn.XLOOKUP(B809,'Sets Progress'!I:I,'Sets Progress'!I:I,"NOT YET")</f>
        <v>NOT YET</v>
      </c>
      <c r="O809" s="27" t="str">
        <f t="array" ref="O809">_xlfn.XLOOKUP(L:L,'Overall Progress'!L:L,'Overall Progress'!L:L,"NOT YET")</f>
        <v>NOT YET</v>
      </c>
      <c r="P809" s="27"/>
      <c r="Q809" s="27"/>
      <c r="R809" s="27"/>
      <c r="S809" s="27"/>
      <c r="T809" s="27"/>
      <c r="U809" s="27"/>
      <c r="V809" s="27"/>
      <c r="W809" s="27"/>
      <c r="X809" s="27"/>
      <c r="Y809" s="27"/>
      <c r="Z809" s="27"/>
    </row>
    <row r="810" hidden="1" customHeight="1" spans="1:26">
      <c r="A810" s="26">
        <v>1049</v>
      </c>
      <c r="B810" s="26">
        <v>51</v>
      </c>
      <c r="C810" s="26" t="s">
        <v>1384</v>
      </c>
      <c r="D810" s="26" t="s">
        <v>1721</v>
      </c>
      <c r="E810" s="26" t="s">
        <v>2889</v>
      </c>
      <c r="F810" s="26" t="str">
        <f t="shared" si="0"/>
        <v>Temporal Latin Origin</v>
      </c>
      <c r="G810" s="26">
        <f t="shared" si="1"/>
        <v>7</v>
      </c>
      <c r="H810" s="26" t="s">
        <v>3704</v>
      </c>
      <c r="I810" s="26"/>
      <c r="J810" s="26"/>
      <c r="K810" s="26"/>
      <c r="L810" s="26" t="str">
        <f t="shared" si="2"/>
        <v>P</v>
      </c>
      <c r="M810" s="26" t="str">
        <f>IFERROR(__xludf.DUMMYFUNCTION("GOOGLETRANSLATE(C810,""EN"",""KN"")"),"ಪರ್ಪ್ಲೆಕ್ಸ್")</f>
        <v>ಪರ್ಪ್ಲೆಕ್ಸ್</v>
      </c>
      <c r="N810" s="26" t="str">
        <f t="array" ref="N810">_xlfn.XLOOKUP(B810,'Sets Progress'!I:I,'Sets Progress'!I:I,"NOT YET")</f>
        <v>NOT YET</v>
      </c>
      <c r="O810" s="26" t="str">
        <f t="array" ref="O810">_xlfn.XLOOKUP(L:L,'Overall Progress'!L:L,'Overall Progress'!L:L,"NOT YET")</f>
        <v>NOT YET</v>
      </c>
      <c r="P810" s="26"/>
      <c r="Q810" s="26"/>
      <c r="R810" s="26"/>
      <c r="S810" s="26"/>
      <c r="T810" s="26"/>
      <c r="U810" s="26"/>
      <c r="V810" s="26"/>
      <c r="W810" s="26"/>
      <c r="X810" s="26"/>
      <c r="Y810" s="26"/>
      <c r="Z810" s="26"/>
    </row>
    <row r="811" hidden="1" customHeight="1" spans="1:26">
      <c r="A811" s="27">
        <v>1155</v>
      </c>
      <c r="B811" s="27">
        <v>51</v>
      </c>
      <c r="C811" s="27" t="s">
        <v>1486</v>
      </c>
      <c r="D811" s="27" t="s">
        <v>1721</v>
      </c>
      <c r="E811" s="27" t="s">
        <v>2889</v>
      </c>
      <c r="F811" s="27" t="str">
        <f t="shared" si="0"/>
        <v>Temporal Latin Origin</v>
      </c>
      <c r="G811" s="27">
        <f t="shared" si="1"/>
        <v>12</v>
      </c>
      <c r="H811" s="27" t="s">
        <v>3705</v>
      </c>
      <c r="I811" s="27"/>
      <c r="J811" s="27"/>
      <c r="K811" s="27"/>
      <c r="L811" s="27" t="str">
        <f t="shared" si="2"/>
        <v>Q</v>
      </c>
      <c r="M811" s="27" t="str">
        <f>IFERROR(__xludf.DUMMYFUNCTION("GOOGLETRANSLATE(C811,""EN"",""KN"")"),"ಪ್ರಮಾಣೀಕರಿಸಬಹುದಾದ")</f>
        <v>ಪ್ರಮಾಣೀಕರಿಸಬಹುದಾದ</v>
      </c>
      <c r="N811" s="27" t="str">
        <f t="array" ref="N811">_xlfn.XLOOKUP(B811,'Sets Progress'!I:I,'Sets Progress'!I:I,"NOT YET")</f>
        <v>NOT YET</v>
      </c>
      <c r="O811" s="27" t="str">
        <f t="array" ref="O811">_xlfn.XLOOKUP(L:L,'Overall Progress'!L:L,'Overall Progress'!L:L,"NOT YET")</f>
        <v>NOT YET</v>
      </c>
      <c r="P811" s="27"/>
      <c r="Q811" s="27"/>
      <c r="R811" s="27"/>
      <c r="S811" s="27"/>
      <c r="T811" s="27"/>
      <c r="U811" s="27"/>
      <c r="V811" s="27"/>
      <c r="W811" s="27"/>
      <c r="X811" s="27"/>
      <c r="Y811" s="27"/>
      <c r="Z811" s="27"/>
    </row>
    <row r="812" hidden="1" customHeight="1" spans="1:26">
      <c r="A812" s="26">
        <v>1320</v>
      </c>
      <c r="B812" s="26">
        <v>51</v>
      </c>
      <c r="C812" s="26" t="s">
        <v>1651</v>
      </c>
      <c r="D812" s="26" t="s">
        <v>2717</v>
      </c>
      <c r="E812" s="26" t="s">
        <v>2908</v>
      </c>
      <c r="F812" s="26" t="str">
        <f t="shared" si="0"/>
        <v>Positive Traits Old English Origin</v>
      </c>
      <c r="G812" s="26">
        <f t="shared" si="1"/>
        <v>8</v>
      </c>
      <c r="H812" s="26" t="s">
        <v>3706</v>
      </c>
      <c r="I812" s="26"/>
      <c r="J812" s="26"/>
      <c r="K812" s="26"/>
      <c r="L812" s="26" t="str">
        <f t="shared" si="2"/>
        <v>S</v>
      </c>
      <c r="M812" s="26" t="str">
        <f>IFERROR(__xludf.DUMMYFUNCTION("GOOGLETRANSLATE(C812,""EN"",""KN"")"),"ಸ್ಟಾಲ್ವಾರ್ಟ್")</f>
        <v>ಸ್ಟಾಲ್ವಾರ್ಟ್</v>
      </c>
      <c r="N812" s="26" t="str">
        <f t="array" ref="N812">_xlfn.XLOOKUP(B812,'Sets Progress'!I:I,'Sets Progress'!I:I,"NOT YET")</f>
        <v>NOT YET</v>
      </c>
      <c r="O812" s="26" t="str">
        <f t="array" ref="O812">_xlfn.XLOOKUP(L:L,'Overall Progress'!L:L,'Overall Progress'!L:L,"NOT YET")</f>
        <v>NOT YET</v>
      </c>
      <c r="P812" s="26"/>
      <c r="Q812" s="26"/>
      <c r="R812" s="26"/>
      <c r="S812" s="26"/>
      <c r="T812" s="26"/>
      <c r="U812" s="26"/>
      <c r="V812" s="26"/>
      <c r="W812" s="26"/>
      <c r="X812" s="26"/>
      <c r="Y812" s="26"/>
      <c r="Z812" s="26"/>
    </row>
    <row r="813" hidden="1" customHeight="1" spans="1:26">
      <c r="A813" s="27">
        <v>1357</v>
      </c>
      <c r="B813" s="27">
        <v>51</v>
      </c>
      <c r="C813" s="27" t="s">
        <v>1688</v>
      </c>
      <c r="D813" s="27" t="s">
        <v>2716</v>
      </c>
      <c r="E813" s="27" t="s">
        <v>2889</v>
      </c>
      <c r="F813" s="27" t="str">
        <f t="shared" si="0"/>
        <v>Negative Traits Latin Origin</v>
      </c>
      <c r="G813" s="27">
        <f t="shared" si="1"/>
        <v>8</v>
      </c>
      <c r="H813" s="27" t="s">
        <v>3252</v>
      </c>
      <c r="I813" s="27"/>
      <c r="J813" s="27"/>
      <c r="K813" s="27"/>
      <c r="L813" s="27" t="str">
        <f t="shared" si="2"/>
        <v>S</v>
      </c>
      <c r="M813" s="27" t="str">
        <f>IFERROR(__xludf.DUMMYFUNCTION("GOOGLETRANSLATE(C813,""EN"",""KN"")"),"ನಿಗ್ರಹಿಸಿ")</f>
        <v>ನಿಗ್ರಹಿಸಿ</v>
      </c>
      <c r="N813" s="27" t="str">
        <f t="array" ref="N813">_xlfn.XLOOKUP(B813,'Sets Progress'!I:I,'Sets Progress'!I:I,"NOT YET")</f>
        <v>NOT YET</v>
      </c>
      <c r="O813" s="27" t="str">
        <f t="array" ref="O813">_xlfn.XLOOKUP(L:L,'Overall Progress'!L:L,'Overall Progress'!L:L,"NOT YET")</f>
        <v>NOT YET</v>
      </c>
      <c r="P813" s="27"/>
      <c r="Q813" s="27"/>
      <c r="R813" s="27"/>
      <c r="S813" s="27"/>
      <c r="T813" s="27"/>
      <c r="U813" s="27"/>
      <c r="V813" s="27"/>
      <c r="W813" s="27"/>
      <c r="X813" s="27"/>
      <c r="Y813" s="27"/>
      <c r="Z813" s="27"/>
    </row>
    <row r="814" hidden="1" customHeight="1" spans="1:26">
      <c r="A814" s="26">
        <v>1400</v>
      </c>
      <c r="B814" s="26">
        <v>51</v>
      </c>
      <c r="C814" s="26" t="s">
        <v>1731</v>
      </c>
      <c r="D814" s="26" t="s">
        <v>1721</v>
      </c>
      <c r="E814" s="26" t="s">
        <v>2896</v>
      </c>
      <c r="F814" s="26" t="str">
        <f t="shared" si="0"/>
        <v>Temporal Old French Origin</v>
      </c>
      <c r="G814" s="26">
        <f t="shared" si="1"/>
        <v>8</v>
      </c>
      <c r="H814" s="26" t="s">
        <v>3707</v>
      </c>
      <c r="I814" s="26"/>
      <c r="J814" s="26"/>
      <c r="K814" s="26"/>
      <c r="L814" s="26" t="str">
        <f t="shared" si="2"/>
        <v>T</v>
      </c>
      <c r="M814" s="26" t="str">
        <f>IFERROR(__xludf.DUMMYFUNCTION("GOOGLETRANSLATE(C814,""EN"",""KN"")"),"ಪರೀಕ್ಷಿಸಬಹುದಾದ")</f>
        <v>ಪರೀಕ್ಷಿಸಬಹುದಾದ</v>
      </c>
      <c r="N814" s="26" t="str">
        <f t="array" ref="N814">_xlfn.XLOOKUP(B814,'Sets Progress'!I:I,'Sets Progress'!I:I,"NOT YET")</f>
        <v>NOT YET</v>
      </c>
      <c r="O814" s="26" t="str">
        <f t="array" ref="O814">_xlfn.XLOOKUP(L:L,'Overall Progress'!L:L,'Overall Progress'!L:L,"NOT YET")</f>
        <v>NOT YET</v>
      </c>
      <c r="P814" s="26"/>
      <c r="Q814" s="26"/>
      <c r="R814" s="26"/>
      <c r="S814" s="26"/>
      <c r="T814" s="26"/>
      <c r="U814" s="26"/>
      <c r="V814" s="26"/>
      <c r="W814" s="26"/>
      <c r="X814" s="26"/>
      <c r="Y814" s="26"/>
      <c r="Z814" s="26"/>
    </row>
    <row r="815" hidden="1" customHeight="1" spans="1:26">
      <c r="A815" s="27">
        <v>1401</v>
      </c>
      <c r="B815" s="27">
        <v>51</v>
      </c>
      <c r="C815" s="27" t="s">
        <v>1732</v>
      </c>
      <c r="D815" s="27" t="s">
        <v>1721</v>
      </c>
      <c r="E815" s="27" t="s">
        <v>2908</v>
      </c>
      <c r="F815" s="27" t="str">
        <f t="shared" si="0"/>
        <v>Temporal Old English Origin</v>
      </c>
      <c r="G815" s="27">
        <f t="shared" si="1"/>
        <v>9</v>
      </c>
      <c r="H815" s="27" t="s">
        <v>3708</v>
      </c>
      <c r="I815" s="27"/>
      <c r="J815" s="27"/>
      <c r="K815" s="27"/>
      <c r="L815" s="27" t="str">
        <f t="shared" si="2"/>
        <v>T</v>
      </c>
      <c r="M815" s="27" t="str">
        <f>IFERROR(__xludf.DUMMYFUNCTION("GOOGLETRANSLATE(C815,""EN"",""KN"")"),"ಸಾಕ್ಷ್ಯ")</f>
        <v>ಸಾಕ್ಷ್ಯ</v>
      </c>
      <c r="N815" s="27" t="str">
        <f t="array" ref="N815">_xlfn.XLOOKUP(B815,'Sets Progress'!I:I,'Sets Progress'!I:I,"NOT YET")</f>
        <v>NOT YET</v>
      </c>
      <c r="O815" s="27" t="str">
        <f t="array" ref="O815">_xlfn.XLOOKUP(L:L,'Overall Progress'!L:L,'Overall Progress'!L:L,"NOT YET")</f>
        <v>NOT YET</v>
      </c>
      <c r="P815" s="27"/>
      <c r="Q815" s="27"/>
      <c r="R815" s="27"/>
      <c r="S815" s="27"/>
      <c r="T815" s="27"/>
      <c r="U815" s="27"/>
      <c r="V815" s="27"/>
      <c r="W815" s="27"/>
      <c r="X815" s="27"/>
      <c r="Y815" s="27"/>
      <c r="Z815" s="27"/>
    </row>
    <row r="816" hidden="1" customHeight="1" spans="1:26">
      <c r="A816" s="26">
        <v>309</v>
      </c>
      <c r="B816" s="26">
        <v>52</v>
      </c>
      <c r="C816" s="26" t="s">
        <v>1879</v>
      </c>
      <c r="D816" s="26" t="s">
        <v>1721</v>
      </c>
      <c r="E816" s="26" t="s">
        <v>2899</v>
      </c>
      <c r="F816" s="26" t="str">
        <f t="shared" si="0"/>
        <v>Temporal Middle English Origin</v>
      </c>
      <c r="G816" s="26">
        <f t="shared" si="1"/>
        <v>4</v>
      </c>
      <c r="H816" s="26" t="s">
        <v>3709</v>
      </c>
      <c r="I816" s="26"/>
      <c r="J816" s="26"/>
      <c r="K816" s="26"/>
      <c r="L816" s="26" t="str">
        <f t="shared" si="2"/>
        <v>C</v>
      </c>
      <c r="M816" s="26" t="str">
        <f>IFERROR(__xludf.DUMMYFUNCTION("GOOGLETRANSLATE(C816,""EN"",""KN"")"),"ನಿಭಾಯಿಸಿ")</f>
        <v>ನಿಭಾಯಿಸಿ</v>
      </c>
      <c r="N816" s="26" t="str">
        <f t="array" ref="N816">_xlfn.XLOOKUP(B816,'Sets Progress'!I:I,'Sets Progress'!I:I,"NOT YET")</f>
        <v>NOT YET</v>
      </c>
      <c r="O816" s="26" t="str">
        <f t="array" ref="O816">_xlfn.XLOOKUP(L:L,'Overall Progress'!L:L,'Overall Progress'!L:L,"NOT YET")</f>
        <v>NOT YET</v>
      </c>
      <c r="P816" s="26"/>
      <c r="Q816" s="26"/>
      <c r="R816" s="26"/>
      <c r="S816" s="26"/>
      <c r="T816" s="26"/>
      <c r="U816" s="26"/>
      <c r="V816" s="26"/>
      <c r="W816" s="26"/>
      <c r="X816" s="26"/>
      <c r="Y816" s="26"/>
      <c r="Z816" s="26"/>
    </row>
    <row r="817" hidden="1" customHeight="1" spans="1:26">
      <c r="A817" s="27">
        <v>359</v>
      </c>
      <c r="B817" s="27">
        <v>52</v>
      </c>
      <c r="C817" s="27" t="s">
        <v>709</v>
      </c>
      <c r="D817" s="27" t="s">
        <v>2892</v>
      </c>
      <c r="E817" s="27" t="s">
        <v>2889</v>
      </c>
      <c r="F817" s="27" t="str">
        <f t="shared" si="0"/>
        <v>Spatial Latin Origin</v>
      </c>
      <c r="G817" s="27">
        <f t="shared" si="1"/>
        <v>7</v>
      </c>
      <c r="H817" s="27" t="s">
        <v>3710</v>
      </c>
      <c r="I817" s="27"/>
      <c r="J817" s="27"/>
      <c r="K817" s="27"/>
      <c r="L817" s="27" t="str">
        <f t="shared" si="2"/>
        <v>D</v>
      </c>
      <c r="M817" s="27" t="str">
        <f>IFERROR(__xludf.DUMMYFUNCTION("GOOGLETRANSLATE(C817,""EN"",""KN"")"),"ತಿರುಗಿಸು")</f>
        <v>ತಿರುಗಿಸು</v>
      </c>
      <c r="N817" s="27" t="str">
        <f t="array" ref="N817">_xlfn.XLOOKUP(B817,'Sets Progress'!I:I,'Sets Progress'!I:I,"NOT YET")</f>
        <v>NOT YET</v>
      </c>
      <c r="O817" s="27" t="str">
        <f t="array" ref="O817">_xlfn.XLOOKUP(L:L,'Overall Progress'!L:L,'Overall Progress'!L:L,"NOT YET")</f>
        <v>NOT YET</v>
      </c>
      <c r="P817" s="27"/>
      <c r="Q817" s="27"/>
      <c r="R817" s="27"/>
      <c r="S817" s="27"/>
      <c r="T817" s="27"/>
      <c r="U817" s="27"/>
      <c r="V817" s="27"/>
      <c r="W817" s="27"/>
      <c r="X817" s="27"/>
      <c r="Y817" s="27"/>
      <c r="Z817" s="27"/>
    </row>
    <row r="818" hidden="1" customHeight="1" spans="1:26">
      <c r="A818" s="26">
        <v>507</v>
      </c>
      <c r="B818" s="26">
        <v>52</v>
      </c>
      <c r="C818" s="26" t="s">
        <v>856</v>
      </c>
      <c r="D818" s="26" t="s">
        <v>1721</v>
      </c>
      <c r="E818" s="26" t="s">
        <v>2896</v>
      </c>
      <c r="F818" s="26" t="str">
        <f t="shared" si="0"/>
        <v>Temporal Old French Origin</v>
      </c>
      <c r="G818" s="26">
        <f t="shared" si="1"/>
        <v>8</v>
      </c>
      <c r="H818" s="26" t="s">
        <v>3711</v>
      </c>
      <c r="I818" s="26"/>
      <c r="J818" s="26"/>
      <c r="K818" s="26"/>
      <c r="L818" s="26" t="str">
        <f t="shared" si="2"/>
        <v>E</v>
      </c>
      <c r="M818" s="26" t="str">
        <f>IFERROR(__xludf.DUMMYFUNCTION("GOOGLETRANSLATE(C818,""EN"",""KN"")"),"ಹುಟ್ಟುಹಾಕು")</f>
        <v>ಹುಟ್ಟುಹಾಕು</v>
      </c>
      <c r="N818" s="26" t="str">
        <f t="array" ref="N818">_xlfn.XLOOKUP(B818,'Sets Progress'!I:I,'Sets Progress'!I:I,"NOT YET")</f>
        <v>NOT YET</v>
      </c>
      <c r="O818" s="26" t="str">
        <f t="array" ref="O818">_xlfn.XLOOKUP(L:L,'Overall Progress'!L:L,'Overall Progress'!L:L,"NOT YET")</f>
        <v>NOT YET</v>
      </c>
      <c r="P818" s="26"/>
      <c r="Q818" s="26"/>
      <c r="R818" s="26"/>
      <c r="S818" s="26"/>
      <c r="T818" s="26"/>
      <c r="U818" s="26"/>
      <c r="V818" s="26"/>
      <c r="W818" s="26"/>
      <c r="X818" s="26"/>
      <c r="Y818" s="26"/>
      <c r="Z818" s="26"/>
    </row>
    <row r="819" hidden="1" customHeight="1" spans="1:26">
      <c r="A819" s="27">
        <v>574</v>
      </c>
      <c r="B819" s="27">
        <v>52</v>
      </c>
      <c r="C819" s="27" t="s">
        <v>919</v>
      </c>
      <c r="D819" s="27" t="s">
        <v>1721</v>
      </c>
      <c r="E819" s="27" t="s">
        <v>2896</v>
      </c>
      <c r="F819" s="27" t="str">
        <f t="shared" si="0"/>
        <v>Temporal Old French Origin</v>
      </c>
      <c r="G819" s="27">
        <f t="shared" si="1"/>
        <v>11</v>
      </c>
      <c r="H819" s="27" t="s">
        <v>3712</v>
      </c>
      <c r="I819" s="27"/>
      <c r="J819" s="27"/>
      <c r="K819" s="27"/>
      <c r="L819" s="27" t="str">
        <f t="shared" si="2"/>
        <v>E</v>
      </c>
      <c r="M819" s="27" t="str">
        <f>IFERROR(__xludf.DUMMYFUNCTION("GOOGLETRANSLATE(C819,""EN"",""KN"")"),"ಅತಿರಂಜಿತ")</f>
        <v>ಅತಿರಂಜಿತ</v>
      </c>
      <c r="N819" s="27" t="str">
        <f t="array" ref="N819">_xlfn.XLOOKUP(B819,'Sets Progress'!I:I,'Sets Progress'!I:I,"NOT YET")</f>
        <v>NOT YET</v>
      </c>
      <c r="O819" s="27" t="str">
        <f t="array" ref="O819">_xlfn.XLOOKUP(L:L,'Overall Progress'!L:L,'Overall Progress'!L:L,"NOT YET")</f>
        <v>NOT YET</v>
      </c>
      <c r="P819" s="27"/>
      <c r="Q819" s="27"/>
      <c r="R819" s="27"/>
      <c r="S819" s="27"/>
      <c r="T819" s="27"/>
      <c r="U819" s="27"/>
      <c r="V819" s="27"/>
      <c r="W819" s="27"/>
      <c r="X819" s="27"/>
      <c r="Y819" s="27"/>
      <c r="Z819" s="27"/>
    </row>
    <row r="820" customHeight="1" spans="1:26">
      <c r="A820" s="26">
        <v>578</v>
      </c>
      <c r="B820" s="26">
        <v>52</v>
      </c>
      <c r="C820" s="26" t="s">
        <v>923</v>
      </c>
      <c r="D820" s="26" t="s">
        <v>1721</v>
      </c>
      <c r="E820" s="26" t="s">
        <v>2889</v>
      </c>
      <c r="F820" s="26" t="str">
        <f t="shared" si="0"/>
        <v>Temporal Latin Origin</v>
      </c>
      <c r="G820" s="26">
        <f t="shared" si="1"/>
        <v>7</v>
      </c>
      <c r="H820" s="26"/>
      <c r="I820" s="26"/>
      <c r="J820" s="26"/>
      <c r="K820" s="26"/>
      <c r="L820" s="26" t="str">
        <f t="shared" si="2"/>
        <v>F</v>
      </c>
      <c r="M820" s="26" t="str">
        <f>IFERROR(__xludf.DUMMYFUNCTION("GOOGLETRANSLATE(C820,""EN"",""KN"")"),"ವಾಸ್ತವಿಕ")</f>
        <v>ವಾಸ್ತವಿಕ</v>
      </c>
      <c r="N820" s="26" t="str">
        <f t="array" ref="N820">_xlfn.XLOOKUP(B820,'Sets Progress'!I:I,'Sets Progress'!I:I,"NOT YET")</f>
        <v>NOT YET</v>
      </c>
      <c r="O820" s="26" t="str">
        <f t="array" ref="O820">_xlfn.XLOOKUP(L:L,'Overall Progress'!L:L,'Overall Progress'!L:L,"NOT YET")</f>
        <v>NOT YET</v>
      </c>
      <c r="P820" s="26"/>
      <c r="Q820" s="26"/>
      <c r="R820" s="26"/>
      <c r="S820" s="26"/>
      <c r="T820" s="26"/>
      <c r="U820" s="26"/>
      <c r="V820" s="26"/>
      <c r="W820" s="26"/>
      <c r="X820" s="26"/>
      <c r="Y820" s="26"/>
      <c r="Z820" s="26"/>
    </row>
    <row r="821" customHeight="1" spans="1:26">
      <c r="A821" s="27">
        <v>583</v>
      </c>
      <c r="B821" s="27">
        <v>52</v>
      </c>
      <c r="C821" s="27" t="s">
        <v>928</v>
      </c>
      <c r="D821" s="27" t="s">
        <v>2717</v>
      </c>
      <c r="E821" s="27" t="s">
        <v>2899</v>
      </c>
      <c r="F821" s="27" t="str">
        <f t="shared" si="0"/>
        <v>Positive Traits Middle English Origin</v>
      </c>
      <c r="G821" s="27">
        <f t="shared" si="1"/>
        <v>8</v>
      </c>
      <c r="H821" s="27"/>
      <c r="I821" s="27"/>
      <c r="J821" s="27"/>
      <c r="K821" s="27"/>
      <c r="L821" s="27" t="str">
        <f t="shared" si="2"/>
        <v>F</v>
      </c>
      <c r="M821" s="27" t="str">
        <f>IFERROR(__xludf.DUMMYFUNCTION("GOOGLETRANSLATE(C821,""EN"",""KN"")"),"ಕಾಲ್ಪನಿಕ")</f>
        <v>ಕಾಲ್ಪನಿಕ</v>
      </c>
      <c r="N821" s="27" t="str">
        <f t="array" ref="N821">_xlfn.XLOOKUP(B821,'Sets Progress'!I:I,'Sets Progress'!I:I,"NOT YET")</f>
        <v>NOT YET</v>
      </c>
      <c r="O821" s="27" t="str">
        <f t="array" ref="O821">_xlfn.XLOOKUP(L:L,'Overall Progress'!L:L,'Overall Progress'!L:L,"NOT YET")</f>
        <v>NOT YET</v>
      </c>
      <c r="P821" s="27"/>
      <c r="Q821" s="27"/>
      <c r="R821" s="27"/>
      <c r="S821" s="27"/>
      <c r="T821" s="27"/>
      <c r="U821" s="27"/>
      <c r="V821" s="27"/>
      <c r="W821" s="27"/>
      <c r="X821" s="27"/>
      <c r="Y821" s="27"/>
      <c r="Z821" s="27"/>
    </row>
    <row r="822" hidden="1" customHeight="1" spans="1:26">
      <c r="A822" s="26">
        <v>614</v>
      </c>
      <c r="B822" s="26">
        <v>52</v>
      </c>
      <c r="C822" s="26" t="s">
        <v>958</v>
      </c>
      <c r="D822" s="26" t="s">
        <v>2946</v>
      </c>
      <c r="E822" s="26" t="s">
        <v>2921</v>
      </c>
      <c r="F822" s="26" t="str">
        <f t="shared" si="0"/>
        <v>Emotional Unknown Origin</v>
      </c>
      <c r="G822" s="26">
        <f t="shared" si="1"/>
        <v>9</v>
      </c>
      <c r="H822" s="26" t="s">
        <v>3713</v>
      </c>
      <c r="I822" s="26"/>
      <c r="J822" s="26"/>
      <c r="K822" s="26"/>
      <c r="L822" s="26" t="str">
        <f t="shared" si="2"/>
        <v>F</v>
      </c>
      <c r="M822" s="26" t="str">
        <f>IFERROR(__xludf.DUMMYFUNCTION("GOOGLETRANSLATE(C822,""EN"",""KN"")"),"ಗಲಿಬಿಲಿಗೊಂಡ")</f>
        <v>ಗಲಿಬಿಲಿಗೊಂಡ</v>
      </c>
      <c r="N822" s="26" t="str">
        <f t="array" ref="N822">_xlfn.XLOOKUP(B822,'Sets Progress'!I:I,'Sets Progress'!I:I,"NOT YET")</f>
        <v>NOT YET</v>
      </c>
      <c r="O822" s="26" t="str">
        <f t="array" ref="O822">_xlfn.XLOOKUP(L:L,'Overall Progress'!L:L,'Overall Progress'!L:L,"NOT YET")</f>
        <v>NOT YET</v>
      </c>
      <c r="P822" s="26"/>
      <c r="Q822" s="26"/>
      <c r="R822" s="26"/>
      <c r="S822" s="26"/>
      <c r="T822" s="26"/>
      <c r="U822" s="26"/>
      <c r="V822" s="26"/>
      <c r="W822" s="26"/>
      <c r="X822" s="26"/>
      <c r="Y822" s="26"/>
      <c r="Z822" s="26"/>
    </row>
    <row r="823" customHeight="1" spans="1:26">
      <c r="A823" s="27">
        <v>768</v>
      </c>
      <c r="B823" s="27">
        <v>52</v>
      </c>
      <c r="C823" s="27" t="s">
        <v>1109</v>
      </c>
      <c r="D823" s="27" t="s">
        <v>2716</v>
      </c>
      <c r="E823" s="27" t="s">
        <v>2889</v>
      </c>
      <c r="F823" s="27" t="str">
        <f t="shared" si="0"/>
        <v>Negative Traits Latin Origin</v>
      </c>
      <c r="G823" s="27">
        <f t="shared" si="1"/>
        <v>8</v>
      </c>
      <c r="H823" s="27"/>
      <c r="I823" s="27"/>
      <c r="J823" s="27"/>
      <c r="K823" s="27"/>
      <c r="L823" s="27" t="str">
        <f t="shared" si="2"/>
        <v>I</v>
      </c>
      <c r="M823" s="27" t="str">
        <f>IFERROR(__xludf.DUMMYFUNCTION("GOOGLETRANSLATE(C823,""EN"",""KN"")"),"ನಿರಾಸಕ್ತಿ")</f>
        <v>ನಿರಾಸಕ್ತಿ</v>
      </c>
      <c r="N823" s="27" t="str">
        <f t="array" ref="N823">_xlfn.XLOOKUP(B823,'Sets Progress'!I:I,'Sets Progress'!I:I,"NOT YET")</f>
        <v>NOT YET</v>
      </c>
      <c r="O823" s="27" t="str">
        <f t="array" ref="O823">_xlfn.XLOOKUP(L:L,'Overall Progress'!L:L,'Overall Progress'!L:L,"NOT YET")</f>
        <v>NOT YET</v>
      </c>
      <c r="P823" s="27"/>
      <c r="Q823" s="27"/>
      <c r="R823" s="27"/>
      <c r="S823" s="27"/>
      <c r="T823" s="27"/>
      <c r="U823" s="27"/>
      <c r="V823" s="27"/>
      <c r="W823" s="27"/>
      <c r="X823" s="27"/>
      <c r="Y823" s="27"/>
      <c r="Z823" s="27"/>
    </row>
    <row r="824" hidden="1" customHeight="1" spans="1:26">
      <c r="A824" s="26">
        <v>871</v>
      </c>
      <c r="B824" s="26">
        <v>52</v>
      </c>
      <c r="C824" s="26" t="s">
        <v>1209</v>
      </c>
      <c r="D824" s="26" t="s">
        <v>2717</v>
      </c>
      <c r="E824" s="26" t="s">
        <v>2889</v>
      </c>
      <c r="F824" s="26" t="str">
        <f t="shared" si="0"/>
        <v>Positive Traits Latin Origin</v>
      </c>
      <c r="G824" s="26">
        <f t="shared" si="1"/>
        <v>9</v>
      </c>
      <c r="H824" s="26" t="s">
        <v>3714</v>
      </c>
      <c r="I824" s="26"/>
      <c r="J824" s="26"/>
      <c r="K824" s="26"/>
      <c r="L824" s="26" t="str">
        <f t="shared" si="2"/>
        <v>L</v>
      </c>
      <c r="M824" s="26" t="str">
        <f>IFERROR(__xludf.DUMMYFUNCTION("GOOGLETRANSLATE(C824,""EN"",""KN"")"),"ಲಾಭದಾಯಕ")</f>
        <v>ಲಾಭದಾಯಕ</v>
      </c>
      <c r="N824" s="26" t="str">
        <f t="array" ref="N824">_xlfn.XLOOKUP(B824,'Sets Progress'!I:I,'Sets Progress'!I:I,"NOT YET")</f>
        <v>NOT YET</v>
      </c>
      <c r="O824" s="26" t="str">
        <f t="array" ref="O824">_xlfn.XLOOKUP(L:L,'Overall Progress'!L:L,'Overall Progress'!L:L,"NOT YET")</f>
        <v>NOT YET</v>
      </c>
      <c r="P824" s="26"/>
      <c r="Q824" s="26"/>
      <c r="R824" s="26"/>
      <c r="S824" s="26"/>
      <c r="T824" s="26"/>
      <c r="U824" s="26"/>
      <c r="V824" s="26"/>
      <c r="W824" s="26"/>
      <c r="X824" s="26"/>
      <c r="Y824" s="26"/>
      <c r="Z824" s="26"/>
    </row>
    <row r="825" hidden="1" customHeight="1" spans="1:26">
      <c r="A825" s="27">
        <v>914</v>
      </c>
      <c r="B825" s="27">
        <v>52</v>
      </c>
      <c r="C825" s="27" t="s">
        <v>1250</v>
      </c>
      <c r="D825" s="27" t="s">
        <v>1721</v>
      </c>
      <c r="E825" s="27" t="s">
        <v>2889</v>
      </c>
      <c r="F825" s="27" t="str">
        <f t="shared" si="0"/>
        <v>Temporal Latin Origin</v>
      </c>
      <c r="G825" s="27">
        <f t="shared" si="1"/>
        <v>6</v>
      </c>
      <c r="H825" s="27" t="s">
        <v>3715</v>
      </c>
      <c r="I825" s="27"/>
      <c r="J825" s="27"/>
      <c r="K825" s="27"/>
      <c r="L825" s="27" t="str">
        <f t="shared" si="2"/>
        <v>M</v>
      </c>
      <c r="M825" s="27" t="str">
        <f>IFERROR(__xludf.DUMMYFUNCTION("GOOGLETRANSLATE(C825,""EN"",""KN"")"),"ನಿಮಿಷ")</f>
        <v>ನಿಮಿಷ</v>
      </c>
      <c r="N825" s="27" t="str">
        <f t="array" ref="N825">_xlfn.XLOOKUP(B825,'Sets Progress'!I:I,'Sets Progress'!I:I,"NOT YET")</f>
        <v>NOT YET</v>
      </c>
      <c r="O825" s="27" t="str">
        <f t="array" ref="O825">_xlfn.XLOOKUP(L:L,'Overall Progress'!L:L,'Overall Progress'!L:L,"NOT YET")</f>
        <v>NOT YET</v>
      </c>
      <c r="P825" s="27"/>
      <c r="Q825" s="27"/>
      <c r="R825" s="27"/>
      <c r="S825" s="27"/>
      <c r="T825" s="27"/>
      <c r="U825" s="27"/>
      <c r="V825" s="27"/>
      <c r="W825" s="27"/>
      <c r="X825" s="27"/>
      <c r="Y825" s="27"/>
      <c r="Z825" s="27"/>
    </row>
    <row r="826" hidden="1" customHeight="1" spans="1:26">
      <c r="A826" s="26">
        <v>1116</v>
      </c>
      <c r="B826" s="26">
        <v>52</v>
      </c>
      <c r="C826" s="26" t="s">
        <v>1450</v>
      </c>
      <c r="D826" s="26" t="s">
        <v>2717</v>
      </c>
      <c r="E826" s="26" t="s">
        <v>2889</v>
      </c>
      <c r="F826" s="26" t="str">
        <f t="shared" si="0"/>
        <v>Positive Traits Latin Origin</v>
      </c>
      <c r="G826" s="26">
        <f t="shared" si="1"/>
        <v>5</v>
      </c>
      <c r="H826" s="26" t="s">
        <v>3716</v>
      </c>
      <c r="I826" s="26"/>
      <c r="J826" s="26"/>
      <c r="K826" s="26"/>
      <c r="L826" s="26" t="str">
        <f t="shared" si="2"/>
        <v>P</v>
      </c>
      <c r="M826" s="26" t="str">
        <f>IFERROR(__xludf.DUMMYFUNCTION("GOOGLETRANSLATE(C826,""EN"",""KN"")"),"ಪ್ರಧಾನ")</f>
        <v>ಪ್ರಧಾನ</v>
      </c>
      <c r="N826" s="26" t="str">
        <f t="array" ref="N826">_xlfn.XLOOKUP(B826,'Sets Progress'!I:I,'Sets Progress'!I:I,"NOT YET")</f>
        <v>NOT YET</v>
      </c>
      <c r="O826" s="26" t="str">
        <f t="array" ref="O826">_xlfn.XLOOKUP(L:L,'Overall Progress'!L:L,'Overall Progress'!L:L,"NOT YET")</f>
        <v>NOT YET</v>
      </c>
      <c r="P826" s="26"/>
      <c r="Q826" s="26"/>
      <c r="R826" s="26"/>
      <c r="S826" s="26"/>
      <c r="T826" s="26"/>
      <c r="U826" s="26"/>
      <c r="V826" s="26"/>
      <c r="W826" s="26"/>
      <c r="X826" s="26"/>
      <c r="Y826" s="26"/>
      <c r="Z826" s="26"/>
    </row>
    <row r="827" hidden="1" customHeight="1" spans="1:26">
      <c r="A827" s="27">
        <v>1263</v>
      </c>
      <c r="B827" s="27">
        <v>52</v>
      </c>
      <c r="C827" s="27" t="s">
        <v>1594</v>
      </c>
      <c r="D827" s="27" t="s">
        <v>2717</v>
      </c>
      <c r="E827" s="27" t="s">
        <v>2889</v>
      </c>
      <c r="F827" s="27" t="str">
        <f t="shared" si="0"/>
        <v>Positive Traits Latin Origin</v>
      </c>
      <c r="G827" s="27">
        <f t="shared" si="1"/>
        <v>8</v>
      </c>
      <c r="H827" s="27" t="s">
        <v>3717</v>
      </c>
      <c r="I827" s="27"/>
      <c r="J827" s="27"/>
      <c r="K827" s="27"/>
      <c r="L827" s="27" t="str">
        <f t="shared" si="2"/>
        <v>S</v>
      </c>
      <c r="M827" s="27" t="str">
        <f>IFERROR(__xludf.DUMMYFUNCTION("GOOGLETRANSLATE(C827,""EN"",""KN"")"),"ಸೆಡ್ಯುಲಸ್")</f>
        <v>ಸೆಡ್ಯುಲಸ್</v>
      </c>
      <c r="N827" s="27" t="str">
        <f t="array" ref="N827">_xlfn.XLOOKUP(B827,'Sets Progress'!I:I,'Sets Progress'!I:I,"NOT YET")</f>
        <v>NOT YET</v>
      </c>
      <c r="O827" s="27" t="str">
        <f t="array" ref="O827">_xlfn.XLOOKUP(L:L,'Overall Progress'!L:L,'Overall Progress'!L:L,"NOT YET")</f>
        <v>NOT YET</v>
      </c>
      <c r="P827" s="27"/>
      <c r="Q827" s="27"/>
      <c r="R827" s="27"/>
      <c r="S827" s="27"/>
      <c r="T827" s="27"/>
      <c r="U827" s="27"/>
      <c r="V827" s="27"/>
      <c r="W827" s="27"/>
      <c r="X827" s="27"/>
      <c r="Y827" s="27"/>
      <c r="Z827" s="27"/>
    </row>
    <row r="828" hidden="1" customHeight="1" spans="1:26">
      <c r="A828" s="26">
        <v>1356</v>
      </c>
      <c r="B828" s="26">
        <v>52</v>
      </c>
      <c r="C828" s="26" t="s">
        <v>1687</v>
      </c>
      <c r="D828" s="26" t="s">
        <v>1721</v>
      </c>
      <c r="E828" s="26" t="s">
        <v>2889</v>
      </c>
      <c r="F828" s="26" t="str">
        <f t="shared" si="0"/>
        <v>Temporal Latin Origin</v>
      </c>
      <c r="G828" s="26">
        <f t="shared" si="1"/>
        <v>10</v>
      </c>
      <c r="H828" s="26" t="s">
        <v>3718</v>
      </c>
      <c r="I828" s="26"/>
      <c r="J828" s="26"/>
      <c r="K828" s="26"/>
      <c r="L828" s="26" t="str">
        <f t="shared" si="2"/>
        <v>S</v>
      </c>
      <c r="M828" s="26" t="str">
        <f>IFERROR(__xludf.DUMMYFUNCTION("GOOGLETRANSLATE(C828,""EN"",""KN"")"),"ಮನವಿ ಮಾಡು")</f>
        <v>ಮನವಿ ಮಾಡು</v>
      </c>
      <c r="N828" s="26" t="str">
        <f t="array" ref="N828">_xlfn.XLOOKUP(B828,'Sets Progress'!I:I,'Sets Progress'!I:I,"NOT YET")</f>
        <v>NOT YET</v>
      </c>
      <c r="O828" s="26" t="str">
        <f t="array" ref="O828">_xlfn.XLOOKUP(L:L,'Overall Progress'!L:L,'Overall Progress'!L:L,"NOT YET")</f>
        <v>NOT YET</v>
      </c>
      <c r="P828" s="26"/>
      <c r="Q828" s="26"/>
      <c r="R828" s="26"/>
      <c r="S828" s="26"/>
      <c r="T828" s="26"/>
      <c r="U828" s="26"/>
      <c r="V828" s="26"/>
      <c r="W828" s="26"/>
      <c r="X828" s="26"/>
      <c r="Y828" s="26"/>
      <c r="Z828" s="26"/>
    </row>
    <row r="829" hidden="1" customHeight="1" spans="1:26">
      <c r="A829" s="27">
        <v>11</v>
      </c>
      <c r="B829" s="27">
        <v>53</v>
      </c>
      <c r="C829" s="27" t="s">
        <v>16</v>
      </c>
      <c r="D829" s="27" t="s">
        <v>2898</v>
      </c>
      <c r="E829" s="27" t="s">
        <v>2889</v>
      </c>
      <c r="F829" s="27" t="str">
        <f t="shared" si="0"/>
        <v>Physical Sensation Latin Origin</v>
      </c>
      <c r="G829" s="27">
        <f t="shared" si="1"/>
        <v>8</v>
      </c>
      <c r="H829" s="27" t="s">
        <v>3719</v>
      </c>
      <c r="I829" s="27"/>
      <c r="J829" s="27"/>
      <c r="K829" s="27"/>
      <c r="L829" s="27" t="str">
        <f t="shared" si="2"/>
        <v>A</v>
      </c>
      <c r="M829" s="27" t="str">
        <f>IFERROR(__xludf.DUMMYFUNCTION("GOOGLETRANSLATE(C829,""EN"",""KN"")"),"ಅಪಘರ್ಷಕ")</f>
        <v>ಅಪಘರ್ಷಕ</v>
      </c>
      <c r="N829" s="27" t="str">
        <f t="array" ref="N829">_xlfn.XLOOKUP(B829,'Sets Progress'!I:I,'Sets Progress'!I:I,"NOT YET")</f>
        <v>NOT YET</v>
      </c>
      <c r="O829" s="27" t="str">
        <f t="array" ref="O829">_xlfn.XLOOKUP(L:L,'Overall Progress'!L:L,'Overall Progress'!L:L,"NOT YET")</f>
        <v>NOT YET</v>
      </c>
      <c r="P829" s="27"/>
      <c r="Q829" s="27"/>
      <c r="R829" s="27"/>
      <c r="S829" s="27"/>
      <c r="T829" s="27"/>
      <c r="U829" s="27"/>
      <c r="V829" s="27"/>
      <c r="W829" s="27"/>
      <c r="X829" s="27"/>
      <c r="Y829" s="27"/>
      <c r="Z829" s="27"/>
    </row>
    <row r="830" hidden="1" customHeight="1" spans="1:26">
      <c r="A830" s="26">
        <v>172</v>
      </c>
      <c r="B830" s="26">
        <v>53</v>
      </c>
      <c r="C830" s="26" t="s">
        <v>521</v>
      </c>
      <c r="D830" s="26" t="s">
        <v>2898</v>
      </c>
      <c r="E830" s="26" t="s">
        <v>2899</v>
      </c>
      <c r="F830" s="26" t="str">
        <f t="shared" si="0"/>
        <v>Physical Sensation Middle English Origin</v>
      </c>
      <c r="G830" s="26">
        <f t="shared" si="1"/>
        <v>5</v>
      </c>
      <c r="H830" s="26" t="s">
        <v>3720</v>
      </c>
      <c r="I830" s="26"/>
      <c r="J830" s="26"/>
      <c r="K830" s="26"/>
      <c r="L830" s="26" t="str">
        <f t="shared" si="2"/>
        <v>B</v>
      </c>
      <c r="M830" s="26" t="str">
        <f>IFERROR(__xludf.DUMMYFUNCTION("GOOGLETRANSLATE(C830,""EN"",""KN"")"),"ಮೊಂಡಾದ")</f>
        <v>ಮೊಂಡಾದ</v>
      </c>
      <c r="N830" s="26" t="str">
        <f t="array" ref="N830">_xlfn.XLOOKUP(B830,'Sets Progress'!I:I,'Sets Progress'!I:I,"NOT YET")</f>
        <v>NOT YET</v>
      </c>
      <c r="O830" s="26" t="str">
        <f t="array" ref="O830">_xlfn.XLOOKUP(L:L,'Overall Progress'!L:L,'Overall Progress'!L:L,"NOT YET")</f>
        <v>NOT YET</v>
      </c>
      <c r="P830" s="26"/>
      <c r="Q830" s="26"/>
      <c r="R830" s="26"/>
      <c r="S830" s="26"/>
      <c r="T830" s="26"/>
      <c r="U830" s="26"/>
      <c r="V830" s="26"/>
      <c r="W830" s="26"/>
      <c r="X830" s="26"/>
      <c r="Y830" s="26"/>
      <c r="Z830" s="26"/>
    </row>
    <row r="831" customHeight="1" spans="1:26">
      <c r="A831" s="27">
        <v>381</v>
      </c>
      <c r="B831" s="27">
        <v>53</v>
      </c>
      <c r="C831" s="27" t="s">
        <v>731</v>
      </c>
      <c r="D831" s="27" t="s">
        <v>2716</v>
      </c>
      <c r="E831" s="27" t="s">
        <v>2893</v>
      </c>
      <c r="F831" s="27" t="str">
        <f t="shared" si="0"/>
        <v>Negative Traits Greek Origin</v>
      </c>
      <c r="G831" s="27">
        <f t="shared" si="1"/>
        <v>8</v>
      </c>
      <c r="H831" s="27"/>
      <c r="I831" s="27"/>
      <c r="J831" s="27"/>
      <c r="K831" s="27"/>
      <c r="L831" s="27" t="str">
        <f t="shared" si="2"/>
        <v>D</v>
      </c>
      <c r="M831" s="27" t="str">
        <f>IFERROR(__xludf.DUMMYFUNCTION("GOOGLETRANSLATE(C831,""EN"",""KN"")"),"ನಿರಂಕುಶ")</f>
        <v>ನಿರಂಕುಶ</v>
      </c>
      <c r="N831" s="27" t="str">
        <f t="array" ref="N831">_xlfn.XLOOKUP(B831,'Sets Progress'!I:I,'Sets Progress'!I:I,"NOT YET")</f>
        <v>NOT YET</v>
      </c>
      <c r="O831" s="27" t="str">
        <f t="array" ref="O831">_xlfn.XLOOKUP(L:L,'Overall Progress'!L:L,'Overall Progress'!L:L,"NOT YET")</f>
        <v>NOT YET</v>
      </c>
      <c r="P831" s="27"/>
      <c r="Q831" s="27"/>
      <c r="R831" s="27"/>
      <c r="S831" s="27"/>
      <c r="T831" s="27"/>
      <c r="U831" s="27"/>
      <c r="V831" s="27"/>
      <c r="W831" s="27"/>
      <c r="X831" s="27"/>
      <c r="Y831" s="27"/>
      <c r="Z831" s="27"/>
    </row>
    <row r="832" hidden="1" customHeight="1" spans="1:26">
      <c r="A832" s="26">
        <v>406</v>
      </c>
      <c r="B832" s="26">
        <v>53</v>
      </c>
      <c r="C832" s="26" t="s">
        <v>755</v>
      </c>
      <c r="D832" s="26" t="s">
        <v>2946</v>
      </c>
      <c r="E832" s="26" t="s">
        <v>2889</v>
      </c>
      <c r="F832" s="26" t="str">
        <f t="shared" si="0"/>
        <v>Emotional Latin Origin</v>
      </c>
      <c r="G832" s="26">
        <f t="shared" si="1"/>
        <v>12</v>
      </c>
      <c r="H832" s="26" t="s">
        <v>3721</v>
      </c>
      <c r="I832" s="26"/>
      <c r="J832" s="26"/>
      <c r="K832" s="26"/>
      <c r="L832" s="26" t="str">
        <f t="shared" si="2"/>
        <v>D</v>
      </c>
      <c r="M832" s="26" t="str">
        <f>IFERROR(__xludf.DUMMYFUNCTION("GOOGLETRANSLATE(C832,""EN"",""KN"")"),"ಅಸಮಾಧಾನ")</f>
        <v>ಅಸಮಾಧಾನ</v>
      </c>
      <c r="N832" s="26" t="str">
        <f t="array" ref="N832">_xlfn.XLOOKUP(B832,'Sets Progress'!I:I,'Sets Progress'!I:I,"NOT YET")</f>
        <v>NOT YET</v>
      </c>
      <c r="O832" s="26" t="str">
        <f t="array" ref="O832">_xlfn.XLOOKUP(L:L,'Overall Progress'!L:L,'Overall Progress'!L:L,"NOT YET")</f>
        <v>NOT YET</v>
      </c>
      <c r="P832" s="26"/>
      <c r="Q832" s="26"/>
      <c r="R832" s="26"/>
      <c r="S832" s="26"/>
      <c r="T832" s="26"/>
      <c r="U832" s="26"/>
      <c r="V832" s="26"/>
      <c r="W832" s="26"/>
      <c r="X832" s="26"/>
      <c r="Y832" s="26"/>
      <c r="Z832" s="26"/>
    </row>
    <row r="833" customHeight="1" spans="1:26">
      <c r="A833" s="27">
        <v>422</v>
      </c>
      <c r="B833" s="27">
        <v>53</v>
      </c>
      <c r="C833" s="27" t="s">
        <v>771</v>
      </c>
      <c r="D833" s="27" t="s">
        <v>2946</v>
      </c>
      <c r="E833" s="27" t="s">
        <v>2908</v>
      </c>
      <c r="F833" s="27" t="str">
        <f t="shared" si="0"/>
        <v>Emotional Old English Origin</v>
      </c>
      <c r="G833" s="27">
        <f t="shared" si="1"/>
        <v>10</v>
      </c>
      <c r="H833" s="27"/>
      <c r="I833" s="27"/>
      <c r="J833" s="27"/>
      <c r="K833" s="27"/>
      <c r="L833" s="27" t="str">
        <f t="shared" si="2"/>
        <v>D</v>
      </c>
      <c r="M833" s="27" t="str">
        <f>IFERROR(__xludf.DUMMYFUNCTION("GOOGLETRANSLATE(C833,""EN"",""KN"")"),"ಅಸಮಾಧಾನ")</f>
        <v>ಅಸಮಾಧಾನ</v>
      </c>
      <c r="N833" s="27" t="str">
        <f t="array" ref="N833">_xlfn.XLOOKUP(B833,'Sets Progress'!I:I,'Sets Progress'!I:I,"NOT YET")</f>
        <v>NOT YET</v>
      </c>
      <c r="O833" s="27" t="str">
        <f t="array" ref="O833">_xlfn.XLOOKUP(L:L,'Overall Progress'!L:L,'Overall Progress'!L:L,"NOT YET")</f>
        <v>NOT YET</v>
      </c>
      <c r="P833" s="27"/>
      <c r="Q833" s="27"/>
      <c r="R833" s="27"/>
      <c r="S833" s="27"/>
      <c r="T833" s="27"/>
      <c r="U833" s="27"/>
      <c r="V833" s="27"/>
      <c r="W833" s="27"/>
      <c r="X833" s="27"/>
      <c r="Y833" s="27"/>
      <c r="Z833" s="27"/>
    </row>
    <row r="834" customHeight="1" spans="1:26">
      <c r="A834" s="26">
        <v>515</v>
      </c>
      <c r="B834" s="26">
        <v>53</v>
      </c>
      <c r="C834" s="26" t="s">
        <v>864</v>
      </c>
      <c r="D834" s="26" t="s">
        <v>1721</v>
      </c>
      <c r="E834" s="26" t="s">
        <v>2908</v>
      </c>
      <c r="F834" s="26" t="str">
        <f t="shared" si="0"/>
        <v>Temporal Old English Origin</v>
      </c>
      <c r="G834" s="26">
        <f t="shared" si="1"/>
        <v>8</v>
      </c>
      <c r="H834" s="26"/>
      <c r="I834" s="26"/>
      <c r="J834" s="26"/>
      <c r="K834" s="26"/>
      <c r="L834" s="26" t="str">
        <f t="shared" si="2"/>
        <v>E</v>
      </c>
      <c r="M834" s="26" t="str">
        <f>IFERROR(__xludf.DUMMYFUNCTION("GOOGLETRANSLATE(C834,""EN"",""KN"")"),"ಎಂತ್ರಾಲ್")</f>
        <v>ಎಂತ್ರಾಲ್</v>
      </c>
      <c r="N834" s="26" t="str">
        <f t="array" ref="N834">_xlfn.XLOOKUP(B834,'Sets Progress'!I:I,'Sets Progress'!I:I,"NOT YET")</f>
        <v>NOT YET</v>
      </c>
      <c r="O834" s="26" t="str">
        <f t="array" ref="O834">_xlfn.XLOOKUP(L:L,'Overall Progress'!L:L,'Overall Progress'!L:L,"NOT YET")</f>
        <v>NOT YET</v>
      </c>
      <c r="P834" s="26"/>
      <c r="Q834" s="26"/>
      <c r="R834" s="26"/>
      <c r="S834" s="26"/>
      <c r="T834" s="26"/>
      <c r="U834" s="26"/>
      <c r="V834" s="26"/>
      <c r="W834" s="26"/>
      <c r="X834" s="26"/>
      <c r="Y834" s="26"/>
      <c r="Z834" s="26"/>
    </row>
    <row r="835" hidden="1" customHeight="1" spans="1:26">
      <c r="A835" s="27">
        <v>630</v>
      </c>
      <c r="B835" s="27">
        <v>53</v>
      </c>
      <c r="C835" s="27" t="s">
        <v>974</v>
      </c>
      <c r="D835" s="27" t="s">
        <v>2716</v>
      </c>
      <c r="E835" s="27" t="s">
        <v>2889</v>
      </c>
      <c r="F835" s="27" t="str">
        <f t="shared" si="0"/>
        <v>Negative Traits Latin Origin</v>
      </c>
      <c r="G835" s="27">
        <f t="shared" si="1"/>
        <v>9</v>
      </c>
      <c r="H835" s="27" t="s">
        <v>3722</v>
      </c>
      <c r="I835" s="27"/>
      <c r="J835" s="27"/>
      <c r="K835" s="27"/>
      <c r="L835" s="27" t="str">
        <f t="shared" si="2"/>
        <v>F</v>
      </c>
      <c r="M835" s="27" t="str">
        <f>IFERROR(__xludf.DUMMYFUNCTION("GOOGLETRANSLATE(C835,""EN"",""KN"")"),"ಫ್ರಾಕ್ಟಿವ್")</f>
        <v>ಫ್ರಾಕ್ಟಿವ್</v>
      </c>
      <c r="N835" s="27" t="str">
        <f t="array" ref="N835">_xlfn.XLOOKUP(B835,'Sets Progress'!I:I,'Sets Progress'!I:I,"NOT YET")</f>
        <v>NOT YET</v>
      </c>
      <c r="O835" s="27" t="str">
        <f t="array" ref="O835">_xlfn.XLOOKUP(L:L,'Overall Progress'!L:L,'Overall Progress'!L:L,"NOT YET")</f>
        <v>NOT YET</v>
      </c>
      <c r="P835" s="27"/>
      <c r="Q835" s="27"/>
      <c r="R835" s="27"/>
      <c r="S835" s="27"/>
      <c r="T835" s="27"/>
      <c r="U835" s="27"/>
      <c r="V835" s="27"/>
      <c r="W835" s="27"/>
      <c r="X835" s="27"/>
      <c r="Y835" s="27"/>
      <c r="Z835" s="27"/>
    </row>
    <row r="836" hidden="1" customHeight="1" spans="1:26">
      <c r="A836" s="26">
        <v>634</v>
      </c>
      <c r="B836" s="26">
        <v>53</v>
      </c>
      <c r="C836" s="26" t="s">
        <v>978</v>
      </c>
      <c r="D836" s="26" t="s">
        <v>1638</v>
      </c>
      <c r="E836" s="26" t="s">
        <v>2908</v>
      </c>
      <c r="F836" s="26" t="str">
        <f t="shared" si="0"/>
        <v>Sound Old English Origin</v>
      </c>
      <c r="G836" s="26">
        <f t="shared" si="1"/>
        <v>4</v>
      </c>
      <c r="H836" s="26" t="s">
        <v>3723</v>
      </c>
      <c r="I836" s="26"/>
      <c r="J836" s="26"/>
      <c r="K836" s="26"/>
      <c r="L836" s="26" t="str">
        <f t="shared" si="2"/>
        <v>F</v>
      </c>
      <c r="M836" s="26" t="str">
        <f>IFERROR(__xludf.DUMMYFUNCTION("GOOGLETRANSLATE(C836,""EN"",""KN"")"),"ಕುಗ್ಗಿಸು")</f>
        <v>ಕುಗ್ಗಿಸು</v>
      </c>
      <c r="N836" s="26" t="str">
        <f t="array" ref="N836">_xlfn.XLOOKUP(B836,'Sets Progress'!I:I,'Sets Progress'!I:I,"NOT YET")</f>
        <v>NOT YET</v>
      </c>
      <c r="O836" s="26" t="str">
        <f t="array" ref="O836">_xlfn.XLOOKUP(L:L,'Overall Progress'!L:L,'Overall Progress'!L:L,"NOT YET")</f>
        <v>NOT YET</v>
      </c>
      <c r="P836" s="26"/>
      <c r="Q836" s="26"/>
      <c r="R836" s="26"/>
      <c r="S836" s="26"/>
      <c r="T836" s="26"/>
      <c r="U836" s="26"/>
      <c r="V836" s="26"/>
      <c r="W836" s="26"/>
      <c r="X836" s="26"/>
      <c r="Y836" s="26"/>
      <c r="Z836" s="26"/>
    </row>
    <row r="837" hidden="1" customHeight="1" spans="1:26">
      <c r="A837" s="27">
        <v>991</v>
      </c>
      <c r="B837" s="27">
        <v>53</v>
      </c>
      <c r="C837" s="27" t="s">
        <v>1326</v>
      </c>
      <c r="D837" s="27" t="s">
        <v>2717</v>
      </c>
      <c r="E837" s="27" t="s">
        <v>2889</v>
      </c>
      <c r="F837" s="27" t="str">
        <f t="shared" si="0"/>
        <v>Positive Traits Latin Origin</v>
      </c>
      <c r="G837" s="27">
        <f t="shared" si="1"/>
        <v>8</v>
      </c>
      <c r="H837" s="27" t="s">
        <v>3724</v>
      </c>
      <c r="I837" s="27"/>
      <c r="J837" s="27"/>
      <c r="K837" s="27"/>
      <c r="L837" s="27" t="str">
        <f t="shared" si="2"/>
        <v>O</v>
      </c>
      <c r="M837" s="27" t="str">
        <f>IFERROR(__xludf.DUMMYFUNCTION("GOOGLETRANSLATE(C837,""EN"",""KN"")"),"ಮೂಲ")</f>
        <v>ಮೂಲ</v>
      </c>
      <c r="N837" s="27" t="str">
        <f t="array" ref="N837">_xlfn.XLOOKUP(B837,'Sets Progress'!I:I,'Sets Progress'!I:I,"NOT YET")</f>
        <v>NOT YET</v>
      </c>
      <c r="O837" s="27" t="str">
        <f t="array" ref="O837">_xlfn.XLOOKUP(L:L,'Overall Progress'!L:L,'Overall Progress'!L:L,"NOT YET")</f>
        <v>NOT YET</v>
      </c>
      <c r="P837" s="27"/>
      <c r="Q837" s="27"/>
      <c r="R837" s="27"/>
      <c r="S837" s="27"/>
      <c r="T837" s="27"/>
      <c r="U837" s="27"/>
      <c r="V837" s="27"/>
      <c r="W837" s="27"/>
      <c r="X837" s="27"/>
      <c r="Y837" s="27"/>
      <c r="Z837" s="27"/>
    </row>
    <row r="838" hidden="1" customHeight="1" spans="1:26">
      <c r="A838" s="26">
        <v>1045</v>
      </c>
      <c r="B838" s="26">
        <v>53</v>
      </c>
      <c r="C838" s="26" t="s">
        <v>1380</v>
      </c>
      <c r="D838" s="26" t="s">
        <v>1721</v>
      </c>
      <c r="E838" s="26" t="s">
        <v>2889</v>
      </c>
      <c r="F838" s="26" t="str">
        <f t="shared" si="0"/>
        <v>Temporal Latin Origin</v>
      </c>
      <c r="G838" s="26">
        <f t="shared" si="1"/>
        <v>10</v>
      </c>
      <c r="H838" s="26" t="s">
        <v>3725</v>
      </c>
      <c r="I838" s="26"/>
      <c r="J838" s="26"/>
      <c r="K838" s="26"/>
      <c r="L838" s="26" t="str">
        <f t="shared" si="2"/>
        <v>P</v>
      </c>
      <c r="M838" s="26" t="str">
        <f>IFERROR(__xludf.DUMMYFUNCTION("GOOGLETRANSLATE(C838,""EN"",""KN"")"),"ಬಾಹ್ಯ")</f>
        <v>ಬಾಹ್ಯ</v>
      </c>
      <c r="N838" s="26" t="str">
        <f t="array" ref="N838">_xlfn.XLOOKUP(B838,'Sets Progress'!I:I,'Sets Progress'!I:I,"NOT YET")</f>
        <v>NOT YET</v>
      </c>
      <c r="O838" s="26" t="str">
        <f t="array" ref="O838">_xlfn.XLOOKUP(L:L,'Overall Progress'!L:L,'Overall Progress'!L:L,"NOT YET")</f>
        <v>NOT YET</v>
      </c>
      <c r="P838" s="26"/>
      <c r="Q838" s="26"/>
      <c r="R838" s="26"/>
      <c r="S838" s="26"/>
      <c r="T838" s="26"/>
      <c r="U838" s="26"/>
      <c r="V838" s="26"/>
      <c r="W838" s="26"/>
      <c r="X838" s="26"/>
      <c r="Y838" s="26"/>
      <c r="Z838" s="26"/>
    </row>
    <row r="839" hidden="1" customHeight="1" spans="1:26">
      <c r="A839" s="27">
        <v>1135</v>
      </c>
      <c r="B839" s="27">
        <v>53</v>
      </c>
      <c r="C839" s="27" t="s">
        <v>1467</v>
      </c>
      <c r="D839" s="27" t="s">
        <v>2717</v>
      </c>
      <c r="E839" s="27" t="s">
        <v>2889</v>
      </c>
      <c r="F839" s="27" t="str">
        <f t="shared" si="0"/>
        <v>Positive Traits Latin Origin</v>
      </c>
      <c r="G839" s="27">
        <f t="shared" si="1"/>
        <v>10</v>
      </c>
      <c r="H839" s="27" t="s">
        <v>3726</v>
      </c>
      <c r="I839" s="27"/>
      <c r="J839" s="27"/>
      <c r="K839" s="27"/>
      <c r="L839" s="27" t="str">
        <f t="shared" si="2"/>
        <v>P</v>
      </c>
      <c r="M839" s="27" t="str">
        <f>IFERROR(__xludf.DUMMYFUNCTION("GOOGLETRANSLATE(C839,""EN"",""KN"")"),"ಪ್ರಾಯಶ್ಚಿತ್ತ ಮಾಡಿ")</f>
        <v>ಪ್ರಾಯಶ್ಚಿತ್ತ ಮಾಡಿ</v>
      </c>
      <c r="N839" s="27" t="str">
        <f t="array" ref="N839">_xlfn.XLOOKUP(B839,'Sets Progress'!I:I,'Sets Progress'!I:I,"NOT YET")</f>
        <v>NOT YET</v>
      </c>
      <c r="O839" s="27" t="str">
        <f t="array" ref="O839">_xlfn.XLOOKUP(L:L,'Overall Progress'!L:L,'Overall Progress'!L:L,"NOT YET")</f>
        <v>NOT YET</v>
      </c>
      <c r="P839" s="27"/>
      <c r="Q839" s="27"/>
      <c r="R839" s="27"/>
      <c r="S839" s="27"/>
      <c r="T839" s="27"/>
      <c r="U839" s="27"/>
      <c r="V839" s="27"/>
      <c r="W839" s="27"/>
      <c r="X839" s="27"/>
      <c r="Y839" s="27"/>
      <c r="Z839" s="27"/>
    </row>
    <row r="840" hidden="1" customHeight="1" spans="1:26">
      <c r="A840" s="26">
        <v>1201</v>
      </c>
      <c r="B840" s="26">
        <v>53</v>
      </c>
      <c r="C840" s="26" t="s">
        <v>1532</v>
      </c>
      <c r="D840" s="26" t="s">
        <v>2717</v>
      </c>
      <c r="E840" s="26" t="s">
        <v>2889</v>
      </c>
      <c r="F840" s="26" t="str">
        <f t="shared" si="0"/>
        <v>Positive Traits Latin Origin</v>
      </c>
      <c r="G840" s="26">
        <f t="shared" si="1"/>
        <v>8</v>
      </c>
      <c r="H840" s="26" t="s">
        <v>3727</v>
      </c>
      <c r="I840" s="26"/>
      <c r="J840" s="26"/>
      <c r="K840" s="26"/>
      <c r="L840" s="26" t="str">
        <f t="shared" si="2"/>
        <v>R</v>
      </c>
      <c r="M840" s="26" t="str">
        <f>IFERROR(__xludf.DUMMYFUNCTION("GOOGLETRANSLATE(C840,""EN"",""KN"")"),"ಪರಿಹಾರಕ")</f>
        <v>ಪರಿಹಾರಕ</v>
      </c>
      <c r="N840" s="26" t="str">
        <f t="array" ref="N840">_xlfn.XLOOKUP(B840,'Sets Progress'!I:I,'Sets Progress'!I:I,"NOT YET")</f>
        <v>NOT YET</v>
      </c>
      <c r="O840" s="26" t="str">
        <f t="array" ref="O840">_xlfn.XLOOKUP(L:L,'Overall Progress'!L:L,'Overall Progress'!L:L,"NOT YET")</f>
        <v>NOT YET</v>
      </c>
      <c r="P840" s="26"/>
      <c r="Q840" s="26"/>
      <c r="R840" s="26"/>
      <c r="S840" s="26"/>
      <c r="T840" s="26"/>
      <c r="U840" s="26"/>
      <c r="V840" s="26"/>
      <c r="W840" s="26"/>
      <c r="X840" s="26"/>
      <c r="Y840" s="26"/>
      <c r="Z840" s="26"/>
    </row>
    <row r="841" hidden="1" customHeight="1" spans="1:26">
      <c r="A841" s="27">
        <v>1286</v>
      </c>
      <c r="B841" s="27">
        <v>53</v>
      </c>
      <c r="C841" s="27" t="s">
        <v>1617</v>
      </c>
      <c r="D841" s="27" t="s">
        <v>2716</v>
      </c>
      <c r="E841" s="27" t="s">
        <v>2889</v>
      </c>
      <c r="F841" s="27" t="str">
        <f t="shared" si="0"/>
        <v>Negative Traits Latin Origin</v>
      </c>
      <c r="G841" s="27">
        <f t="shared" si="1"/>
        <v>8</v>
      </c>
      <c r="H841" s="27" t="s">
        <v>3728</v>
      </c>
      <c r="I841" s="27"/>
      <c r="J841" s="27"/>
      <c r="K841" s="27"/>
      <c r="L841" s="27" t="str">
        <f t="shared" si="2"/>
        <v>S</v>
      </c>
      <c r="M841" s="27" t="str">
        <f>IFERROR(__xludf.DUMMYFUNCTION("GOOGLETRANSLATE(C841,""EN"",""KN"")"),"ಅಶುಭ")</f>
        <v>ಅಶುಭ</v>
      </c>
      <c r="N841" s="27" t="str">
        <f t="array" ref="N841">_xlfn.XLOOKUP(B841,'Sets Progress'!I:I,'Sets Progress'!I:I,"NOT YET")</f>
        <v>NOT YET</v>
      </c>
      <c r="O841" s="27" t="str">
        <f t="array" ref="O841">_xlfn.XLOOKUP(L:L,'Overall Progress'!L:L,'Overall Progress'!L:L,"NOT YET")</f>
        <v>NOT YET</v>
      </c>
      <c r="P841" s="27"/>
      <c r="Q841" s="27"/>
      <c r="R841" s="27"/>
      <c r="S841" s="27"/>
      <c r="T841" s="27"/>
      <c r="U841" s="27"/>
      <c r="V841" s="27"/>
      <c r="W841" s="27"/>
      <c r="X841" s="27"/>
      <c r="Y841" s="27"/>
      <c r="Z841" s="27"/>
    </row>
    <row r="842" hidden="1" customHeight="1" spans="1:26">
      <c r="A842" s="26">
        <v>1424</v>
      </c>
      <c r="B842" s="26">
        <v>53</v>
      </c>
      <c r="C842" s="26" t="s">
        <v>1755</v>
      </c>
      <c r="D842" s="26" t="s">
        <v>2716</v>
      </c>
      <c r="E842" s="26" t="s">
        <v>2921</v>
      </c>
      <c r="F842" s="26" t="str">
        <f t="shared" si="0"/>
        <v>Negative Traits Unknown Origin</v>
      </c>
      <c r="G842" s="26">
        <f t="shared" si="1"/>
        <v>8</v>
      </c>
      <c r="H842" s="26" t="s">
        <v>3729</v>
      </c>
      <c r="I842" s="26"/>
      <c r="J842" s="26"/>
      <c r="K842" s="26"/>
      <c r="L842" s="26" t="str">
        <f t="shared" si="2"/>
        <v>T</v>
      </c>
      <c r="M842" s="26" t="str">
        <f>IFERROR(__xludf.DUMMYFUNCTION("GOOGLETRANSLATE(C842,""EN"",""KN"")"),"ಟ್ರಿಫ್ಲಿಂಗ್")</f>
        <v>ಟ್ರಿಫ್ಲಿಂಗ್</v>
      </c>
      <c r="N842" s="26" t="str">
        <f t="array" ref="N842">_xlfn.XLOOKUP(B842,'Sets Progress'!I:I,'Sets Progress'!I:I,"NOT YET")</f>
        <v>NOT YET</v>
      </c>
      <c r="O842" s="26" t="str">
        <f t="array" ref="O842">_xlfn.XLOOKUP(L:L,'Overall Progress'!L:L,'Overall Progress'!L:L,"NOT YET")</f>
        <v>NOT YET</v>
      </c>
      <c r="P842" s="26"/>
      <c r="Q842" s="26"/>
      <c r="R842" s="26"/>
      <c r="S842" s="26"/>
      <c r="T842" s="26"/>
      <c r="U842" s="26"/>
      <c r="V842" s="26"/>
      <c r="W842" s="26"/>
      <c r="X842" s="26"/>
      <c r="Y842" s="26"/>
      <c r="Z842" s="26"/>
    </row>
    <row r="843" hidden="1" customHeight="1" spans="1:26">
      <c r="A843" s="27">
        <v>1460</v>
      </c>
      <c r="B843" s="27">
        <v>53</v>
      </c>
      <c r="C843" s="27" t="s">
        <v>1788</v>
      </c>
      <c r="D843" s="27" t="s">
        <v>1721</v>
      </c>
      <c r="E843" s="27" t="s">
        <v>2908</v>
      </c>
      <c r="F843" s="27" t="str">
        <f t="shared" si="0"/>
        <v>Temporal Old English Origin</v>
      </c>
      <c r="G843" s="27">
        <f t="shared" si="1"/>
        <v>15</v>
      </c>
      <c r="H843" s="27" t="s">
        <v>3730</v>
      </c>
      <c r="I843" s="27"/>
      <c r="J843" s="27"/>
      <c r="K843" s="27"/>
      <c r="L843" s="27" t="str">
        <f t="shared" si="2"/>
        <v>U</v>
      </c>
      <c r="M843" s="27" t="str">
        <f>IFERROR(__xludf.DUMMYFUNCTION("GOOGLETRANSLATE(C843,""EN"",""KN"")"),"ಅಪವಾದ")</f>
        <v>ಅಪವಾದ</v>
      </c>
      <c r="N843" s="27" t="str">
        <f t="array" ref="N843">_xlfn.XLOOKUP(B843,'Sets Progress'!I:I,'Sets Progress'!I:I,"NOT YET")</f>
        <v>NOT YET</v>
      </c>
      <c r="O843" s="27" t="str">
        <f t="array" ref="O843">_xlfn.XLOOKUP(L:L,'Overall Progress'!L:L,'Overall Progress'!L:L,"NOT YET")</f>
        <v>NOT YET</v>
      </c>
      <c r="P843" s="27"/>
      <c r="Q843" s="27"/>
      <c r="R843" s="27"/>
      <c r="S843" s="27"/>
      <c r="T843" s="27"/>
      <c r="U843" s="27"/>
      <c r="V843" s="27"/>
      <c r="W843" s="27"/>
      <c r="X843" s="27"/>
      <c r="Y843" s="27"/>
      <c r="Z843" s="27"/>
    </row>
    <row r="844" hidden="1" customHeight="1" spans="1:26">
      <c r="A844" s="26">
        <v>1511</v>
      </c>
      <c r="B844" s="26">
        <v>53</v>
      </c>
      <c r="C844" s="26" t="s">
        <v>1839</v>
      </c>
      <c r="D844" s="26" t="s">
        <v>2717</v>
      </c>
      <c r="E844" s="26" t="s">
        <v>2889</v>
      </c>
      <c r="F844" s="26" t="str">
        <f t="shared" si="0"/>
        <v>Positive Traits Latin Origin</v>
      </c>
      <c r="G844" s="26">
        <f t="shared" si="1"/>
        <v>6</v>
      </c>
      <c r="H844" s="26" t="s">
        <v>3731</v>
      </c>
      <c r="I844" s="26"/>
      <c r="J844" s="26"/>
      <c r="K844" s="26"/>
      <c r="L844" s="26" t="str">
        <f t="shared" si="2"/>
        <v>V</v>
      </c>
      <c r="M844" s="26" t="str">
        <f>IFERROR(__xludf.DUMMYFUNCTION("GOOGLETRANSLATE(C844,""EN"",""KN"")"),"ಪುಣ್ಯ")</f>
        <v>ಪುಣ್ಯ</v>
      </c>
      <c r="N844" s="26" t="str">
        <f t="array" ref="N844">_xlfn.XLOOKUP(B844,'Sets Progress'!I:I,'Sets Progress'!I:I,"NOT YET")</f>
        <v>NOT YET</v>
      </c>
      <c r="O844" s="26" t="str">
        <f t="array" ref="O844">_xlfn.XLOOKUP(L:L,'Overall Progress'!L:L,'Overall Progress'!L:L,"NOT YET")</f>
        <v>NOT YET</v>
      </c>
      <c r="P844" s="26"/>
      <c r="Q844" s="26"/>
      <c r="R844" s="26"/>
      <c r="S844" s="26"/>
      <c r="T844" s="26"/>
      <c r="U844" s="26"/>
      <c r="V844" s="26"/>
      <c r="W844" s="26"/>
      <c r="X844" s="26"/>
      <c r="Y844" s="26"/>
      <c r="Z844" s="26"/>
    </row>
    <row r="845" customHeight="1" spans="1:26">
      <c r="A845" s="27">
        <v>401</v>
      </c>
      <c r="B845" s="27">
        <v>54</v>
      </c>
      <c r="C845" s="27" t="s">
        <v>750</v>
      </c>
      <c r="D845" s="27" t="s">
        <v>1721</v>
      </c>
      <c r="E845" s="27" t="s">
        <v>2889</v>
      </c>
      <c r="F845" s="27" t="str">
        <f t="shared" si="0"/>
        <v>Temporal Latin Origin</v>
      </c>
      <c r="G845" s="27">
        <f t="shared" si="1"/>
        <v>8</v>
      </c>
      <c r="H845" s="27"/>
      <c r="I845" s="27"/>
      <c r="J845" s="27"/>
      <c r="K845" s="27"/>
      <c r="L845" s="27" t="str">
        <f t="shared" si="2"/>
        <v>D</v>
      </c>
      <c r="M845" s="27" t="str">
        <f>IFERROR(__xludf.DUMMYFUNCTION("GOOGLETRANSLATE(C845,""EN"",""KN"")"),"ಡಿಲೇಟರಿ")</f>
        <v>ಡಿಲೇಟರಿ</v>
      </c>
      <c r="N845" s="27" t="str">
        <f t="array" ref="N845">_xlfn.XLOOKUP(B845,'Sets Progress'!I:I,'Sets Progress'!I:I,"NOT YET")</f>
        <v>NOT YET</v>
      </c>
      <c r="O845" s="27" t="str">
        <f t="array" ref="O845">_xlfn.XLOOKUP(L:L,'Overall Progress'!L:L,'Overall Progress'!L:L,"NOT YET")</f>
        <v>NOT YET</v>
      </c>
      <c r="P845" s="27"/>
      <c r="Q845" s="27"/>
      <c r="R845" s="27"/>
      <c r="S845" s="27"/>
      <c r="T845" s="27"/>
      <c r="U845" s="27"/>
      <c r="V845" s="27"/>
      <c r="W845" s="27"/>
      <c r="X845" s="27"/>
      <c r="Y845" s="27"/>
      <c r="Z845" s="27"/>
    </row>
    <row r="846" hidden="1" customHeight="1" spans="1:26">
      <c r="A846" s="26">
        <v>489</v>
      </c>
      <c r="B846" s="26">
        <v>54</v>
      </c>
      <c r="C846" s="26" t="s">
        <v>838</v>
      </c>
      <c r="D846" s="26" t="s">
        <v>3022</v>
      </c>
      <c r="E846" s="26" t="s">
        <v>2889</v>
      </c>
      <c r="F846" s="26" t="str">
        <f t="shared" si="0"/>
        <v>Intellectual Latin Origin</v>
      </c>
      <c r="G846" s="26">
        <f t="shared" si="1"/>
        <v>9</v>
      </c>
      <c r="H846" s="26" t="s">
        <v>3732</v>
      </c>
      <c r="I846" s="26"/>
      <c r="J846" s="26"/>
      <c r="K846" s="26"/>
      <c r="L846" s="26" t="str">
        <f t="shared" si="2"/>
        <v>E</v>
      </c>
      <c r="M846" s="26" t="str">
        <f>IFERROR(__xludf.DUMMYFUNCTION("GOOGLETRANSLATE(C846,""EN"",""KN"")"),"ಸ್ಪಷ್ಟಪಡಿಸು")</f>
        <v>ಸ್ಪಷ್ಟಪಡಿಸು</v>
      </c>
      <c r="N846" s="26" t="str">
        <f t="array" ref="N846">_xlfn.XLOOKUP(B846,'Sets Progress'!I:I,'Sets Progress'!I:I,"NOT YET")</f>
        <v>NOT YET</v>
      </c>
      <c r="O846" s="26" t="str">
        <f t="array" ref="O846">_xlfn.XLOOKUP(L:L,'Overall Progress'!L:L,'Overall Progress'!L:L,"NOT YET")</f>
        <v>NOT YET</v>
      </c>
      <c r="P846" s="26"/>
      <c r="Q846" s="26"/>
      <c r="R846" s="26"/>
      <c r="S846" s="26"/>
      <c r="T846" s="26"/>
      <c r="U846" s="26"/>
      <c r="V846" s="26"/>
      <c r="W846" s="26"/>
      <c r="X846" s="26"/>
      <c r="Y846" s="26"/>
      <c r="Z846" s="26"/>
    </row>
    <row r="847" hidden="1" customHeight="1" spans="1:26">
      <c r="A847" s="27">
        <v>739</v>
      </c>
      <c r="B847" s="27">
        <v>54</v>
      </c>
      <c r="C847" s="27" t="s">
        <v>1080</v>
      </c>
      <c r="D847" s="27" t="s">
        <v>1721</v>
      </c>
      <c r="E847" s="27" t="s">
        <v>2889</v>
      </c>
      <c r="F847" s="27" t="str">
        <f t="shared" si="0"/>
        <v>Temporal Latin Origin</v>
      </c>
      <c r="G847" s="27">
        <f t="shared" si="1"/>
        <v>9</v>
      </c>
      <c r="H847" s="27" t="s">
        <v>3733</v>
      </c>
      <c r="I847" s="27"/>
      <c r="J847" s="27"/>
      <c r="K847" s="27"/>
      <c r="L847" s="27" t="str">
        <f t="shared" si="2"/>
        <v>I</v>
      </c>
      <c r="M847" s="27" t="str">
        <f>IFERROR(__xludf.DUMMYFUNCTION("GOOGLETRANSLATE(C847,""EN"",""KN"")"),"ಹಠಾತ್ ಪ್ರವೃತ್ತಿ")</f>
        <v>ಹಠಾತ್ ಪ್ರವೃತ್ತಿ</v>
      </c>
      <c r="N847" s="27" t="str">
        <f t="array" ref="N847">_xlfn.XLOOKUP(B847,'Sets Progress'!I:I,'Sets Progress'!I:I,"NOT YET")</f>
        <v>NOT YET</v>
      </c>
      <c r="O847" s="27" t="str">
        <f t="array" ref="O847">_xlfn.XLOOKUP(L:L,'Overall Progress'!L:L,'Overall Progress'!L:L,"NOT YET")</f>
        <v>NOT YET</v>
      </c>
      <c r="P847" s="27"/>
      <c r="Q847" s="27"/>
      <c r="R847" s="27"/>
      <c r="S847" s="27"/>
      <c r="T847" s="27"/>
      <c r="U847" s="27"/>
      <c r="V847" s="27"/>
      <c r="W847" s="27"/>
      <c r="X847" s="27"/>
      <c r="Y847" s="27"/>
      <c r="Z847" s="27"/>
    </row>
    <row r="848" customHeight="1" spans="1:26">
      <c r="A848" s="26">
        <v>769</v>
      </c>
      <c r="B848" s="26">
        <v>54</v>
      </c>
      <c r="C848" s="26" t="s">
        <v>1110</v>
      </c>
      <c r="D848" s="26" t="s">
        <v>1721</v>
      </c>
      <c r="E848" s="26" t="s">
        <v>2889</v>
      </c>
      <c r="F848" s="26" t="str">
        <f t="shared" si="0"/>
        <v>Temporal Latin Origin</v>
      </c>
      <c r="G848" s="26">
        <f t="shared" si="1"/>
        <v>10</v>
      </c>
      <c r="H848" s="26"/>
      <c r="I848" s="26"/>
      <c r="J848" s="26"/>
      <c r="K848" s="26"/>
      <c r="L848" s="26" t="str">
        <f t="shared" si="2"/>
        <v>I</v>
      </c>
      <c r="M848" s="26" t="str">
        <f>IFERROR(__xludf.DUMMYFUNCTION("GOOGLETRANSLATE(C848,""EN"",""KN"")"),"ಪ್ರೇರಣೆ")</f>
        <v>ಪ್ರೇರಣೆ</v>
      </c>
      <c r="N848" s="26" t="str">
        <f t="array" ref="N848">_xlfn.XLOOKUP(B848,'Sets Progress'!I:I,'Sets Progress'!I:I,"NOT YET")</f>
        <v>NOT YET</v>
      </c>
      <c r="O848" s="26" t="str">
        <f t="array" ref="O848">_xlfn.XLOOKUP(L:L,'Overall Progress'!L:L,'Overall Progress'!L:L,"NOT YET")</f>
        <v>NOT YET</v>
      </c>
      <c r="P848" s="26"/>
      <c r="Q848" s="26"/>
      <c r="R848" s="26"/>
      <c r="S848" s="26"/>
      <c r="T848" s="26"/>
      <c r="U848" s="26"/>
      <c r="V848" s="26"/>
      <c r="W848" s="26"/>
      <c r="X848" s="26"/>
      <c r="Y848" s="26"/>
      <c r="Z848" s="26"/>
    </row>
    <row r="849" hidden="1" customHeight="1" spans="1:26">
      <c r="A849" s="27">
        <v>799</v>
      </c>
      <c r="B849" s="27">
        <v>54</v>
      </c>
      <c r="C849" s="27" t="s">
        <v>1139</v>
      </c>
      <c r="D849" s="27" t="s">
        <v>2717</v>
      </c>
      <c r="E849" s="27" t="s">
        <v>2889</v>
      </c>
      <c r="F849" s="27" t="str">
        <f t="shared" si="0"/>
        <v>Positive Traits Latin Origin</v>
      </c>
      <c r="G849" s="27">
        <f t="shared" si="1"/>
        <v>9</v>
      </c>
      <c r="H849" s="27" t="s">
        <v>3734</v>
      </c>
      <c r="I849" s="27"/>
      <c r="J849" s="27"/>
      <c r="K849" s="27"/>
      <c r="L849" s="27" t="str">
        <f t="shared" si="2"/>
        <v>I</v>
      </c>
      <c r="M849" s="27" t="str">
        <f>IFERROR(__xludf.DUMMYFUNCTION("GOOGLETRANSLATE(C849,""EN"",""KN"")"),"ಸಮಗ್ರತೆ")</f>
        <v>ಸಮಗ್ರತೆ</v>
      </c>
      <c r="N849" s="27" t="str">
        <f t="array" ref="N849">_xlfn.XLOOKUP(B849,'Sets Progress'!I:I,'Sets Progress'!I:I,"NOT YET")</f>
        <v>NOT YET</v>
      </c>
      <c r="O849" s="27" t="str">
        <f t="array" ref="O849">_xlfn.XLOOKUP(L:L,'Overall Progress'!L:L,'Overall Progress'!L:L,"NOT YET")</f>
        <v>NOT YET</v>
      </c>
      <c r="P849" s="27"/>
      <c r="Q849" s="27"/>
      <c r="R849" s="27"/>
      <c r="S849" s="27"/>
      <c r="T849" s="27"/>
      <c r="U849" s="27"/>
      <c r="V849" s="27"/>
      <c r="W849" s="27"/>
      <c r="X849" s="27"/>
      <c r="Y849" s="27"/>
      <c r="Z849" s="27"/>
    </row>
    <row r="850" customHeight="1" spans="1:26">
      <c r="A850" s="26">
        <v>820</v>
      </c>
      <c r="B850" s="26">
        <v>54</v>
      </c>
      <c r="C850" s="26" t="s">
        <v>1160</v>
      </c>
      <c r="D850" s="26" t="s">
        <v>1721</v>
      </c>
      <c r="E850" s="26" t="s">
        <v>2889</v>
      </c>
      <c r="F850" s="26" t="str">
        <f t="shared" si="0"/>
        <v>Temporal Latin Origin</v>
      </c>
      <c r="G850" s="26">
        <f t="shared" si="1"/>
        <v>10</v>
      </c>
      <c r="H850" s="26"/>
      <c r="I850" s="26"/>
      <c r="J850" s="26"/>
      <c r="K850" s="26"/>
      <c r="L850" s="26" t="str">
        <f t="shared" si="2"/>
        <v>I</v>
      </c>
      <c r="M850" s="26" t="str">
        <f>IFERROR(__xludf.DUMMYFUNCTION("GOOGLETRANSLATE(C850,""EN"",""KN"")"),"ಅನಿಶ್ಚಿತ")</f>
        <v>ಅನಿಶ್ಚಿತ</v>
      </c>
      <c r="N850" s="26" t="str">
        <f t="array" ref="N850">_xlfn.XLOOKUP(B850,'Sets Progress'!I:I,'Sets Progress'!I:I,"NOT YET")</f>
        <v>NOT YET</v>
      </c>
      <c r="O850" s="26" t="str">
        <f t="array" ref="O850">_xlfn.XLOOKUP(L:L,'Overall Progress'!L:L,'Overall Progress'!L:L,"NOT YET")</f>
        <v>NOT YET</v>
      </c>
      <c r="P850" s="26"/>
      <c r="Q850" s="26"/>
      <c r="R850" s="26"/>
      <c r="S850" s="26"/>
      <c r="T850" s="26"/>
      <c r="U850" s="26"/>
      <c r="V850" s="26"/>
      <c r="W850" s="26"/>
      <c r="X850" s="26"/>
      <c r="Y850" s="26"/>
      <c r="Z850" s="26"/>
    </row>
    <row r="851" hidden="1" customHeight="1" spans="1:26">
      <c r="A851" s="27">
        <v>920</v>
      </c>
      <c r="B851" s="27">
        <v>54</v>
      </c>
      <c r="C851" s="27" t="s">
        <v>1256</v>
      </c>
      <c r="D851" s="27" t="s">
        <v>1721</v>
      </c>
      <c r="E851" s="27" t="s">
        <v>2889</v>
      </c>
      <c r="F851" s="27" t="str">
        <f t="shared" si="0"/>
        <v>Temporal Latin Origin</v>
      </c>
      <c r="G851" s="27">
        <f t="shared" si="1"/>
        <v>8</v>
      </c>
      <c r="H851" s="27" t="s">
        <v>3735</v>
      </c>
      <c r="I851" s="27"/>
      <c r="J851" s="27"/>
      <c r="K851" s="27"/>
      <c r="L851" s="27" t="str">
        <f t="shared" si="2"/>
        <v>M</v>
      </c>
      <c r="M851" s="27" t="str">
        <f>IFERROR(__xludf.DUMMYFUNCTION("GOOGLETRANSLATE(C851,""EN"",""KN"")"),"ತಗ್ಗಿಸು")</f>
        <v>ತಗ್ಗಿಸು</v>
      </c>
      <c r="N851" s="27" t="str">
        <f t="array" ref="N851">_xlfn.XLOOKUP(B851,'Sets Progress'!I:I,'Sets Progress'!I:I,"NOT YET")</f>
        <v>NOT YET</v>
      </c>
      <c r="O851" s="27" t="str">
        <f t="array" ref="O851">_xlfn.XLOOKUP(L:L,'Overall Progress'!L:L,'Overall Progress'!L:L,"NOT YET")</f>
        <v>NOT YET</v>
      </c>
      <c r="P851" s="27"/>
      <c r="Q851" s="27"/>
      <c r="R851" s="27"/>
      <c r="S851" s="27"/>
      <c r="T851" s="27"/>
      <c r="U851" s="27"/>
      <c r="V851" s="27"/>
      <c r="W851" s="27"/>
      <c r="X851" s="27"/>
      <c r="Y851" s="27"/>
      <c r="Z851" s="27"/>
    </row>
    <row r="852" hidden="1" customHeight="1" spans="1:26">
      <c r="A852" s="26">
        <v>952</v>
      </c>
      <c r="B852" s="26">
        <v>54</v>
      </c>
      <c r="C852" s="26" t="s">
        <v>1288</v>
      </c>
      <c r="D852" s="26" t="s">
        <v>2717</v>
      </c>
      <c r="E852" s="26" t="s">
        <v>2908</v>
      </c>
      <c r="F852" s="26" t="str">
        <f t="shared" si="0"/>
        <v>Positive Traits Old English Origin</v>
      </c>
      <c r="G852" s="26">
        <f t="shared" si="1"/>
        <v>6</v>
      </c>
      <c r="H852" s="26" t="s">
        <v>3736</v>
      </c>
      <c r="I852" s="26"/>
      <c r="J852" s="26"/>
      <c r="K852" s="26"/>
      <c r="L852" s="26" t="str">
        <f t="shared" si="2"/>
        <v>N</v>
      </c>
      <c r="M852" s="26" t="str">
        <f>IFERROR(__xludf.DUMMYFUNCTION("GOOGLETRANSLATE(C852,""EN"",""KN"")"),"ವೇಗವುಳ್ಳ")</f>
        <v>ವೇಗವುಳ್ಳ</v>
      </c>
      <c r="N852" s="26" t="str">
        <f t="array" ref="N852">_xlfn.XLOOKUP(B852,'Sets Progress'!I:I,'Sets Progress'!I:I,"NOT YET")</f>
        <v>NOT YET</v>
      </c>
      <c r="O852" s="26" t="str">
        <f t="array" ref="O852">_xlfn.XLOOKUP(L:L,'Overall Progress'!L:L,'Overall Progress'!L:L,"NOT YET")</f>
        <v>NOT YET</v>
      </c>
      <c r="P852" s="26"/>
      <c r="Q852" s="26"/>
      <c r="R852" s="26"/>
      <c r="S852" s="26"/>
      <c r="T852" s="26"/>
      <c r="U852" s="26"/>
      <c r="V852" s="26"/>
      <c r="W852" s="26"/>
      <c r="X852" s="26"/>
      <c r="Y852" s="26"/>
      <c r="Z852" s="26"/>
    </row>
    <row r="853" hidden="1" customHeight="1" spans="1:26">
      <c r="A853" s="27">
        <v>1109</v>
      </c>
      <c r="B853" s="27">
        <v>54</v>
      </c>
      <c r="C853" s="27" t="s">
        <v>1443</v>
      </c>
      <c r="D853" s="27" t="s">
        <v>1721</v>
      </c>
      <c r="E853" s="27" t="s">
        <v>2889</v>
      </c>
      <c r="F853" s="27" t="str">
        <f t="shared" si="0"/>
        <v>Temporal Latin Origin</v>
      </c>
      <c r="G853" s="27">
        <f t="shared" si="1"/>
        <v>8</v>
      </c>
      <c r="H853" s="27" t="s">
        <v>3737</v>
      </c>
      <c r="I853" s="27"/>
      <c r="J853" s="27"/>
      <c r="K853" s="27"/>
      <c r="L853" s="27" t="str">
        <f t="shared" si="2"/>
        <v>P</v>
      </c>
      <c r="M853" s="27" t="str">
        <f>IFERROR(__xludf.DUMMYFUNCTION("GOOGLETRANSLATE(C853,""EN"",""KN"")"),"ಒತ್ತುವುದು")</f>
        <v>ಒತ್ತುವುದು</v>
      </c>
      <c r="N853" s="27" t="str">
        <f t="array" ref="N853">_xlfn.XLOOKUP(B853,'Sets Progress'!I:I,'Sets Progress'!I:I,"NOT YET")</f>
        <v>NOT YET</v>
      </c>
      <c r="O853" s="27" t="str">
        <f t="array" ref="O853">_xlfn.XLOOKUP(L:L,'Overall Progress'!L:L,'Overall Progress'!L:L,"NOT YET")</f>
        <v>NOT YET</v>
      </c>
      <c r="P853" s="27"/>
      <c r="Q853" s="27"/>
      <c r="R853" s="27"/>
      <c r="S853" s="27"/>
      <c r="T853" s="27"/>
      <c r="U853" s="27"/>
      <c r="V853" s="27"/>
      <c r="W853" s="27"/>
      <c r="X853" s="27"/>
      <c r="Y853" s="27"/>
      <c r="Z853" s="27"/>
    </row>
    <row r="854" hidden="1" customHeight="1" spans="1:26">
      <c r="A854" s="26">
        <v>1137</v>
      </c>
      <c r="B854" s="26">
        <v>54</v>
      </c>
      <c r="C854" s="26" t="s">
        <v>1469</v>
      </c>
      <c r="D854" s="26" t="s">
        <v>1721</v>
      </c>
      <c r="E854" s="26" t="s">
        <v>2921</v>
      </c>
      <c r="F854" s="26" t="str">
        <f t="shared" si="0"/>
        <v>Temporal Unknown Origin</v>
      </c>
      <c r="G854" s="26">
        <f t="shared" si="1"/>
        <v>7</v>
      </c>
      <c r="H854" s="26" t="s">
        <v>3738</v>
      </c>
      <c r="I854" s="26"/>
      <c r="J854" s="26"/>
      <c r="K854" s="26"/>
      <c r="L854" s="26" t="str">
        <f t="shared" si="2"/>
        <v>P</v>
      </c>
      <c r="M854" s="26" t="str">
        <f>IFERROR(__xludf.DUMMYFUNCTION("GOOGLETRANSLATE(C854,""EN"",""KN"")"),"ಆಸರೆಯಾದ")</f>
        <v>ಆಸರೆಯಾದ</v>
      </c>
      <c r="N854" s="26" t="str">
        <f t="array" ref="N854">_xlfn.XLOOKUP(B854,'Sets Progress'!I:I,'Sets Progress'!I:I,"NOT YET")</f>
        <v>NOT YET</v>
      </c>
      <c r="O854" s="26" t="str">
        <f t="array" ref="O854">_xlfn.XLOOKUP(L:L,'Overall Progress'!L:L,'Overall Progress'!L:L,"NOT YET")</f>
        <v>NOT YET</v>
      </c>
      <c r="P854" s="26"/>
      <c r="Q854" s="26"/>
      <c r="R854" s="26"/>
      <c r="S854" s="26"/>
      <c r="T854" s="26"/>
      <c r="U854" s="26"/>
      <c r="V854" s="26"/>
      <c r="W854" s="26"/>
      <c r="X854" s="26"/>
      <c r="Y854" s="26"/>
      <c r="Z854" s="26"/>
    </row>
    <row r="855" hidden="1" customHeight="1" spans="1:26">
      <c r="A855" s="27">
        <v>1233</v>
      </c>
      <c r="B855" s="27">
        <v>54</v>
      </c>
      <c r="C855" s="27" t="s">
        <v>1564</v>
      </c>
      <c r="D855" s="27" t="s">
        <v>2716</v>
      </c>
      <c r="E855" s="27" t="s">
        <v>2889</v>
      </c>
      <c r="F855" s="27" t="str">
        <f t="shared" si="0"/>
        <v>Negative Traits Latin Origin</v>
      </c>
      <c r="G855" s="27">
        <f t="shared" si="1"/>
        <v>8</v>
      </c>
      <c r="H855" s="27" t="s">
        <v>3739</v>
      </c>
      <c r="I855" s="27"/>
      <c r="J855" s="27"/>
      <c r="K855" s="27"/>
      <c r="L855" s="27" t="str">
        <f t="shared" si="2"/>
        <v>R</v>
      </c>
      <c r="M855" s="27" t="str">
        <f>IFERROR(__xludf.DUMMYFUNCTION("GOOGLETRANSLATE(C855,""EN"",""KN"")"),"ಅಪಹಾಸ್ಯ")</f>
        <v>ಅಪಹಾಸ್ಯ</v>
      </c>
      <c r="N855" s="27" t="str">
        <f t="array" ref="N855">_xlfn.XLOOKUP(B855,'Sets Progress'!I:I,'Sets Progress'!I:I,"NOT YET")</f>
        <v>NOT YET</v>
      </c>
      <c r="O855" s="27" t="str">
        <f t="array" ref="O855">_xlfn.XLOOKUP(L:L,'Overall Progress'!L:L,'Overall Progress'!L:L,"NOT YET")</f>
        <v>NOT YET</v>
      </c>
      <c r="P855" s="27"/>
      <c r="Q855" s="27"/>
      <c r="R855" s="27"/>
      <c r="S855" s="27"/>
      <c r="T855" s="27"/>
      <c r="U855" s="27"/>
      <c r="V855" s="27"/>
      <c r="W855" s="27"/>
      <c r="X855" s="27"/>
      <c r="Y855" s="27"/>
      <c r="Z855" s="27"/>
    </row>
    <row r="856" customHeight="1" spans="1:26">
      <c r="A856" s="26">
        <v>1256</v>
      </c>
      <c r="B856" s="26">
        <v>54</v>
      </c>
      <c r="C856" s="26" t="s">
        <v>1587</v>
      </c>
      <c r="D856" s="26" t="s">
        <v>2716</v>
      </c>
      <c r="E856" s="26" t="s">
        <v>2908</v>
      </c>
      <c r="F856" s="26" t="str">
        <f t="shared" si="0"/>
        <v>Negative Traits Old English Origin</v>
      </c>
      <c r="G856" s="26">
        <f t="shared" si="1"/>
        <v>5</v>
      </c>
      <c r="H856" s="26"/>
      <c r="I856" s="26"/>
      <c r="J856" s="26"/>
      <c r="K856" s="26"/>
      <c r="L856" s="26" t="str">
        <f t="shared" si="2"/>
        <v>S</v>
      </c>
      <c r="M856" s="26" t="str">
        <f>IFERROR(__xludf.DUMMYFUNCTION("GOOGLETRANSLATE(C856,""EN"",""KN"")"),"ತಿರಸ್ಕಾರ")</f>
        <v>ತಿರಸ್ಕಾರ</v>
      </c>
      <c r="N856" s="26" t="str">
        <f t="array" ref="N856">_xlfn.XLOOKUP(B856,'Sets Progress'!I:I,'Sets Progress'!I:I,"NOT YET")</f>
        <v>NOT YET</v>
      </c>
      <c r="O856" s="26" t="str">
        <f t="array" ref="O856">_xlfn.XLOOKUP(L:L,'Overall Progress'!L:L,'Overall Progress'!L:L,"NOT YET")</f>
        <v>NOT YET</v>
      </c>
      <c r="P856" s="26"/>
      <c r="Q856" s="26"/>
      <c r="R856" s="26"/>
      <c r="S856" s="26"/>
      <c r="T856" s="26"/>
      <c r="U856" s="26"/>
      <c r="V856" s="26"/>
      <c r="W856" s="26"/>
      <c r="X856" s="26"/>
      <c r="Y856" s="26"/>
      <c r="Z856" s="26"/>
    </row>
    <row r="857" hidden="1" customHeight="1" spans="1:26">
      <c r="A857" s="27">
        <v>1282</v>
      </c>
      <c r="B857" s="27">
        <v>54</v>
      </c>
      <c r="C857" s="27" t="s">
        <v>1613</v>
      </c>
      <c r="D857" s="27" t="s">
        <v>2716</v>
      </c>
      <c r="E857" s="27" t="s">
        <v>2896</v>
      </c>
      <c r="F857" s="27" t="str">
        <f t="shared" si="0"/>
        <v>Negative Traits Old French Origin</v>
      </c>
      <c r="G857" s="27">
        <f t="shared" si="1"/>
        <v>9</v>
      </c>
      <c r="H857" s="27" t="s">
        <v>3740</v>
      </c>
      <c r="I857" s="27"/>
      <c r="J857" s="27"/>
      <c r="K857" s="27"/>
      <c r="L857" s="27" t="str">
        <f t="shared" si="2"/>
        <v>S</v>
      </c>
      <c r="M857" s="27" t="str">
        <f>IFERROR(__xludf.DUMMYFUNCTION("GOOGLETRANSLATE(C857,""EN"",""KN"")"),"ಸಿಂಪಲ್ಟನ್")</f>
        <v>ಸಿಂಪಲ್ಟನ್</v>
      </c>
      <c r="N857" s="27" t="str">
        <f t="array" ref="N857">_xlfn.XLOOKUP(B857,'Sets Progress'!I:I,'Sets Progress'!I:I,"NOT YET")</f>
        <v>NOT YET</v>
      </c>
      <c r="O857" s="27" t="str">
        <f t="array" ref="O857">_xlfn.XLOOKUP(L:L,'Overall Progress'!L:L,'Overall Progress'!L:L,"NOT YET")</f>
        <v>NOT YET</v>
      </c>
      <c r="P857" s="27"/>
      <c r="Q857" s="27"/>
      <c r="R857" s="27"/>
      <c r="S857" s="27"/>
      <c r="T857" s="27"/>
      <c r="U857" s="27"/>
      <c r="V857" s="27"/>
      <c r="W857" s="27"/>
      <c r="X857" s="27"/>
      <c r="Y857" s="27"/>
      <c r="Z857" s="27"/>
    </row>
    <row r="858" customHeight="1" spans="1:26">
      <c r="A858" s="26">
        <v>1292</v>
      </c>
      <c r="B858" s="26">
        <v>54</v>
      </c>
      <c r="C858" s="26" t="s">
        <v>1623</v>
      </c>
      <c r="D858" s="26" t="s">
        <v>2716</v>
      </c>
      <c r="E858" s="26" t="s">
        <v>2908</v>
      </c>
      <c r="F858" s="26" t="str">
        <f t="shared" si="0"/>
        <v>Negative Traits Old English Origin</v>
      </c>
      <c r="G858" s="26">
        <f t="shared" si="1"/>
        <v>7</v>
      </c>
      <c r="H858" s="26"/>
      <c r="I858" s="26"/>
      <c r="J858" s="26"/>
      <c r="K858" s="26"/>
      <c r="L858" s="26" t="str">
        <f t="shared" si="2"/>
        <v>S</v>
      </c>
      <c r="M858" s="26" t="str">
        <f>IFERROR(__xludf.DUMMYFUNCTION("GOOGLETRANSLATE(C858,""EN"",""KN"")"),"ನಿಂದೆ")</f>
        <v>ನಿಂದೆ</v>
      </c>
      <c r="N858" s="26" t="str">
        <f t="array" ref="N858">_xlfn.XLOOKUP(B858,'Sets Progress'!I:I,'Sets Progress'!I:I,"NOT YET")</f>
        <v>NOT YET</v>
      </c>
      <c r="O858" s="26" t="str">
        <f t="array" ref="O858">_xlfn.XLOOKUP(L:L,'Overall Progress'!L:L,'Overall Progress'!L:L,"NOT YET")</f>
        <v>NOT YET</v>
      </c>
      <c r="P858" s="26"/>
      <c r="Q858" s="26"/>
      <c r="R858" s="26"/>
      <c r="S858" s="26"/>
      <c r="T858" s="26"/>
      <c r="U858" s="26"/>
      <c r="V858" s="26"/>
      <c r="W858" s="26"/>
      <c r="X858" s="26"/>
      <c r="Y858" s="26"/>
      <c r="Z858" s="26"/>
    </row>
    <row r="859" hidden="1" customHeight="1" spans="1:26">
      <c r="A859" s="27">
        <v>44</v>
      </c>
      <c r="B859" s="27">
        <v>55</v>
      </c>
      <c r="C859" s="27" t="s">
        <v>398</v>
      </c>
      <c r="D859" s="27" t="s">
        <v>2946</v>
      </c>
      <c r="E859" s="27" t="s">
        <v>2889</v>
      </c>
      <c r="F859" s="27" t="str">
        <f t="shared" si="0"/>
        <v>Emotional Latin Origin</v>
      </c>
      <c r="G859" s="27">
        <f t="shared" si="1"/>
        <v>6</v>
      </c>
      <c r="H859" s="27" t="s">
        <v>3741</v>
      </c>
      <c r="I859" s="27"/>
      <c r="J859" s="27"/>
      <c r="K859" s="27"/>
      <c r="L859" s="27" t="str">
        <f t="shared" si="2"/>
        <v>A</v>
      </c>
      <c r="M859" s="27" t="str">
        <f>IFERROR(__xludf.DUMMYFUNCTION("GOOGLETRANSLATE(C859,""EN"",""KN"")"),"ಪರಿಣಾಮ ಬೀರುತ್ತವೆ")</f>
        <v>ಪರಿಣಾಮ ಬೀರುತ್ತವೆ</v>
      </c>
      <c r="N859" s="27" t="str">
        <f t="array" ref="N859">_xlfn.XLOOKUP(B859,'Sets Progress'!I:I,'Sets Progress'!I:I,"NOT YET")</f>
        <v>NOT YET</v>
      </c>
      <c r="O859" s="27" t="str">
        <f t="array" ref="O859">_xlfn.XLOOKUP(L:L,'Overall Progress'!L:L,'Overall Progress'!L:L,"NOT YET")</f>
        <v>NOT YET</v>
      </c>
      <c r="P859" s="27"/>
      <c r="Q859" s="27"/>
      <c r="R859" s="27"/>
      <c r="S859" s="27"/>
      <c r="T859" s="27"/>
      <c r="U859" s="27"/>
      <c r="V859" s="27"/>
      <c r="W859" s="27"/>
      <c r="X859" s="27"/>
      <c r="Y859" s="27"/>
      <c r="Z859" s="27"/>
    </row>
    <row r="860" hidden="1" customHeight="1" spans="1:26">
      <c r="A860" s="26">
        <v>316</v>
      </c>
      <c r="B860" s="26">
        <v>55</v>
      </c>
      <c r="C860" s="26" t="s">
        <v>666</v>
      </c>
      <c r="D860" s="26" t="s">
        <v>2892</v>
      </c>
      <c r="E860" s="26" t="s">
        <v>2889</v>
      </c>
      <c r="F860" s="26" t="str">
        <f t="shared" si="0"/>
        <v>Spatial Latin Origin</v>
      </c>
      <c r="G860" s="26">
        <f t="shared" si="1"/>
        <v>11</v>
      </c>
      <c r="H860" s="26" t="s">
        <v>3742</v>
      </c>
      <c r="I860" s="26"/>
      <c r="J860" s="26"/>
      <c r="K860" s="26"/>
      <c r="L860" s="26" t="str">
        <f t="shared" si="2"/>
        <v>C</v>
      </c>
      <c r="M860" s="26" t="str">
        <f>IFERROR(__xludf.DUMMYFUNCTION("GOOGLETRANSLATE(C860,""EN"",""KN"")"),"ಮುಖಭಾವ")</f>
        <v>ಮುಖಭಾವ</v>
      </c>
      <c r="N860" s="26" t="str">
        <f t="array" ref="N860">_xlfn.XLOOKUP(B860,'Sets Progress'!I:I,'Sets Progress'!I:I,"NOT YET")</f>
        <v>NOT YET</v>
      </c>
      <c r="O860" s="26" t="str">
        <f t="array" ref="O860">_xlfn.XLOOKUP(L:L,'Overall Progress'!L:L,'Overall Progress'!L:L,"NOT YET")</f>
        <v>NOT YET</v>
      </c>
      <c r="P860" s="26"/>
      <c r="Q860" s="26"/>
      <c r="R860" s="26"/>
      <c r="S860" s="26"/>
      <c r="T860" s="26"/>
      <c r="U860" s="26"/>
      <c r="V860" s="26"/>
      <c r="W860" s="26"/>
      <c r="X860" s="26"/>
      <c r="Y860" s="26"/>
      <c r="Z860" s="26"/>
    </row>
    <row r="861" hidden="1" customHeight="1" spans="1:26">
      <c r="A861" s="27">
        <v>408</v>
      </c>
      <c r="B861" s="27">
        <v>55</v>
      </c>
      <c r="C861" s="27" t="s">
        <v>757</v>
      </c>
      <c r="D861" s="27" t="s">
        <v>3022</v>
      </c>
      <c r="E861" s="27" t="s">
        <v>2889</v>
      </c>
      <c r="F861" s="27" t="str">
        <f t="shared" si="0"/>
        <v>Intellectual Latin Origin</v>
      </c>
      <c r="G861" s="27">
        <f t="shared" si="1"/>
        <v>7</v>
      </c>
      <c r="H861" s="27" t="s">
        <v>3743</v>
      </c>
      <c r="I861" s="27"/>
      <c r="J861" s="27"/>
      <c r="K861" s="27"/>
      <c r="L861" s="27" t="str">
        <f t="shared" si="2"/>
        <v>D</v>
      </c>
      <c r="M861" s="27" t="str">
        <f>IFERROR(__xludf.DUMMYFUNCTION("GOOGLETRANSLATE(C861,""EN"",""KN"")"),"ವಿವೇಚಿಸಿ")</f>
        <v>ವಿವೇಚಿಸಿ</v>
      </c>
      <c r="N861" s="27" t="str">
        <f t="array" ref="N861">_xlfn.XLOOKUP(B861,'Sets Progress'!I:I,'Sets Progress'!I:I,"NOT YET")</f>
        <v>NOT YET</v>
      </c>
      <c r="O861" s="27" t="str">
        <f t="array" ref="O861">_xlfn.XLOOKUP(L:L,'Overall Progress'!L:L,'Overall Progress'!L:L,"NOT YET")</f>
        <v>NOT YET</v>
      </c>
      <c r="P861" s="27"/>
      <c r="Q861" s="27"/>
      <c r="R861" s="27"/>
      <c r="S861" s="27"/>
      <c r="T861" s="27"/>
      <c r="U861" s="27"/>
      <c r="V861" s="27"/>
      <c r="W861" s="27"/>
      <c r="X861" s="27"/>
      <c r="Y861" s="27"/>
      <c r="Z861" s="27"/>
    </row>
    <row r="862" hidden="1" customHeight="1" spans="1:26">
      <c r="A862" s="26">
        <v>553</v>
      </c>
      <c r="B862" s="26">
        <v>55</v>
      </c>
      <c r="C862" s="26" t="s">
        <v>899</v>
      </c>
      <c r="D862" s="26" t="s">
        <v>1721</v>
      </c>
      <c r="E862" s="26" t="s">
        <v>2889</v>
      </c>
      <c r="F862" s="26" t="str">
        <f t="shared" si="0"/>
        <v>Temporal Latin Origin</v>
      </c>
      <c r="G862" s="26">
        <f t="shared" si="1"/>
        <v>10</v>
      </c>
      <c r="H862" s="26" t="s">
        <v>3744</v>
      </c>
      <c r="I862" s="26"/>
      <c r="J862" s="26"/>
      <c r="K862" s="26"/>
      <c r="L862" s="26" t="str">
        <f t="shared" si="2"/>
        <v>E</v>
      </c>
      <c r="M862" s="26" t="str">
        <f>IFERROR(__xludf.DUMMYFUNCTION("GOOGLETRANSLATE(C862,""EN"",""KN"")"),"ಸಮಗ್ರ")</f>
        <v>ಸಮಗ್ರ</v>
      </c>
      <c r="N862" s="26" t="str">
        <f t="array" ref="N862">_xlfn.XLOOKUP(B862,'Sets Progress'!I:I,'Sets Progress'!I:I,"NOT YET")</f>
        <v>NOT YET</v>
      </c>
      <c r="O862" s="26" t="str">
        <f t="array" ref="O862">_xlfn.XLOOKUP(L:L,'Overall Progress'!L:L,'Overall Progress'!L:L,"NOT YET")</f>
        <v>NOT YET</v>
      </c>
      <c r="P862" s="26"/>
      <c r="Q862" s="26"/>
      <c r="R862" s="26"/>
      <c r="S862" s="26"/>
      <c r="T862" s="26"/>
      <c r="U862" s="26"/>
      <c r="V862" s="26"/>
      <c r="W862" s="26"/>
      <c r="X862" s="26"/>
      <c r="Y862" s="26"/>
      <c r="Z862" s="26"/>
    </row>
    <row r="863" customHeight="1" spans="1:26">
      <c r="A863" s="27">
        <v>640</v>
      </c>
      <c r="B863" s="27">
        <v>55</v>
      </c>
      <c r="C863" s="27" t="s">
        <v>984</v>
      </c>
      <c r="D863" s="27" t="s">
        <v>1721</v>
      </c>
      <c r="E863" s="27" t="s">
        <v>2889</v>
      </c>
      <c r="F863" s="27" t="str">
        <f t="shared" si="0"/>
        <v>Temporal Latin Origin</v>
      </c>
      <c r="G863" s="27">
        <f t="shared" si="1"/>
        <v>8</v>
      </c>
      <c r="H863" s="27"/>
      <c r="I863" s="27"/>
      <c r="J863" s="27"/>
      <c r="K863" s="27"/>
      <c r="L863" s="27" t="str">
        <f t="shared" si="2"/>
        <v>F</v>
      </c>
      <c r="M863" s="27" t="str">
        <f>IFERROR(__xludf.DUMMYFUNCTION("GOOGLETRANSLATE(C863,""EN"",""KN"")"),"ಫಂಗಬಲ್")</f>
        <v>ಫಂಗಬಲ್</v>
      </c>
      <c r="N863" s="27" t="str">
        <f t="array" ref="N863">_xlfn.XLOOKUP(B863,'Sets Progress'!I:I,'Sets Progress'!I:I,"NOT YET")</f>
        <v>NOT YET</v>
      </c>
      <c r="O863" s="27" t="str">
        <f t="array" ref="O863">_xlfn.XLOOKUP(L:L,'Overall Progress'!L:L,'Overall Progress'!L:L,"NOT YET")</f>
        <v>NOT YET</v>
      </c>
      <c r="P863" s="27"/>
      <c r="Q863" s="27"/>
      <c r="R863" s="27"/>
      <c r="S863" s="27"/>
      <c r="T863" s="27"/>
      <c r="U863" s="27"/>
      <c r="V863" s="27"/>
      <c r="W863" s="27"/>
      <c r="X863" s="27"/>
      <c r="Y863" s="27"/>
      <c r="Z863" s="27"/>
    </row>
    <row r="864" hidden="1" customHeight="1" spans="1:26">
      <c r="A864" s="26">
        <v>869</v>
      </c>
      <c r="B864" s="26">
        <v>55</v>
      </c>
      <c r="C864" s="26" t="s">
        <v>1208</v>
      </c>
      <c r="D864" s="26" t="s">
        <v>1721</v>
      </c>
      <c r="E864" s="26" t="s">
        <v>2889</v>
      </c>
      <c r="F864" s="26" t="str">
        <f t="shared" si="0"/>
        <v>Temporal Latin Origin</v>
      </c>
      <c r="G864" s="26">
        <f t="shared" si="1"/>
        <v>10</v>
      </c>
      <c r="H864" s="26" t="s">
        <v>3745</v>
      </c>
      <c r="I864" s="26"/>
      <c r="J864" s="26"/>
      <c r="K864" s="26"/>
      <c r="L864" s="26" t="str">
        <f t="shared" si="2"/>
        <v>L</v>
      </c>
      <c r="M864" s="26" t="str">
        <f>IFERROR(__xludf.DUMMYFUNCTION("GOOGLETRANSLATE(C864,""EN"",""KN"")"),"ಲೋಕ್ವಾಸ್")</f>
        <v>ಲೋಕ್ವಾಸ್</v>
      </c>
      <c r="N864" s="26" t="str">
        <f t="array" ref="N864">_xlfn.XLOOKUP(B864,'Sets Progress'!I:I,'Sets Progress'!I:I,"NOT YET")</f>
        <v>NOT YET</v>
      </c>
      <c r="O864" s="26" t="str">
        <f t="array" ref="O864">_xlfn.XLOOKUP(L:L,'Overall Progress'!L:L,'Overall Progress'!L:L,"NOT YET")</f>
        <v>NOT YET</v>
      </c>
      <c r="P864" s="26"/>
      <c r="Q864" s="26"/>
      <c r="R864" s="26"/>
      <c r="S864" s="26"/>
      <c r="T864" s="26"/>
      <c r="U864" s="26"/>
      <c r="V864" s="26"/>
      <c r="W864" s="26"/>
      <c r="X864" s="26"/>
      <c r="Y864" s="26"/>
      <c r="Z864" s="26"/>
    </row>
    <row r="865" hidden="1" customHeight="1" spans="1:26">
      <c r="A865" s="27">
        <v>881</v>
      </c>
      <c r="B865" s="27">
        <v>55</v>
      </c>
      <c r="C865" s="27" t="s">
        <v>1218</v>
      </c>
      <c r="D865" s="27" t="s">
        <v>1721</v>
      </c>
      <c r="E865" s="27" t="s">
        <v>2908</v>
      </c>
      <c r="F865" s="27" t="str">
        <f t="shared" si="0"/>
        <v>Temporal Old English Origin</v>
      </c>
      <c r="G865" s="27">
        <f t="shared" si="1"/>
        <v>9</v>
      </c>
      <c r="H865" s="27" t="s">
        <v>3746</v>
      </c>
      <c r="I865" s="27"/>
      <c r="J865" s="27"/>
      <c r="K865" s="27"/>
      <c r="L865" s="27" t="str">
        <f t="shared" si="2"/>
        <v>M</v>
      </c>
      <c r="M865" s="27" t="str">
        <f>IFERROR(__xludf.DUMMYFUNCTION("GOOGLETRANSLATE(C865,""EN"",""KN"")"),"ತಾತ್ಕಾಲಿಕ")</f>
        <v>ತಾತ್ಕಾಲಿಕ</v>
      </c>
      <c r="N865" s="27" t="str">
        <f t="array" ref="N865">_xlfn.XLOOKUP(B865,'Sets Progress'!I:I,'Sets Progress'!I:I,"NOT YET")</f>
        <v>NOT YET</v>
      </c>
      <c r="O865" s="27" t="str">
        <f t="array" ref="O865">_xlfn.XLOOKUP(L:L,'Overall Progress'!L:L,'Overall Progress'!L:L,"NOT YET")</f>
        <v>NOT YET</v>
      </c>
      <c r="P865" s="27"/>
      <c r="Q865" s="27"/>
      <c r="R865" s="27"/>
      <c r="S865" s="27"/>
      <c r="T865" s="27"/>
      <c r="U865" s="27"/>
      <c r="V865" s="27"/>
      <c r="W865" s="27"/>
      <c r="X865" s="27"/>
      <c r="Y865" s="27"/>
      <c r="Z865" s="27"/>
    </row>
    <row r="866" hidden="1" customHeight="1" spans="1:26">
      <c r="A866" s="26">
        <v>948</v>
      </c>
      <c r="B866" s="26">
        <v>55</v>
      </c>
      <c r="C866" s="26" t="s">
        <v>1284</v>
      </c>
      <c r="D866" s="26" t="s">
        <v>1721</v>
      </c>
      <c r="E866" s="26" t="s">
        <v>2893</v>
      </c>
      <c r="F866" s="26" t="str">
        <f t="shared" si="0"/>
        <v>Temporal Greek Origin</v>
      </c>
      <c r="G866" s="26">
        <f t="shared" si="1"/>
        <v>8</v>
      </c>
      <c r="H866" s="26" t="s">
        <v>3747</v>
      </c>
      <c r="I866" s="26"/>
      <c r="J866" s="26"/>
      <c r="K866" s="26"/>
      <c r="L866" s="26" t="str">
        <f t="shared" si="2"/>
        <v>N</v>
      </c>
      <c r="M866" s="26" t="str">
        <f>IFERROR(__xludf.DUMMYFUNCTION("GOOGLETRANSLATE(C866,""EN"",""KN"")"),"ನಿಯೋಫೈಟ್")</f>
        <v>ನಿಯೋಫೈಟ್</v>
      </c>
      <c r="N866" s="26" t="str">
        <f t="array" ref="N866">_xlfn.XLOOKUP(B866,'Sets Progress'!I:I,'Sets Progress'!I:I,"NOT YET")</f>
        <v>NOT YET</v>
      </c>
      <c r="O866" s="26" t="str">
        <f t="array" ref="O866">_xlfn.XLOOKUP(L:L,'Overall Progress'!L:L,'Overall Progress'!L:L,"NOT YET")</f>
        <v>NOT YET</v>
      </c>
      <c r="P866" s="26"/>
      <c r="Q866" s="26"/>
      <c r="R866" s="26"/>
      <c r="S866" s="26"/>
      <c r="T866" s="26"/>
      <c r="U866" s="26"/>
      <c r="V866" s="26"/>
      <c r="W866" s="26"/>
      <c r="X866" s="26"/>
      <c r="Y866" s="26"/>
      <c r="Z866" s="26"/>
    </row>
    <row r="867" hidden="1" customHeight="1" spans="1:26">
      <c r="A867" s="27">
        <v>1089</v>
      </c>
      <c r="B867" s="27">
        <v>55</v>
      </c>
      <c r="C867" s="27" t="s">
        <v>1424</v>
      </c>
      <c r="D867" s="27" t="s">
        <v>1721</v>
      </c>
      <c r="E867" s="27" t="s">
        <v>2889</v>
      </c>
      <c r="F867" s="27" t="str">
        <f t="shared" si="0"/>
        <v>Temporal Latin Origin</v>
      </c>
      <c r="G867" s="27">
        <f t="shared" si="1"/>
        <v>5</v>
      </c>
      <c r="H867" s="27" t="s">
        <v>3748</v>
      </c>
      <c r="I867" s="27"/>
      <c r="J867" s="27"/>
      <c r="K867" s="27"/>
      <c r="L867" s="27" t="str">
        <f t="shared" si="2"/>
        <v>P</v>
      </c>
      <c r="M867" s="27" t="str">
        <f>IFERROR(__xludf.DUMMYFUNCTION("GOOGLETRANSLATE(C867,""EN"",""KN"")"),"ಪೋಸ್ ನೀಡಿದರು")</f>
        <v>ಪೋಸ್ ನೀಡಿದರು</v>
      </c>
      <c r="N867" s="27" t="str">
        <f t="array" ref="N867">_xlfn.XLOOKUP(B867,'Sets Progress'!I:I,'Sets Progress'!I:I,"NOT YET")</f>
        <v>NOT YET</v>
      </c>
      <c r="O867" s="27" t="str">
        <f t="array" ref="O867">_xlfn.XLOOKUP(L:L,'Overall Progress'!L:L,'Overall Progress'!L:L,"NOT YET")</f>
        <v>NOT YET</v>
      </c>
      <c r="P867" s="27"/>
      <c r="Q867" s="27"/>
      <c r="R867" s="27"/>
      <c r="S867" s="27"/>
      <c r="T867" s="27"/>
      <c r="U867" s="27"/>
      <c r="V867" s="27"/>
      <c r="W867" s="27"/>
      <c r="X867" s="27"/>
      <c r="Y867" s="27"/>
      <c r="Z867" s="27"/>
    </row>
    <row r="868" hidden="1" customHeight="1" spans="1:26">
      <c r="A868" s="26">
        <v>1255</v>
      </c>
      <c r="B868" s="26">
        <v>55</v>
      </c>
      <c r="C868" s="26" t="s">
        <v>1586</v>
      </c>
      <c r="D868" s="26" t="s">
        <v>2717</v>
      </c>
      <c r="E868" s="26" t="s">
        <v>2889</v>
      </c>
      <c r="F868" s="26" t="str">
        <f t="shared" si="0"/>
        <v>Positive Traits Latin Origin</v>
      </c>
      <c r="G868" s="26">
        <f t="shared" si="1"/>
        <v>13</v>
      </c>
      <c r="H868" s="26" t="s">
        <v>3749</v>
      </c>
      <c r="I868" s="26"/>
      <c r="J868" s="26"/>
      <c r="K868" s="26"/>
      <c r="L868" s="26" t="str">
        <f t="shared" si="2"/>
        <v>S</v>
      </c>
      <c r="M868" s="26" t="str">
        <f>IFERROR(__xludf.DUMMYFUNCTION("GOOGLETRANSLATE(C868,""EN"",""KN"")"),"ಮಿನುಗುವ")</f>
        <v>ಮಿನುಗುವ</v>
      </c>
      <c r="N868" s="26" t="str">
        <f t="array" ref="N868">_xlfn.XLOOKUP(B868,'Sets Progress'!I:I,'Sets Progress'!I:I,"NOT YET")</f>
        <v>NOT YET</v>
      </c>
      <c r="O868" s="26" t="str">
        <f t="array" ref="O868">_xlfn.XLOOKUP(L:L,'Overall Progress'!L:L,'Overall Progress'!L:L,"NOT YET")</f>
        <v>NOT YET</v>
      </c>
      <c r="P868" s="26"/>
      <c r="Q868" s="26"/>
      <c r="R868" s="26"/>
      <c r="S868" s="26"/>
      <c r="T868" s="26"/>
      <c r="U868" s="26"/>
      <c r="V868" s="26"/>
      <c r="W868" s="26"/>
      <c r="X868" s="26"/>
      <c r="Y868" s="26"/>
      <c r="Z868" s="26"/>
    </row>
    <row r="869" hidden="1" customHeight="1" spans="1:26">
      <c r="A869" s="27">
        <v>1389</v>
      </c>
      <c r="B869" s="27">
        <v>55</v>
      </c>
      <c r="C869" s="27" t="s">
        <v>1720</v>
      </c>
      <c r="D869" s="27" t="s">
        <v>2716</v>
      </c>
      <c r="E869" s="27" t="s">
        <v>2889</v>
      </c>
      <c r="F869" s="27" t="str">
        <f t="shared" si="0"/>
        <v>Negative Traits Latin Origin</v>
      </c>
      <c r="G869" s="27">
        <f t="shared" si="1"/>
        <v>11</v>
      </c>
      <c r="H869" s="27" t="s">
        <v>3750</v>
      </c>
      <c r="I869" s="27"/>
      <c r="J869" s="27"/>
      <c r="K869" s="27"/>
      <c r="L869" s="27" t="str">
        <f t="shared" si="2"/>
        <v>T</v>
      </c>
      <c r="M869" s="27" t="str">
        <f>IFERROR(__xludf.DUMMYFUNCTION("GOOGLETRANSLATE(C869,""EN"",""KN"")"),"ಪ್ರಕ್ಷುಬ್ಧ")</f>
        <v>ಪ್ರಕ್ಷುಬ್ಧ</v>
      </c>
      <c r="N869" s="27" t="str">
        <f t="array" ref="N869">_xlfn.XLOOKUP(B869,'Sets Progress'!I:I,'Sets Progress'!I:I,"NOT YET")</f>
        <v>NOT YET</v>
      </c>
      <c r="O869" s="27" t="str">
        <f t="array" ref="O869">_xlfn.XLOOKUP(L:L,'Overall Progress'!L:L,'Overall Progress'!L:L,"NOT YET")</f>
        <v>NOT YET</v>
      </c>
      <c r="P869" s="27"/>
      <c r="Q869" s="27"/>
      <c r="R869" s="27"/>
      <c r="S869" s="27"/>
      <c r="T869" s="27"/>
      <c r="U869" s="27"/>
      <c r="V869" s="27"/>
      <c r="W869" s="27"/>
      <c r="X869" s="27"/>
      <c r="Y869" s="27"/>
      <c r="Z869" s="27"/>
    </row>
    <row r="870" hidden="1" customHeight="1" spans="1:26">
      <c r="A870" s="26">
        <v>1423</v>
      </c>
      <c r="B870" s="26">
        <v>55</v>
      </c>
      <c r="C870" s="26" t="s">
        <v>1754</v>
      </c>
      <c r="D870" s="26" t="s">
        <v>1721</v>
      </c>
      <c r="E870" s="26" t="s">
        <v>2889</v>
      </c>
      <c r="F870" s="26" t="str">
        <f t="shared" si="0"/>
        <v>Temporal Latin Origin</v>
      </c>
      <c r="G870" s="26">
        <f t="shared" si="1"/>
        <v>9</v>
      </c>
      <c r="H870" s="26" t="s">
        <v>3751</v>
      </c>
      <c r="I870" s="26"/>
      <c r="J870" s="26"/>
      <c r="K870" s="26"/>
      <c r="L870" s="26" t="str">
        <f t="shared" si="2"/>
        <v>T</v>
      </c>
      <c r="M870" s="26" t="str">
        <f>IFERROR(__xludf.DUMMYFUNCTION("GOOGLETRANSLATE(C870,""EN"",""KN"")"),"ಟ್ರೆಂಚಂಟ್")</f>
        <v>ಟ್ರೆಂಚಂಟ್</v>
      </c>
      <c r="N870" s="26" t="str">
        <f t="array" ref="N870">_xlfn.XLOOKUP(B870,'Sets Progress'!I:I,'Sets Progress'!I:I,"NOT YET")</f>
        <v>NOT YET</v>
      </c>
      <c r="O870" s="26" t="str">
        <f t="array" ref="O870">_xlfn.XLOOKUP(L:L,'Overall Progress'!L:L,'Overall Progress'!L:L,"NOT YET")</f>
        <v>NOT YET</v>
      </c>
      <c r="P870" s="26"/>
      <c r="Q870" s="26"/>
      <c r="R870" s="26"/>
      <c r="S870" s="26"/>
      <c r="T870" s="26"/>
      <c r="U870" s="26"/>
      <c r="V870" s="26"/>
      <c r="W870" s="26"/>
      <c r="X870" s="26"/>
      <c r="Y870" s="26"/>
      <c r="Z870" s="26"/>
    </row>
    <row r="871" hidden="1" customHeight="1" spans="1:26">
      <c r="A871" s="27">
        <v>1445</v>
      </c>
      <c r="B871" s="27">
        <v>55</v>
      </c>
      <c r="C871" s="27" t="s">
        <v>1773</v>
      </c>
      <c r="D871" s="27" t="s">
        <v>2716</v>
      </c>
      <c r="E871" s="27" t="s">
        <v>2908</v>
      </c>
      <c r="F871" s="27" t="str">
        <f t="shared" si="0"/>
        <v>Negative Traits Old English Origin</v>
      </c>
      <c r="G871" s="27">
        <f t="shared" si="1"/>
        <v>10</v>
      </c>
      <c r="H871" s="27" t="s">
        <v>3752</v>
      </c>
      <c r="I871" s="27"/>
      <c r="J871" s="27"/>
      <c r="K871" s="27"/>
      <c r="L871" s="27" t="str">
        <f t="shared" si="2"/>
        <v>U</v>
      </c>
      <c r="M871" s="27" t="str">
        <f>IFERROR(__xludf.DUMMYFUNCTION("GOOGLETRANSLATE(C871,""EN"",""KN"")"),"ವಿಮರ್ಶಾತ್ಮಕವಲ್ಲದ")</f>
        <v>ವಿಮರ್ಶಾತ್ಮಕವಲ್ಲದ</v>
      </c>
      <c r="N871" s="27" t="str">
        <f t="array" ref="N871">_xlfn.XLOOKUP(B871,'Sets Progress'!I:I,'Sets Progress'!I:I,"NOT YET")</f>
        <v>NOT YET</v>
      </c>
      <c r="O871" s="27" t="str">
        <f t="array" ref="O871">_xlfn.XLOOKUP(L:L,'Overall Progress'!L:L,'Overall Progress'!L:L,"NOT YET")</f>
        <v>NOT YET</v>
      </c>
      <c r="P871" s="27"/>
      <c r="Q871" s="27"/>
      <c r="R871" s="27"/>
      <c r="S871" s="27"/>
      <c r="T871" s="27"/>
      <c r="U871" s="27"/>
      <c r="V871" s="27"/>
      <c r="W871" s="27"/>
      <c r="X871" s="27"/>
      <c r="Y871" s="27"/>
      <c r="Z871" s="27"/>
    </row>
    <row r="872" hidden="1" customHeight="1" spans="1:26">
      <c r="A872" s="26">
        <v>100</v>
      </c>
      <c r="B872" s="26">
        <v>56</v>
      </c>
      <c r="C872" s="26" t="s">
        <v>451</v>
      </c>
      <c r="D872" s="26" t="s">
        <v>2928</v>
      </c>
      <c r="E872" s="26" t="s">
        <v>2889</v>
      </c>
      <c r="F872" s="26" t="str">
        <f t="shared" si="0"/>
        <v>Philosophical Latin Origin</v>
      </c>
      <c r="G872" s="26">
        <f t="shared" si="1"/>
        <v>9</v>
      </c>
      <c r="H872" s="26" t="s">
        <v>3753</v>
      </c>
      <c r="I872" s="26"/>
      <c r="J872" s="26"/>
      <c r="K872" s="26"/>
      <c r="L872" s="26" t="str">
        <f t="shared" si="2"/>
        <v>A</v>
      </c>
      <c r="M872" s="26" t="str">
        <f>IFERROR(__xludf.DUMMYFUNCTION("GOOGLETRANSLATE(C872,""EN"",""KN"")"),"ನಿರಂಕುಶ")</f>
        <v>ನಿರಂಕುಶ</v>
      </c>
      <c r="N872" s="26">
        <f t="array" ref="N872">_xlfn.XLOOKUP(B872,'Sets Progress'!I:I,'Sets Progress'!I:I,"NOT YET")</f>
        <v>56</v>
      </c>
      <c r="O872" s="26" t="str">
        <f t="array" ref="O872">_xlfn.XLOOKUP(L:L,'Overall Progress'!L:L,'Overall Progress'!L:L,"NOT YET")</f>
        <v>NOT YET</v>
      </c>
      <c r="P872" s="26"/>
      <c r="Q872" s="26"/>
      <c r="R872" s="26"/>
      <c r="S872" s="26"/>
      <c r="T872" s="26"/>
      <c r="U872" s="26"/>
      <c r="V872" s="26"/>
      <c r="W872" s="26"/>
      <c r="X872" s="26"/>
      <c r="Y872" s="26"/>
      <c r="Z872" s="26"/>
    </row>
    <row r="873" hidden="1" customHeight="1" spans="1:26">
      <c r="A873" s="27">
        <v>134</v>
      </c>
      <c r="B873" s="27">
        <v>56</v>
      </c>
      <c r="C873" s="27" t="s">
        <v>483</v>
      </c>
      <c r="D873" s="27" t="s">
        <v>2928</v>
      </c>
      <c r="E873" s="27" t="s">
        <v>2889</v>
      </c>
      <c r="F873" s="27" t="str">
        <f t="shared" si="0"/>
        <v>Philosophical Latin Origin</v>
      </c>
      <c r="G873" s="27">
        <f t="shared" si="1"/>
        <v>9</v>
      </c>
      <c r="H873" s="27" t="s">
        <v>3754</v>
      </c>
      <c r="I873" s="27"/>
      <c r="J873" s="27"/>
      <c r="K873" s="27"/>
      <c r="L873" s="27" t="str">
        <f t="shared" si="2"/>
        <v>A</v>
      </c>
      <c r="M873" s="27" t="str">
        <f>IFERROR(__xludf.DUMMYFUNCTION("GOOGLETRANSLATE(C873,""EN"",""KN"")"),"ಸಹಾಯಕ")</f>
        <v>ಸಹಾಯಕ</v>
      </c>
      <c r="N873" s="27">
        <f t="array" ref="N873">_xlfn.XLOOKUP(B873,'Sets Progress'!I:I,'Sets Progress'!I:I,"NOT YET")</f>
        <v>56</v>
      </c>
      <c r="O873" s="27" t="str">
        <f t="array" ref="O873">_xlfn.XLOOKUP(L:L,'Overall Progress'!L:L,'Overall Progress'!L:L,"NOT YET")</f>
        <v>NOT YET</v>
      </c>
      <c r="P873" s="27"/>
      <c r="Q873" s="27"/>
      <c r="R873" s="27"/>
      <c r="S873" s="27"/>
      <c r="T873" s="27"/>
      <c r="U873" s="27"/>
      <c r="V873" s="27"/>
      <c r="W873" s="27"/>
      <c r="X873" s="27"/>
      <c r="Y873" s="27"/>
      <c r="Z873" s="27"/>
    </row>
    <row r="874" hidden="1" customHeight="1" spans="1:26">
      <c r="A874" s="26">
        <v>382</v>
      </c>
      <c r="B874" s="26">
        <v>56</v>
      </c>
      <c r="C874" s="26" t="s">
        <v>732</v>
      </c>
      <c r="D874" s="26" t="s">
        <v>1721</v>
      </c>
      <c r="E874" s="26" t="s">
        <v>2889</v>
      </c>
      <c r="F874" s="26" t="str">
        <f t="shared" si="0"/>
        <v>Temporal Latin Origin</v>
      </c>
      <c r="G874" s="26">
        <f t="shared" si="1"/>
        <v>9</v>
      </c>
      <c r="H874" s="26" t="s">
        <v>3755</v>
      </c>
      <c r="I874" s="26"/>
      <c r="J874" s="26"/>
      <c r="K874" s="26"/>
      <c r="L874" s="26" t="str">
        <f t="shared" si="2"/>
        <v>D</v>
      </c>
      <c r="M874" s="26" t="str">
        <f>IFERROR(__xludf.DUMMYFUNCTION("GOOGLETRANSLATE(C874,""EN"",""KN"")"),"ಅವಮಾನಕರ")</f>
        <v>ಅವಮಾನಕರ</v>
      </c>
      <c r="N874" s="26">
        <f t="array" ref="N874">_xlfn.XLOOKUP(B874,'Sets Progress'!I:I,'Sets Progress'!I:I,"NOT YET")</f>
        <v>56</v>
      </c>
      <c r="O874" s="26" t="str">
        <f t="array" ref="O874">_xlfn.XLOOKUP(L:L,'Overall Progress'!L:L,'Overall Progress'!L:L,"NOT YET")</f>
        <v>NOT YET</v>
      </c>
      <c r="P874" s="26"/>
      <c r="Q874" s="26"/>
      <c r="R874" s="26"/>
      <c r="S874" s="26"/>
      <c r="T874" s="26"/>
      <c r="U874" s="26"/>
      <c r="V874" s="26"/>
      <c r="W874" s="26"/>
      <c r="X874" s="26"/>
      <c r="Y874" s="26"/>
      <c r="Z874" s="26"/>
    </row>
    <row r="875" hidden="1" customHeight="1" spans="1:26">
      <c r="A875" s="27">
        <v>397</v>
      </c>
      <c r="B875" s="27">
        <v>56</v>
      </c>
      <c r="C875" s="27" t="s">
        <v>746</v>
      </c>
      <c r="D875" s="27" t="s">
        <v>2946</v>
      </c>
      <c r="E875" s="27" t="s">
        <v>2889</v>
      </c>
      <c r="F875" s="27" t="str">
        <f t="shared" si="0"/>
        <v>Emotional Latin Origin</v>
      </c>
      <c r="G875" s="27">
        <f t="shared" si="1"/>
        <v>9</v>
      </c>
      <c r="H875" s="27" t="s">
        <v>3756</v>
      </c>
      <c r="I875" s="27"/>
      <c r="J875" s="27"/>
      <c r="K875" s="27"/>
      <c r="L875" s="27" t="str">
        <f t="shared" si="2"/>
        <v>D</v>
      </c>
      <c r="M875" s="27" t="str">
        <f>IFERROR(__xludf.DUMMYFUNCTION("GOOGLETRANSLATE(C875,""EN"",""KN"")"),"ಡಿಫಿಡೆಂಟ್")</f>
        <v>ಡಿಫಿಡೆಂಟ್</v>
      </c>
      <c r="N875" s="27">
        <f t="array" ref="N875">_xlfn.XLOOKUP(B875,'Sets Progress'!I:I,'Sets Progress'!I:I,"NOT YET")</f>
        <v>56</v>
      </c>
      <c r="O875" s="27" t="str">
        <f t="array" ref="O875">_xlfn.XLOOKUP(L:L,'Overall Progress'!L:L,'Overall Progress'!L:L,"NOT YET")</f>
        <v>NOT YET</v>
      </c>
      <c r="P875" s="27"/>
      <c r="Q875" s="27"/>
      <c r="R875" s="27"/>
      <c r="S875" s="27"/>
      <c r="T875" s="27"/>
      <c r="U875" s="27"/>
      <c r="V875" s="27"/>
      <c r="W875" s="27"/>
      <c r="X875" s="27"/>
      <c r="Y875" s="27"/>
      <c r="Z875" s="27"/>
    </row>
    <row r="876" hidden="1" customHeight="1" spans="1:26">
      <c r="A876" s="26">
        <v>462</v>
      </c>
      <c r="B876" s="26">
        <v>56</v>
      </c>
      <c r="C876" s="26" t="s">
        <v>811</v>
      </c>
      <c r="D876" s="26" t="s">
        <v>2892</v>
      </c>
      <c r="E876" s="26" t="s">
        <v>2908</v>
      </c>
      <c r="F876" s="26" t="str">
        <f t="shared" si="0"/>
        <v>Spatial Old English Origin</v>
      </c>
      <c r="G876" s="26">
        <f t="shared" si="1"/>
        <v>5</v>
      </c>
      <c r="H876" s="26" t="s">
        <v>3757</v>
      </c>
      <c r="I876" s="26"/>
      <c r="J876" s="26"/>
      <c r="K876" s="26"/>
      <c r="L876" s="26" t="str">
        <f t="shared" si="2"/>
        <v>D</v>
      </c>
      <c r="M876" s="26" t="str">
        <f>IFERROR(__xludf.DUMMYFUNCTION("GOOGLETRANSLATE(C876,""EN"",""KN"")"),"ಕುಬ್ಜ")</f>
        <v>ಕುಬ್ಜ</v>
      </c>
      <c r="N876" s="26">
        <f t="array" ref="N876">_xlfn.XLOOKUP(B876,'Sets Progress'!I:I,'Sets Progress'!I:I,"NOT YET")</f>
        <v>56</v>
      </c>
      <c r="O876" s="26" t="str">
        <f t="array" ref="O876">_xlfn.XLOOKUP(L:L,'Overall Progress'!L:L,'Overall Progress'!L:L,"NOT YET")</f>
        <v>NOT YET</v>
      </c>
      <c r="P876" s="26"/>
      <c r="Q876" s="26"/>
      <c r="R876" s="26"/>
      <c r="S876" s="26"/>
      <c r="T876" s="26"/>
      <c r="U876" s="26"/>
      <c r="V876" s="26"/>
      <c r="W876" s="26"/>
      <c r="X876" s="26"/>
      <c r="Y876" s="26"/>
      <c r="Z876" s="26"/>
    </row>
    <row r="877" hidden="1" customHeight="1" spans="1:26">
      <c r="A877" s="27">
        <v>593</v>
      </c>
      <c r="B877" s="27">
        <v>56</v>
      </c>
      <c r="C877" s="27" t="s">
        <v>937</v>
      </c>
      <c r="D877" s="27" t="s">
        <v>2892</v>
      </c>
      <c r="E877" s="27" t="s">
        <v>2896</v>
      </c>
      <c r="F877" s="27" t="str">
        <f t="shared" si="0"/>
        <v>Spatial Old French Origin</v>
      </c>
      <c r="G877" s="27">
        <f t="shared" si="1"/>
        <v>5</v>
      </c>
      <c r="H877" s="27" t="s">
        <v>3758</v>
      </c>
      <c r="I877" s="27"/>
      <c r="J877" s="27"/>
      <c r="K877" s="27"/>
      <c r="L877" s="27" t="str">
        <f t="shared" si="2"/>
        <v>F</v>
      </c>
      <c r="M877" s="27" t="str">
        <f>IFERROR(__xludf.DUMMYFUNCTION("GOOGLETRANSLATE(C877,""EN"",""KN"")"),"ಫೀಂಟ್")</f>
        <v>ಫೀಂಟ್</v>
      </c>
      <c r="N877" s="27">
        <f t="array" ref="N877">_xlfn.XLOOKUP(B877,'Sets Progress'!I:I,'Sets Progress'!I:I,"NOT YET")</f>
        <v>56</v>
      </c>
      <c r="O877" s="27" t="str">
        <f t="array" ref="O877">_xlfn.XLOOKUP(L:L,'Overall Progress'!L:L,'Overall Progress'!L:L,"NOT YET")</f>
        <v>NOT YET</v>
      </c>
      <c r="P877" s="27"/>
      <c r="Q877" s="27"/>
      <c r="R877" s="27"/>
      <c r="S877" s="27"/>
      <c r="T877" s="27"/>
      <c r="U877" s="27"/>
      <c r="V877" s="27"/>
      <c r="W877" s="27"/>
      <c r="X877" s="27"/>
      <c r="Y877" s="27"/>
      <c r="Z877" s="27"/>
    </row>
    <row r="878" hidden="1" customHeight="1" spans="1:26">
      <c r="A878" s="26">
        <v>699</v>
      </c>
      <c r="B878" s="26">
        <v>56</v>
      </c>
      <c r="C878" s="26" t="s">
        <v>1041</v>
      </c>
      <c r="D878" s="26" t="s">
        <v>2946</v>
      </c>
      <c r="E878" s="26" t="s">
        <v>2893</v>
      </c>
      <c r="F878" s="26" t="str">
        <f t="shared" si="0"/>
        <v>Emotional Greek Origin</v>
      </c>
      <c r="G878" s="26">
        <f t="shared" si="1"/>
        <v>10</v>
      </c>
      <c r="H878" s="26" t="s">
        <v>3759</v>
      </c>
      <c r="I878" s="26"/>
      <c r="J878" s="26"/>
      <c r="K878" s="26"/>
      <c r="L878" s="26" t="str">
        <f t="shared" si="2"/>
        <v>H</v>
      </c>
      <c r="M878" s="26" t="str">
        <f>IFERROR(__xludf.DUMMYFUNCTION("GOOGLETRANSLATE(C878,""EN"",""KN"")"),"ಹಿಸ್ಟರಿಕಲ್")</f>
        <v>ಹಿಸ್ಟರಿಕಲ್</v>
      </c>
      <c r="N878" s="26">
        <f t="array" ref="N878">_xlfn.XLOOKUP(B878,'Sets Progress'!I:I,'Sets Progress'!I:I,"NOT YET")</f>
        <v>56</v>
      </c>
      <c r="O878" s="26" t="str">
        <f t="array" ref="O878">_xlfn.XLOOKUP(L:L,'Overall Progress'!L:L,'Overall Progress'!L:L,"NOT YET")</f>
        <v>NOT YET</v>
      </c>
      <c r="P878" s="26"/>
      <c r="Q878" s="26"/>
      <c r="R878" s="26"/>
      <c r="S878" s="26"/>
      <c r="T878" s="26"/>
      <c r="U878" s="26"/>
      <c r="V878" s="26"/>
      <c r="W878" s="26"/>
      <c r="X878" s="26"/>
      <c r="Y878" s="26"/>
      <c r="Z878" s="26"/>
    </row>
    <row r="879" hidden="1" customHeight="1" spans="1:26">
      <c r="A879" s="27">
        <v>744</v>
      </c>
      <c r="B879" s="27">
        <v>56</v>
      </c>
      <c r="C879" s="27" t="s">
        <v>1085</v>
      </c>
      <c r="D879" s="27" t="s">
        <v>1721</v>
      </c>
      <c r="E879" s="27" t="s">
        <v>2889</v>
      </c>
      <c r="F879" s="27" t="str">
        <f t="shared" si="0"/>
        <v>Temporal Latin Origin</v>
      </c>
      <c r="G879" s="27">
        <f t="shared" si="1"/>
        <v>9</v>
      </c>
      <c r="H879" s="27" t="s">
        <v>3760</v>
      </c>
      <c r="I879" s="27"/>
      <c r="J879" s="27"/>
      <c r="K879" s="27"/>
      <c r="L879" s="27" t="str">
        <f t="shared" si="2"/>
        <v>I</v>
      </c>
      <c r="M879" s="27" t="str">
        <f>IFERROR(__xludf.DUMMYFUNCTION("GOOGLETRANSLATE(C879,""EN"",""KN"")"),"ನಿಲ್ಲದ")</f>
        <v>ನಿಲ್ಲದ</v>
      </c>
      <c r="N879" s="27">
        <f t="array" ref="N879">_xlfn.XLOOKUP(B879,'Sets Progress'!I:I,'Sets Progress'!I:I,"NOT YET")</f>
        <v>56</v>
      </c>
      <c r="O879" s="27" t="str">
        <f t="array" ref="O879">_xlfn.XLOOKUP(L:L,'Overall Progress'!L:L,'Overall Progress'!L:L,"NOT YET")</f>
        <v>NOT YET</v>
      </c>
      <c r="P879" s="27"/>
      <c r="Q879" s="27"/>
      <c r="R879" s="27"/>
      <c r="S879" s="27"/>
      <c r="T879" s="27"/>
      <c r="U879" s="27"/>
      <c r="V879" s="27"/>
      <c r="W879" s="27"/>
      <c r="X879" s="27"/>
      <c r="Y879" s="27"/>
      <c r="Z879" s="27"/>
    </row>
    <row r="880" hidden="1" customHeight="1" spans="1:26">
      <c r="A880" s="26">
        <v>800</v>
      </c>
      <c r="B880" s="26">
        <v>56</v>
      </c>
      <c r="C880" s="26" t="s">
        <v>1140</v>
      </c>
      <c r="D880" s="26" t="s">
        <v>1721</v>
      </c>
      <c r="E880" s="26" t="s">
        <v>2889</v>
      </c>
      <c r="F880" s="26" t="str">
        <f t="shared" si="0"/>
        <v>Temporal Latin Origin</v>
      </c>
      <c r="G880" s="26">
        <f t="shared" si="1"/>
        <v>12</v>
      </c>
      <c r="H880" s="26" t="s">
        <v>3761</v>
      </c>
      <c r="I880" s="26"/>
      <c r="J880" s="26"/>
      <c r="K880" s="26"/>
      <c r="L880" s="26" t="str">
        <f t="shared" si="2"/>
        <v>I</v>
      </c>
      <c r="M880" s="26" t="str">
        <f>IFERROR(__xludf.DUMMYFUNCTION("GOOGLETRANSLATE(C880,""EN"",""KN"")"),"ಅರ್ಥಗರ್ಭಿತ")</f>
        <v>ಅರ್ಥಗರ್ಭಿತ</v>
      </c>
      <c r="N880" s="26">
        <f t="array" ref="N880">_xlfn.XLOOKUP(B880,'Sets Progress'!I:I,'Sets Progress'!I:I,"NOT YET")</f>
        <v>56</v>
      </c>
      <c r="O880" s="26" t="str">
        <f t="array" ref="O880">_xlfn.XLOOKUP(L:L,'Overall Progress'!L:L,'Overall Progress'!L:L,"NOT YET")</f>
        <v>NOT YET</v>
      </c>
      <c r="P880" s="26"/>
      <c r="Q880" s="26"/>
      <c r="R880" s="26"/>
      <c r="S880" s="26"/>
      <c r="T880" s="26"/>
      <c r="U880" s="26"/>
      <c r="V880" s="26"/>
      <c r="W880" s="26"/>
      <c r="X880" s="26"/>
      <c r="Y880" s="26"/>
      <c r="Z880" s="26"/>
    </row>
    <row r="881" hidden="1" customHeight="1" spans="1:26">
      <c r="A881" s="27">
        <v>833</v>
      </c>
      <c r="B881" s="27">
        <v>56</v>
      </c>
      <c r="C881" s="27" t="s">
        <v>1173</v>
      </c>
      <c r="D881" s="27" t="s">
        <v>1721</v>
      </c>
      <c r="E881" s="27" t="s">
        <v>2889</v>
      </c>
      <c r="F881" s="27" t="str">
        <f t="shared" si="0"/>
        <v>Temporal Latin Origin</v>
      </c>
      <c r="G881" s="27">
        <f t="shared" si="1"/>
        <v>12</v>
      </c>
      <c r="H881" s="27" t="s">
        <v>3762</v>
      </c>
      <c r="I881" s="27"/>
      <c r="J881" s="27"/>
      <c r="K881" s="27"/>
      <c r="L881" s="27" t="str">
        <f t="shared" si="2"/>
        <v>I</v>
      </c>
      <c r="M881" s="27" t="str">
        <f>IFERROR(__xludf.DUMMYFUNCTION("GOOGLETRANSLATE(C881,""EN"",""KN"")"),"ಸರಿಪಡಿಸಲಾಗದ")</f>
        <v>ಸರಿಪಡಿಸಲಾಗದ</v>
      </c>
      <c r="N881" s="27">
        <f t="array" ref="N881">_xlfn.XLOOKUP(B881,'Sets Progress'!I:I,'Sets Progress'!I:I,"NOT YET")</f>
        <v>56</v>
      </c>
      <c r="O881" s="27" t="str">
        <f t="array" ref="O881">_xlfn.XLOOKUP(L:L,'Overall Progress'!L:L,'Overall Progress'!L:L,"NOT YET")</f>
        <v>NOT YET</v>
      </c>
      <c r="P881" s="27"/>
      <c r="Q881" s="27"/>
      <c r="R881" s="27"/>
      <c r="S881" s="27"/>
      <c r="T881" s="27"/>
      <c r="U881" s="27"/>
      <c r="V881" s="27"/>
      <c r="W881" s="27"/>
      <c r="X881" s="27"/>
      <c r="Y881" s="27"/>
      <c r="Z881" s="27"/>
    </row>
    <row r="882" hidden="1" customHeight="1" spans="1:26">
      <c r="A882" s="26">
        <v>1027</v>
      </c>
      <c r="B882" s="26">
        <v>56</v>
      </c>
      <c r="C882" s="26" t="s">
        <v>1362</v>
      </c>
      <c r="D882" s="26" t="s">
        <v>2716</v>
      </c>
      <c r="E882" s="26" t="s">
        <v>2889</v>
      </c>
      <c r="F882" s="26" t="str">
        <f t="shared" si="0"/>
        <v>Negative Traits Latin Origin</v>
      </c>
      <c r="G882" s="26">
        <f t="shared" si="1"/>
        <v>9</v>
      </c>
      <c r="H882" s="26" t="s">
        <v>3763</v>
      </c>
      <c r="I882" s="26"/>
      <c r="J882" s="26"/>
      <c r="K882" s="26"/>
      <c r="L882" s="26" t="str">
        <f t="shared" si="2"/>
        <v>P</v>
      </c>
      <c r="M882" s="26" t="str">
        <f>IFERROR(__xludf.DUMMYFUNCTION("GOOGLETRANSLATE(C882,""EN"",""KN"")"),"ಪ್ರೋತ್ಸಾಹಿಸಿ")</f>
        <v>ಪ್ರೋತ್ಸಾಹಿಸಿ</v>
      </c>
      <c r="N882" s="26">
        <f t="array" ref="N882">_xlfn.XLOOKUP(B882,'Sets Progress'!I:I,'Sets Progress'!I:I,"NOT YET")</f>
        <v>56</v>
      </c>
      <c r="O882" s="26" t="str">
        <f t="array" ref="O882">_xlfn.XLOOKUP(L:L,'Overall Progress'!L:L,'Overall Progress'!L:L,"NOT YET")</f>
        <v>NOT YET</v>
      </c>
      <c r="P882" s="26"/>
      <c r="Q882" s="26"/>
      <c r="R882" s="26"/>
      <c r="S882" s="26"/>
      <c r="T882" s="26"/>
      <c r="U882" s="26"/>
      <c r="V882" s="26"/>
      <c r="W882" s="26"/>
      <c r="X882" s="26"/>
      <c r="Y882" s="26"/>
      <c r="Z882" s="26"/>
    </row>
    <row r="883" hidden="1" customHeight="1" spans="1:26">
      <c r="A883" s="27">
        <v>1067</v>
      </c>
      <c r="B883" s="27">
        <v>56</v>
      </c>
      <c r="C883" s="27" t="s">
        <v>1402</v>
      </c>
      <c r="D883" s="27" t="s">
        <v>2717</v>
      </c>
      <c r="E883" s="27" t="s">
        <v>2908</v>
      </c>
      <c r="F883" s="27" t="str">
        <f t="shared" si="0"/>
        <v>Positive Traits Old English Origin</v>
      </c>
      <c r="G883" s="27">
        <f t="shared" si="1"/>
        <v>5</v>
      </c>
      <c r="H883" s="27" t="s">
        <v>3764</v>
      </c>
      <c r="I883" s="27"/>
      <c r="J883" s="27"/>
      <c r="K883" s="27"/>
      <c r="L883" s="27" t="str">
        <f t="shared" si="2"/>
        <v>P</v>
      </c>
      <c r="M883" s="27" t="str">
        <f>IFERROR(__xludf.DUMMYFUNCTION("GOOGLETRANSLATE(C883,""EN"",""KN"")"),"ಪಿಥಿ")</f>
        <v>ಪಿಥಿ</v>
      </c>
      <c r="N883" s="27">
        <f t="array" ref="N883">_xlfn.XLOOKUP(B883,'Sets Progress'!I:I,'Sets Progress'!I:I,"NOT YET")</f>
        <v>56</v>
      </c>
      <c r="O883" s="27" t="str">
        <f t="array" ref="O883">_xlfn.XLOOKUP(L:L,'Overall Progress'!L:L,'Overall Progress'!L:L,"NOT YET")</f>
        <v>NOT YET</v>
      </c>
      <c r="P883" s="27"/>
      <c r="Q883" s="27"/>
      <c r="R883" s="27"/>
      <c r="S883" s="27"/>
      <c r="T883" s="27"/>
      <c r="U883" s="27"/>
      <c r="V883" s="27"/>
      <c r="W883" s="27"/>
      <c r="X883" s="27"/>
      <c r="Y883" s="27"/>
      <c r="Z883" s="27"/>
    </row>
    <row r="884" hidden="1" customHeight="1" spans="1:26">
      <c r="A884" s="26">
        <v>1095</v>
      </c>
      <c r="B884" s="26">
        <v>56</v>
      </c>
      <c r="C884" s="26" t="s">
        <v>236</v>
      </c>
      <c r="D884" s="26" t="s">
        <v>1721</v>
      </c>
      <c r="E884" s="26" t="s">
        <v>2889</v>
      </c>
      <c r="F884" s="26" t="str">
        <f t="shared" si="0"/>
        <v>Temporal Latin Origin</v>
      </c>
      <c r="G884" s="26">
        <f t="shared" si="1"/>
        <v>11</v>
      </c>
      <c r="H884" s="26" t="s">
        <v>3765</v>
      </c>
      <c r="I884" s="26"/>
      <c r="J884" s="26"/>
      <c r="K884" s="26"/>
      <c r="L884" s="26" t="str">
        <f t="shared" si="2"/>
        <v>P</v>
      </c>
      <c r="M884" s="26" t="str">
        <f>IFERROR(__xludf.DUMMYFUNCTION("GOOGLETRANSLATE(C884,""EN"",""KN"")"),"ಅವಕ್ಷೇಪ")</f>
        <v>ಅವಕ್ಷೇಪ</v>
      </c>
      <c r="N884" s="26">
        <f t="array" ref="N884">_xlfn.XLOOKUP(B884,'Sets Progress'!I:I,'Sets Progress'!I:I,"NOT YET")</f>
        <v>56</v>
      </c>
      <c r="O884" s="26" t="str">
        <f t="array" ref="O884">_xlfn.XLOOKUP(L:L,'Overall Progress'!L:L,'Overall Progress'!L:L,"NOT YET")</f>
        <v>NOT YET</v>
      </c>
      <c r="P884" s="26"/>
      <c r="Q884" s="26"/>
      <c r="R884" s="26"/>
      <c r="S884" s="26"/>
      <c r="T884" s="26"/>
      <c r="U884" s="26"/>
      <c r="V884" s="26"/>
      <c r="W884" s="26"/>
      <c r="X884" s="26"/>
      <c r="Y884" s="26"/>
      <c r="Z884" s="26"/>
    </row>
    <row r="885" hidden="1" customHeight="1" spans="1:26">
      <c r="A885" s="27">
        <v>1204</v>
      </c>
      <c r="B885" s="27">
        <v>56</v>
      </c>
      <c r="C885" s="27" t="s">
        <v>1535</v>
      </c>
      <c r="D885" s="27" t="s">
        <v>1721</v>
      </c>
      <c r="E885" s="27" t="s">
        <v>2889</v>
      </c>
      <c r="F885" s="27" t="str">
        <f t="shared" si="0"/>
        <v>Temporal Latin Origin</v>
      </c>
      <c r="G885" s="27">
        <f t="shared" si="1"/>
        <v>6</v>
      </c>
      <c r="H885" s="27" t="s">
        <v>3766</v>
      </c>
      <c r="I885" s="27"/>
      <c r="J885" s="27"/>
      <c r="K885" s="27"/>
      <c r="L885" s="27" t="str">
        <f t="shared" si="2"/>
        <v>R</v>
      </c>
      <c r="M885" s="27" t="str">
        <f>IFERROR(__xludf.DUMMYFUNCTION("GOOGLETRANSLATE(C885,""EN"",""KN"")"),"ನಿರೂಪಿಸಿ")</f>
        <v>ನಿರೂಪಿಸಿ</v>
      </c>
      <c r="N885" s="27">
        <f t="array" ref="N885">_xlfn.XLOOKUP(B885,'Sets Progress'!I:I,'Sets Progress'!I:I,"NOT YET")</f>
        <v>56</v>
      </c>
      <c r="O885" s="27" t="str">
        <f t="array" ref="O885">_xlfn.XLOOKUP(L:L,'Overall Progress'!L:L,'Overall Progress'!L:L,"NOT YET")</f>
        <v>NOT YET</v>
      </c>
      <c r="P885" s="27"/>
      <c r="Q885" s="27"/>
      <c r="R885" s="27"/>
      <c r="S885" s="27"/>
      <c r="T885" s="27"/>
      <c r="U885" s="27"/>
      <c r="V885" s="27"/>
      <c r="W885" s="27"/>
      <c r="X885" s="27"/>
      <c r="Y885" s="27"/>
      <c r="Z885" s="27"/>
    </row>
    <row r="886" hidden="1" customHeight="1" spans="1:26">
      <c r="A886" s="26">
        <v>1300</v>
      </c>
      <c r="B886" s="26">
        <v>56</v>
      </c>
      <c r="C886" s="26" t="s">
        <v>1631</v>
      </c>
      <c r="D886" s="26" t="s">
        <v>2717</v>
      </c>
      <c r="E886" s="26" t="s">
        <v>2896</v>
      </c>
      <c r="F886" s="26" t="str">
        <f t="shared" si="0"/>
        <v>Positive Traits Old French Origin</v>
      </c>
      <c r="G886" s="26">
        <f t="shared" si="1"/>
        <v>8</v>
      </c>
      <c r="H886" s="26" t="s">
        <v>3767</v>
      </c>
      <c r="I886" s="26"/>
      <c r="J886" s="26"/>
      <c r="K886" s="26"/>
      <c r="L886" s="26" t="str">
        <f t="shared" si="2"/>
        <v>S</v>
      </c>
      <c r="M886" s="26" t="str">
        <f>IFERROR(__xludf.DUMMYFUNCTION("GOOGLETRANSLATE(C886,""EN"",""KN"")"),"ಸಮಚಿತ್ತತೆ")</f>
        <v>ಸಮಚಿತ್ತತೆ</v>
      </c>
      <c r="N886" s="26">
        <f t="array" ref="N886">_xlfn.XLOOKUP(B886,'Sets Progress'!I:I,'Sets Progress'!I:I,"NOT YET")</f>
        <v>56</v>
      </c>
      <c r="O886" s="26" t="str">
        <f t="array" ref="O886">_xlfn.XLOOKUP(L:L,'Overall Progress'!L:L,'Overall Progress'!L:L,"NOT YET")</f>
        <v>NOT YET</v>
      </c>
      <c r="P886" s="26"/>
      <c r="Q886" s="26"/>
      <c r="R886" s="26"/>
      <c r="S886" s="26"/>
      <c r="T886" s="26"/>
      <c r="U886" s="26"/>
      <c r="V886" s="26"/>
      <c r="W886" s="26"/>
      <c r="X886" s="26"/>
      <c r="Y886" s="26"/>
      <c r="Z886" s="26"/>
    </row>
    <row r="887" hidden="1" customHeight="1" spans="1:26">
      <c r="A887" s="27">
        <v>1309</v>
      </c>
      <c r="B887" s="27">
        <v>56</v>
      </c>
      <c r="C887" s="27" t="s">
        <v>1640</v>
      </c>
      <c r="D887" s="27" t="s">
        <v>2717</v>
      </c>
      <c r="E887" s="27" t="s">
        <v>2908</v>
      </c>
      <c r="F887" s="27" t="str">
        <f t="shared" si="0"/>
        <v>Positive Traits Old English Origin</v>
      </c>
      <c r="G887" s="27">
        <f t="shared" si="1"/>
        <v>7</v>
      </c>
      <c r="H887" s="27" t="s">
        <v>3768</v>
      </c>
      <c r="I887" s="27"/>
      <c r="J887" s="27"/>
      <c r="K887" s="27"/>
      <c r="L887" s="27" t="str">
        <f t="shared" si="2"/>
        <v>S</v>
      </c>
      <c r="M887" s="27" t="str">
        <f>IFERROR(__xludf.DUMMYFUNCTION("GOOGLETRANSLATE(C887,""EN"",""KN"")"),"ಉಳಿಸುವ")</f>
        <v>ಉಳಿಸುವ</v>
      </c>
      <c r="N887" s="27">
        <f t="array" ref="N887">_xlfn.XLOOKUP(B887,'Sets Progress'!I:I,'Sets Progress'!I:I,"NOT YET")</f>
        <v>56</v>
      </c>
      <c r="O887" s="27" t="str">
        <f t="array" ref="O887">_xlfn.XLOOKUP(L:L,'Overall Progress'!L:L,'Overall Progress'!L:L,"NOT YET")</f>
        <v>NOT YET</v>
      </c>
      <c r="P887" s="27"/>
      <c r="Q887" s="27"/>
      <c r="R887" s="27"/>
      <c r="S887" s="27"/>
      <c r="T887" s="27"/>
      <c r="U887" s="27"/>
      <c r="V887" s="27"/>
      <c r="W887" s="27"/>
      <c r="X887" s="27"/>
      <c r="Y887" s="27"/>
      <c r="Z887" s="27"/>
    </row>
    <row r="888" hidden="1" customHeight="1" spans="1:26">
      <c r="A888" s="26">
        <v>1344</v>
      </c>
      <c r="B888" s="26">
        <v>56</v>
      </c>
      <c r="C888" s="26" t="s">
        <v>1675</v>
      </c>
      <c r="D888" s="26" t="s">
        <v>1721</v>
      </c>
      <c r="E888" s="26" t="s">
        <v>2889</v>
      </c>
      <c r="F888" s="26" t="str">
        <f t="shared" si="0"/>
        <v>Temporal Latin Origin</v>
      </c>
      <c r="G888" s="26">
        <f t="shared" si="1"/>
        <v>7</v>
      </c>
      <c r="H888" s="26" t="s">
        <v>3769</v>
      </c>
      <c r="I888" s="26"/>
      <c r="J888" s="26"/>
      <c r="K888" s="26"/>
      <c r="L888" s="26" t="str">
        <f t="shared" si="2"/>
        <v>S</v>
      </c>
      <c r="M888" s="26" t="str">
        <f>IFERROR(__xludf.DUMMYFUNCTION("GOOGLETRANSLATE(C888,""EN"",""KN"")"),"ಉಪವಿಭಾಗ")</f>
        <v>ಉಪವಿಭಾಗ</v>
      </c>
      <c r="N888" s="26">
        <f t="array" ref="N888">_xlfn.XLOOKUP(B888,'Sets Progress'!I:I,'Sets Progress'!I:I,"NOT YET")</f>
        <v>56</v>
      </c>
      <c r="O888" s="26" t="str">
        <f t="array" ref="O888">_xlfn.XLOOKUP(L:L,'Overall Progress'!L:L,'Overall Progress'!L:L,"NOT YET")</f>
        <v>NOT YET</v>
      </c>
      <c r="P888" s="26"/>
      <c r="Q888" s="26"/>
      <c r="R888" s="26"/>
      <c r="S888" s="26"/>
      <c r="T888" s="26"/>
      <c r="U888" s="26"/>
      <c r="V888" s="26"/>
      <c r="W888" s="26"/>
      <c r="X888" s="26"/>
      <c r="Y888" s="26"/>
      <c r="Z888" s="26"/>
    </row>
    <row r="889" hidden="1" customHeight="1" spans="1:26">
      <c r="A889" s="27">
        <v>1369</v>
      </c>
      <c r="B889" s="27">
        <v>56</v>
      </c>
      <c r="C889" s="27" t="s">
        <v>1700</v>
      </c>
      <c r="D889" s="27" t="s">
        <v>2716</v>
      </c>
      <c r="E889" s="27" t="s">
        <v>2893</v>
      </c>
      <c r="F889" s="27" t="str">
        <f t="shared" si="0"/>
        <v>Negative Traits Greek Origin</v>
      </c>
      <c r="G889" s="27">
        <f t="shared" si="1"/>
        <v>9</v>
      </c>
      <c r="H889" s="27" t="s">
        <v>3770</v>
      </c>
      <c r="I889" s="27"/>
      <c r="J889" s="27"/>
      <c r="K889" s="27"/>
      <c r="L889" s="27" t="str">
        <f t="shared" si="2"/>
        <v>S</v>
      </c>
      <c r="M889" s="27" t="str">
        <f>IFERROR(__xludf.DUMMYFUNCTION("GOOGLETRANSLATE(C889,""EN"",""KN"")"),"ಸೈಕೋಫಾಂಟ್")</f>
        <v>ಸೈಕೋಫಾಂಟ್</v>
      </c>
      <c r="N889" s="27">
        <f t="array" ref="N889">_xlfn.XLOOKUP(B889,'Sets Progress'!I:I,'Sets Progress'!I:I,"NOT YET")</f>
        <v>56</v>
      </c>
      <c r="O889" s="27" t="str">
        <f t="array" ref="O889">_xlfn.XLOOKUP(L:L,'Overall Progress'!L:L,'Overall Progress'!L:L,"NOT YET")</f>
        <v>NOT YET</v>
      </c>
      <c r="P889" s="27"/>
      <c r="Q889" s="27"/>
      <c r="R889" s="27"/>
      <c r="S889" s="27"/>
      <c r="T889" s="27"/>
      <c r="U889" s="27"/>
      <c r="V889" s="27"/>
      <c r="W889" s="27"/>
      <c r="X889" s="27"/>
      <c r="Y889" s="27"/>
      <c r="Z889" s="27"/>
    </row>
    <row r="890" hidden="1" customHeight="1" spans="1:26">
      <c r="A890" s="26">
        <v>1427</v>
      </c>
      <c r="B890" s="26">
        <v>56</v>
      </c>
      <c r="C890" s="26" t="s">
        <v>277</v>
      </c>
      <c r="D890" s="26" t="s">
        <v>2716</v>
      </c>
      <c r="E890" s="26" t="s">
        <v>2889</v>
      </c>
      <c r="F890" s="26" t="str">
        <f t="shared" si="0"/>
        <v>Negative Traits Latin Origin</v>
      </c>
      <c r="G890" s="26">
        <f t="shared" si="1"/>
        <v>7</v>
      </c>
      <c r="H890" s="26" t="s">
        <v>3771</v>
      </c>
      <c r="I890" s="26"/>
      <c r="J890" s="26"/>
      <c r="K890" s="26"/>
      <c r="L890" s="26" t="str">
        <f t="shared" si="2"/>
        <v>T</v>
      </c>
      <c r="M890" s="26" t="str">
        <f>IFERROR(__xludf.DUMMYFUNCTION("GOOGLETRANSLATE(C890,""EN"",""KN"")"),"ಕ್ಷುಲ್ಲಕ")</f>
        <v>ಕ್ಷುಲ್ಲಕ</v>
      </c>
      <c r="N890" s="26">
        <f t="array" ref="N890">_xlfn.XLOOKUP(B890,'Sets Progress'!I:I,'Sets Progress'!I:I,"NOT YET")</f>
        <v>56</v>
      </c>
      <c r="O890" s="26" t="str">
        <f t="array" ref="O890">_xlfn.XLOOKUP(L:L,'Overall Progress'!L:L,'Overall Progress'!L:L,"NOT YET")</f>
        <v>NOT YET</v>
      </c>
      <c r="P890" s="26"/>
      <c r="Q890" s="26"/>
      <c r="R890" s="26"/>
      <c r="S890" s="26"/>
      <c r="T890" s="26"/>
      <c r="U890" s="26"/>
      <c r="V890" s="26"/>
      <c r="W890" s="26"/>
      <c r="X890" s="26"/>
      <c r="Y890" s="26"/>
      <c r="Z890" s="26"/>
    </row>
    <row r="891" hidden="1" customHeight="1" spans="1:26">
      <c r="A891" s="27">
        <v>1457</v>
      </c>
      <c r="B891" s="27">
        <v>56</v>
      </c>
      <c r="C891" s="27" t="s">
        <v>1785</v>
      </c>
      <c r="D891" s="27" t="s">
        <v>1721</v>
      </c>
      <c r="E891" s="27" t="s">
        <v>2908</v>
      </c>
      <c r="F891" s="27" t="str">
        <f t="shared" si="0"/>
        <v>Temporal Old English Origin</v>
      </c>
      <c r="G891" s="27">
        <f t="shared" si="1"/>
        <v>11</v>
      </c>
      <c r="H891" s="27" t="s">
        <v>3772</v>
      </c>
      <c r="I891" s="27"/>
      <c r="J891" s="27"/>
      <c r="K891" s="27"/>
      <c r="L891" s="27" t="str">
        <f t="shared" si="2"/>
        <v>U</v>
      </c>
      <c r="M891" s="27" t="str">
        <f>IFERROR(__xludf.DUMMYFUNCTION("GOOGLETRANSLATE(C891,""EN"",""KN"")"),"ಅಡೆತಡೆಯಿಲ್ಲದ")</f>
        <v>ಅಡೆತಡೆಯಿಲ್ಲದ</v>
      </c>
      <c r="N891" s="27">
        <f t="array" ref="N891">_xlfn.XLOOKUP(B891,'Sets Progress'!I:I,'Sets Progress'!I:I,"NOT YET")</f>
        <v>56</v>
      </c>
      <c r="O891" s="27" t="str">
        <f t="array" ref="O891">_xlfn.XLOOKUP(L:L,'Overall Progress'!L:L,'Overall Progress'!L:L,"NOT YET")</f>
        <v>NOT YET</v>
      </c>
      <c r="P891" s="27"/>
      <c r="Q891" s="27"/>
      <c r="R891" s="27"/>
      <c r="S891" s="27"/>
      <c r="T891" s="27"/>
      <c r="U891" s="27"/>
      <c r="V891" s="27"/>
      <c r="W891" s="27"/>
      <c r="X891" s="27"/>
      <c r="Y891" s="27"/>
      <c r="Z891" s="27"/>
    </row>
    <row r="892" hidden="1" customHeight="1" spans="1:26">
      <c r="A892" s="26">
        <v>10</v>
      </c>
      <c r="B892" s="26">
        <v>57</v>
      </c>
      <c r="C892" s="26" t="s">
        <v>379</v>
      </c>
      <c r="D892" s="26" t="s">
        <v>2717</v>
      </c>
      <c r="E892" s="26" t="s">
        <v>2889</v>
      </c>
      <c r="F892" s="26" t="str">
        <f t="shared" si="0"/>
        <v>Positive Traits Latin Origin</v>
      </c>
      <c r="G892" s="26">
        <f t="shared" si="1"/>
        <v>6</v>
      </c>
      <c r="H892" s="26" t="s">
        <v>3773</v>
      </c>
      <c r="I892" s="26"/>
      <c r="J892" s="26"/>
      <c r="K892" s="26"/>
      <c r="L892" s="26" t="str">
        <f t="shared" si="2"/>
        <v>A</v>
      </c>
      <c r="M892" s="26" t="str">
        <f>IFERROR(__xludf.DUMMYFUNCTION("GOOGLETRANSLATE(C892,""EN"",""KN"")"),"ಹೇರಳವಾಗಿದೆ")</f>
        <v>ಹೇರಳವಾಗಿದೆ</v>
      </c>
      <c r="N892" s="26" t="str">
        <f t="array" ref="N892">_xlfn.XLOOKUP(B892,'Sets Progress'!I:I,'Sets Progress'!I:I,"NOT YET")</f>
        <v>NOT YET</v>
      </c>
      <c r="O892" s="26" t="str">
        <f t="array" ref="O892">_xlfn.XLOOKUP(L:L,'Overall Progress'!L:L,'Overall Progress'!L:L,"NOT YET")</f>
        <v>NOT YET</v>
      </c>
      <c r="P892" s="26"/>
      <c r="Q892" s="26"/>
      <c r="R892" s="26"/>
      <c r="S892" s="26"/>
      <c r="T892" s="26"/>
      <c r="U892" s="26"/>
      <c r="V892" s="26"/>
      <c r="W892" s="26"/>
      <c r="X892" s="26"/>
      <c r="Y892" s="26"/>
      <c r="Z892" s="26"/>
    </row>
    <row r="893" hidden="1" customHeight="1" spans="1:26">
      <c r="A893" s="27">
        <v>126</v>
      </c>
      <c r="B893" s="27">
        <v>57</v>
      </c>
      <c r="C893" s="27" t="s">
        <v>475</v>
      </c>
      <c r="D893" s="27" t="s">
        <v>2717</v>
      </c>
      <c r="E893" s="27" t="s">
        <v>2889</v>
      </c>
      <c r="F893" s="27" t="str">
        <f t="shared" si="0"/>
        <v>Positive Traits Latin Origin</v>
      </c>
      <c r="G893" s="27">
        <f t="shared" si="1"/>
        <v>9</v>
      </c>
      <c r="H893" s="27" t="s">
        <v>3774</v>
      </c>
      <c r="I893" s="27"/>
      <c r="J893" s="27"/>
      <c r="K893" s="27"/>
      <c r="L893" s="27" t="str">
        <f t="shared" si="2"/>
        <v>A</v>
      </c>
      <c r="M893" s="27" t="str">
        <f>IFERROR(__xludf.DUMMYFUNCTION("GOOGLETRANSLATE(C893,""EN"",""KN"")"),"ಧೈರ್ಯಶಾಲಿ")</f>
        <v>ಧೈರ್ಯಶಾಲಿ</v>
      </c>
      <c r="N893" s="27" t="str">
        <f t="array" ref="N893">_xlfn.XLOOKUP(B893,'Sets Progress'!I:I,'Sets Progress'!I:I,"NOT YET")</f>
        <v>NOT YET</v>
      </c>
      <c r="O893" s="27" t="str">
        <f t="array" ref="O893">_xlfn.XLOOKUP(L:L,'Overall Progress'!L:L,'Overall Progress'!L:L,"NOT YET")</f>
        <v>NOT YET</v>
      </c>
      <c r="P893" s="27"/>
      <c r="Q893" s="27"/>
      <c r="R893" s="27"/>
      <c r="S893" s="27"/>
      <c r="T893" s="27"/>
      <c r="U893" s="27"/>
      <c r="V893" s="27"/>
      <c r="W893" s="27"/>
      <c r="X893" s="27"/>
      <c r="Y893" s="27"/>
      <c r="Z893" s="27"/>
    </row>
    <row r="894" hidden="1" customHeight="1" spans="1:26">
      <c r="A894" s="26">
        <v>232</v>
      </c>
      <c r="B894" s="26">
        <v>57</v>
      </c>
      <c r="C894" s="26" t="s">
        <v>583</v>
      </c>
      <c r="D894" s="26" t="s">
        <v>2716</v>
      </c>
      <c r="E894" s="26" t="s">
        <v>2908</v>
      </c>
      <c r="F894" s="26" t="str">
        <f t="shared" si="0"/>
        <v>Negative Traits Old English Origin</v>
      </c>
      <c r="G894" s="26">
        <f t="shared" si="1"/>
        <v>8</v>
      </c>
      <c r="H894" s="26" t="s">
        <v>3775</v>
      </c>
      <c r="I894" s="26"/>
      <c r="J894" s="26"/>
      <c r="K894" s="26"/>
      <c r="L894" s="26" t="str">
        <f t="shared" si="2"/>
        <v>C</v>
      </c>
      <c r="M894" s="26" t="str">
        <f>IFERROR(__xludf.DUMMYFUNCTION("GOOGLETRANSLATE(C894,""EN"",""KN"")"),"ಚುರ್ಲಿಶ್")</f>
        <v>ಚುರ್ಲಿಶ್</v>
      </c>
      <c r="N894" s="26" t="str">
        <f t="array" ref="N894">_xlfn.XLOOKUP(B894,'Sets Progress'!I:I,'Sets Progress'!I:I,"NOT YET")</f>
        <v>NOT YET</v>
      </c>
      <c r="O894" s="26" t="str">
        <f t="array" ref="O894">_xlfn.XLOOKUP(L:L,'Overall Progress'!L:L,'Overall Progress'!L:L,"NOT YET")</f>
        <v>NOT YET</v>
      </c>
      <c r="P894" s="26"/>
      <c r="Q894" s="26"/>
      <c r="R894" s="26"/>
      <c r="S894" s="26"/>
      <c r="T894" s="26"/>
      <c r="U894" s="26"/>
      <c r="V894" s="26"/>
      <c r="W894" s="26"/>
      <c r="X894" s="26"/>
      <c r="Y894" s="26"/>
      <c r="Z894" s="26"/>
    </row>
    <row r="895" hidden="1" customHeight="1" spans="1:26">
      <c r="A895" s="27">
        <v>302</v>
      </c>
      <c r="B895" s="27">
        <v>57</v>
      </c>
      <c r="C895" s="27" t="s">
        <v>655</v>
      </c>
      <c r="D895" s="27" t="s">
        <v>2946</v>
      </c>
      <c r="E895" s="27" t="s">
        <v>2889</v>
      </c>
      <c r="F895" s="27" t="str">
        <f t="shared" si="0"/>
        <v>Emotional Latin Origin</v>
      </c>
      <c r="G895" s="27">
        <f t="shared" si="1"/>
        <v>8</v>
      </c>
      <c r="H895" s="27" t="s">
        <v>3776</v>
      </c>
      <c r="I895" s="27"/>
      <c r="J895" s="27"/>
      <c r="K895" s="27"/>
      <c r="L895" s="27" t="str">
        <f t="shared" si="2"/>
        <v>C</v>
      </c>
      <c r="M895" s="27" t="str">
        <f>IFERROR(__xludf.DUMMYFUNCTION("GOOGLETRANSLATE(C895,""EN"",""KN"")"),"ಪಶ್ಚಾತ್ತಾಪಪಡುತ್ತಾರೆ")</f>
        <v>ಪಶ್ಚಾತ್ತಾಪಪಡುತ್ತಾರೆ</v>
      </c>
      <c r="N895" s="27" t="str">
        <f t="array" ref="N895">_xlfn.XLOOKUP(B895,'Sets Progress'!I:I,'Sets Progress'!I:I,"NOT YET")</f>
        <v>NOT YET</v>
      </c>
      <c r="O895" s="27" t="str">
        <f t="array" ref="O895">_xlfn.XLOOKUP(L:L,'Overall Progress'!L:L,'Overall Progress'!L:L,"NOT YET")</f>
        <v>NOT YET</v>
      </c>
      <c r="P895" s="27"/>
      <c r="Q895" s="27"/>
      <c r="R895" s="27"/>
      <c r="S895" s="27"/>
      <c r="T895" s="27"/>
      <c r="U895" s="27"/>
      <c r="V895" s="27"/>
      <c r="W895" s="27"/>
      <c r="X895" s="27"/>
      <c r="Y895" s="27"/>
      <c r="Z895" s="27"/>
    </row>
    <row r="896" hidden="1" customHeight="1" spans="1:26">
      <c r="A896" s="26">
        <v>331</v>
      </c>
      <c r="B896" s="26">
        <v>57</v>
      </c>
      <c r="C896" s="26" t="s">
        <v>681</v>
      </c>
      <c r="D896" s="26" t="s">
        <v>1638</v>
      </c>
      <c r="E896" s="26" t="s">
        <v>2899</v>
      </c>
      <c r="F896" s="26" t="str">
        <f t="shared" si="0"/>
        <v>Sound Middle English Origin</v>
      </c>
      <c r="G896" s="26">
        <f t="shared" si="1"/>
        <v>5</v>
      </c>
      <c r="H896" s="26" t="s">
        <v>3777</v>
      </c>
      <c r="I896" s="26"/>
      <c r="J896" s="26"/>
      <c r="K896" s="26"/>
      <c r="L896" s="26" t="str">
        <f t="shared" si="2"/>
        <v>C</v>
      </c>
      <c r="M896" s="26" t="str">
        <f>IFERROR(__xludf.DUMMYFUNCTION("GOOGLETRANSLATE(C896,""EN"",""KN"")"),"ಕ್ರೂನ್")</f>
        <v>ಕ್ರೂನ್</v>
      </c>
      <c r="N896" s="26" t="str">
        <f t="array" ref="N896">_xlfn.XLOOKUP(B896,'Sets Progress'!I:I,'Sets Progress'!I:I,"NOT YET")</f>
        <v>NOT YET</v>
      </c>
      <c r="O896" s="26" t="str">
        <f t="array" ref="O896">_xlfn.XLOOKUP(L:L,'Overall Progress'!L:L,'Overall Progress'!L:L,"NOT YET")</f>
        <v>NOT YET</v>
      </c>
      <c r="P896" s="26"/>
      <c r="Q896" s="26"/>
      <c r="R896" s="26"/>
      <c r="S896" s="26"/>
      <c r="T896" s="26"/>
      <c r="U896" s="26"/>
      <c r="V896" s="26"/>
      <c r="W896" s="26"/>
      <c r="X896" s="26"/>
      <c r="Y896" s="26"/>
      <c r="Z896" s="26"/>
    </row>
    <row r="897" hidden="1" customHeight="1" spans="1:26">
      <c r="A897" s="27">
        <v>520</v>
      </c>
      <c r="B897" s="27">
        <v>57</v>
      </c>
      <c r="C897" s="27" t="s">
        <v>869</v>
      </c>
      <c r="D897" s="27" t="s">
        <v>1721</v>
      </c>
      <c r="E897" s="27" t="s">
        <v>2896</v>
      </c>
      <c r="F897" s="27" t="str">
        <f t="shared" si="0"/>
        <v>Temporal Old French Origin</v>
      </c>
      <c r="G897" s="27">
        <f t="shared" si="1"/>
        <v>10</v>
      </c>
      <c r="H897" s="27" t="s">
        <v>3778</v>
      </c>
      <c r="I897" s="27"/>
      <c r="J897" s="27"/>
      <c r="K897" s="27"/>
      <c r="L897" s="27" t="str">
        <f t="shared" si="2"/>
        <v>E</v>
      </c>
      <c r="M897" s="27" t="str">
        <f>IFERROR(__xludf.DUMMYFUNCTION("GOOGLETRANSLATE(C897,""EN"",""KN"")"),"ಬೇರೂರಿದೆ")</f>
        <v>ಬೇರೂರಿದೆ</v>
      </c>
      <c r="N897" s="27" t="str">
        <f t="array" ref="N897">_xlfn.XLOOKUP(B897,'Sets Progress'!I:I,'Sets Progress'!I:I,"NOT YET")</f>
        <v>NOT YET</v>
      </c>
      <c r="O897" s="27" t="str">
        <f t="array" ref="O897">_xlfn.XLOOKUP(L:L,'Overall Progress'!L:L,'Overall Progress'!L:L,"NOT YET")</f>
        <v>NOT YET</v>
      </c>
      <c r="P897" s="27"/>
      <c r="Q897" s="27"/>
      <c r="R897" s="27"/>
      <c r="S897" s="27"/>
      <c r="T897" s="27"/>
      <c r="U897" s="27"/>
      <c r="V897" s="27"/>
      <c r="W897" s="27"/>
      <c r="X897" s="27"/>
      <c r="Y897" s="27"/>
      <c r="Z897" s="27"/>
    </row>
    <row r="898" hidden="1" customHeight="1" spans="1:26">
      <c r="A898" s="26">
        <v>831</v>
      </c>
      <c r="B898" s="26">
        <v>57</v>
      </c>
      <c r="C898" s="26" t="s">
        <v>1171</v>
      </c>
      <c r="D898" s="26" t="s">
        <v>1721</v>
      </c>
      <c r="E898" s="26" t="s">
        <v>2889</v>
      </c>
      <c r="F898" s="26" t="str">
        <f t="shared" si="0"/>
        <v>Temporal Latin Origin</v>
      </c>
      <c r="G898" s="26">
        <f t="shared" si="1"/>
        <v>14</v>
      </c>
      <c r="H898" s="26" t="s">
        <v>3779</v>
      </c>
      <c r="I898" s="26"/>
      <c r="J898" s="26"/>
      <c r="K898" s="26"/>
      <c r="L898" s="26" t="str">
        <f t="shared" si="2"/>
        <v>I</v>
      </c>
      <c r="M898" s="26" t="str">
        <f>IFERROR(__xludf.DUMMYFUNCTION("GOOGLETRANSLATE(C898,""EN"",""KN"")"),"ಸರಿಪಡಿಸಲಾಗದ")</f>
        <v>ಸರಿಪಡಿಸಲಾಗದ</v>
      </c>
      <c r="N898" s="26" t="str">
        <f t="array" ref="N898">_xlfn.XLOOKUP(B898,'Sets Progress'!I:I,'Sets Progress'!I:I,"NOT YET")</f>
        <v>NOT YET</v>
      </c>
      <c r="O898" s="26" t="str">
        <f t="array" ref="O898">_xlfn.XLOOKUP(L:L,'Overall Progress'!L:L,'Overall Progress'!L:L,"NOT YET")</f>
        <v>NOT YET</v>
      </c>
      <c r="P898" s="26"/>
      <c r="Q898" s="26"/>
      <c r="R898" s="26"/>
      <c r="S898" s="26"/>
      <c r="T898" s="26"/>
      <c r="U898" s="26"/>
      <c r="V898" s="26"/>
      <c r="W898" s="26"/>
      <c r="X898" s="26"/>
      <c r="Y898" s="26"/>
      <c r="Z898" s="26"/>
    </row>
    <row r="899" hidden="1" customHeight="1" spans="1:26">
      <c r="A899" s="27">
        <v>901</v>
      </c>
      <c r="B899" s="27">
        <v>57</v>
      </c>
      <c r="C899" s="27" t="s">
        <v>1238</v>
      </c>
      <c r="D899" s="27" t="s">
        <v>2716</v>
      </c>
      <c r="E899" s="27" t="s">
        <v>2893</v>
      </c>
      <c r="F899" s="27" t="str">
        <f t="shared" si="0"/>
        <v>Negative Traits Greek Origin</v>
      </c>
      <c r="G899" s="27">
        <f t="shared" si="1"/>
        <v>12</v>
      </c>
      <c r="H899" s="27" t="s">
        <v>3780</v>
      </c>
      <c r="I899" s="27"/>
      <c r="J899" s="27"/>
      <c r="K899" s="27"/>
      <c r="L899" s="27" t="str">
        <f t="shared" si="2"/>
        <v>M</v>
      </c>
      <c r="M899" s="27" t="str">
        <f>IFERROR(__xludf.DUMMYFUNCTION("GOOGLETRANSLATE(C899,""EN"",""KN"")"),"ಮೆಗಾಲೊಮೇನಿಯಾಕ್")</f>
        <v>ಮೆಗಾಲೊಮೇನಿಯಾಕ್</v>
      </c>
      <c r="N899" s="27" t="str">
        <f t="array" ref="N899">_xlfn.XLOOKUP(B899,'Sets Progress'!I:I,'Sets Progress'!I:I,"NOT YET")</f>
        <v>NOT YET</v>
      </c>
      <c r="O899" s="27" t="str">
        <f t="array" ref="O899">_xlfn.XLOOKUP(L:L,'Overall Progress'!L:L,'Overall Progress'!L:L,"NOT YET")</f>
        <v>NOT YET</v>
      </c>
      <c r="P899" s="27"/>
      <c r="Q899" s="27"/>
      <c r="R899" s="27"/>
      <c r="S899" s="27"/>
      <c r="T899" s="27"/>
      <c r="U899" s="27"/>
      <c r="V899" s="27"/>
      <c r="W899" s="27"/>
      <c r="X899" s="27"/>
      <c r="Y899" s="27"/>
      <c r="Z899" s="27"/>
    </row>
    <row r="900" hidden="1" customHeight="1" spans="1:26">
      <c r="A900" s="26">
        <v>958</v>
      </c>
      <c r="B900" s="26">
        <v>57</v>
      </c>
      <c r="C900" s="26" t="s">
        <v>1294</v>
      </c>
      <c r="D900" s="26" t="s">
        <v>1721</v>
      </c>
      <c r="E900" s="26" t="s">
        <v>2889</v>
      </c>
      <c r="F900" s="26" t="str">
        <f t="shared" si="0"/>
        <v>Temporal Latin Origin</v>
      </c>
      <c r="G900" s="26">
        <f t="shared" si="1"/>
        <v>9</v>
      </c>
      <c r="H900" s="26" t="s">
        <v>3781</v>
      </c>
      <c r="I900" s="26"/>
      <c r="J900" s="26"/>
      <c r="K900" s="26"/>
      <c r="L900" s="26" t="str">
        <f t="shared" si="2"/>
        <v>N</v>
      </c>
      <c r="M900" s="26" t="str">
        <f>IFERROR(__xludf.DUMMYFUNCTION("GOOGLETRANSLATE(C900,""EN"",""KN"")"),"ರೂಢಿಗತ")</f>
        <v>ರೂಢಿಗತ</v>
      </c>
      <c r="N900" s="26" t="str">
        <f t="array" ref="N900">_xlfn.XLOOKUP(B900,'Sets Progress'!I:I,'Sets Progress'!I:I,"NOT YET")</f>
        <v>NOT YET</v>
      </c>
      <c r="O900" s="26" t="str">
        <f t="array" ref="O900">_xlfn.XLOOKUP(L:L,'Overall Progress'!L:L,'Overall Progress'!L:L,"NOT YET")</f>
        <v>NOT YET</v>
      </c>
      <c r="P900" s="26"/>
      <c r="Q900" s="26"/>
      <c r="R900" s="26"/>
      <c r="S900" s="26"/>
      <c r="T900" s="26"/>
      <c r="U900" s="26"/>
      <c r="V900" s="26"/>
      <c r="W900" s="26"/>
      <c r="X900" s="26"/>
      <c r="Y900" s="26"/>
      <c r="Z900" s="26"/>
    </row>
    <row r="901" hidden="1" customHeight="1" spans="1:26">
      <c r="A901" s="27">
        <v>1037</v>
      </c>
      <c r="B901" s="27">
        <v>57</v>
      </c>
      <c r="C901" s="27" t="s">
        <v>1372</v>
      </c>
      <c r="D901" s="27" t="s">
        <v>1721</v>
      </c>
      <c r="E901" s="27" t="s">
        <v>2889</v>
      </c>
      <c r="F901" s="27" t="str">
        <f t="shared" si="0"/>
        <v>Temporal Latin Origin</v>
      </c>
      <c r="G901" s="27">
        <f t="shared" si="1"/>
        <v>8</v>
      </c>
      <c r="H901" s="27" t="s">
        <v>3782</v>
      </c>
      <c r="I901" s="27"/>
      <c r="J901" s="27"/>
      <c r="K901" s="27"/>
      <c r="L901" s="27" t="str">
        <f t="shared" si="2"/>
        <v>P</v>
      </c>
      <c r="M901" s="27" t="str">
        <f>IFERROR(__xludf.DUMMYFUNCTION("GOOGLETRANSLATE(C901,""EN"",""KN"")"),"ತಪಸ್ಸು ಮಾಡಿದ")</f>
        <v>ತಪಸ್ಸು ಮಾಡಿದ</v>
      </c>
      <c r="N901" s="27" t="str">
        <f t="array" ref="N901">_xlfn.XLOOKUP(B901,'Sets Progress'!I:I,'Sets Progress'!I:I,"NOT YET")</f>
        <v>NOT YET</v>
      </c>
      <c r="O901" s="27" t="str">
        <f t="array" ref="O901">_xlfn.XLOOKUP(L:L,'Overall Progress'!L:L,'Overall Progress'!L:L,"NOT YET")</f>
        <v>NOT YET</v>
      </c>
      <c r="P901" s="27"/>
      <c r="Q901" s="27"/>
      <c r="R901" s="27"/>
      <c r="S901" s="27"/>
      <c r="T901" s="27"/>
      <c r="U901" s="27"/>
      <c r="V901" s="27"/>
      <c r="W901" s="27"/>
      <c r="X901" s="27"/>
      <c r="Y901" s="27"/>
      <c r="Z901" s="27"/>
    </row>
    <row r="902" hidden="1" customHeight="1" spans="1:26">
      <c r="A902" s="26">
        <v>1106</v>
      </c>
      <c r="B902" s="26">
        <v>57</v>
      </c>
      <c r="C902" s="26" t="s">
        <v>1440</v>
      </c>
      <c r="D902" s="26" t="s">
        <v>1721</v>
      </c>
      <c r="E902" s="26" t="s">
        <v>2889</v>
      </c>
      <c r="F902" s="26" t="str">
        <f t="shared" si="0"/>
        <v>Temporal Latin Origin</v>
      </c>
      <c r="G902" s="26">
        <f t="shared" si="1"/>
        <v>7</v>
      </c>
      <c r="H902" s="26" t="s">
        <v>3783</v>
      </c>
      <c r="I902" s="26"/>
      <c r="J902" s="26"/>
      <c r="K902" s="26"/>
      <c r="L902" s="26" t="str">
        <f t="shared" si="2"/>
        <v>P</v>
      </c>
      <c r="M902" s="26" t="str">
        <f>IFERROR(__xludf.DUMMYFUNCTION("GOOGLETRANSLATE(C902,""EN"",""KN"")"),"ಪ್ರೆಸೇಜ್")</f>
        <v>ಪ್ರೆಸೇಜ್</v>
      </c>
      <c r="N902" s="26" t="str">
        <f t="array" ref="N902">_xlfn.XLOOKUP(B902,'Sets Progress'!I:I,'Sets Progress'!I:I,"NOT YET")</f>
        <v>NOT YET</v>
      </c>
      <c r="O902" s="26" t="str">
        <f t="array" ref="O902">_xlfn.XLOOKUP(L:L,'Overall Progress'!L:L,'Overall Progress'!L:L,"NOT YET")</f>
        <v>NOT YET</v>
      </c>
      <c r="P902" s="26"/>
      <c r="Q902" s="26"/>
      <c r="R902" s="26"/>
      <c r="S902" s="26"/>
      <c r="T902" s="26"/>
      <c r="U902" s="26"/>
      <c r="V902" s="26"/>
      <c r="W902" s="26"/>
      <c r="X902" s="26"/>
      <c r="Y902" s="26"/>
      <c r="Z902" s="26"/>
    </row>
    <row r="903" hidden="1" customHeight="1" spans="1:26">
      <c r="A903" s="27">
        <v>1143</v>
      </c>
      <c r="B903" s="27">
        <v>57</v>
      </c>
      <c r="C903" s="27" t="s">
        <v>1475</v>
      </c>
      <c r="D903" s="27" t="s">
        <v>2716</v>
      </c>
      <c r="E903" s="27" t="s">
        <v>2889</v>
      </c>
      <c r="F903" s="27" t="str">
        <f t="shared" si="0"/>
        <v>Negative Traits Latin Origin</v>
      </c>
      <c r="G903" s="27">
        <f t="shared" si="1"/>
        <v>11</v>
      </c>
      <c r="H903" s="27" t="s">
        <v>3784</v>
      </c>
      <c r="I903" s="27"/>
      <c r="J903" s="27"/>
      <c r="K903" s="27"/>
      <c r="L903" s="27" t="str">
        <f t="shared" si="2"/>
        <v>P</v>
      </c>
      <c r="M903" s="27" t="str">
        <f>IFERROR(__xludf.DUMMYFUNCTION("GOOGLETRANSLATE(C903,""EN"",""KN"")"),"ಪ್ರಚೋದನಕಾರಿ")</f>
        <v>ಪ್ರಚೋದನಕಾರಿ</v>
      </c>
      <c r="N903" s="27" t="str">
        <f t="array" ref="N903">_xlfn.XLOOKUP(B903,'Sets Progress'!I:I,'Sets Progress'!I:I,"NOT YET")</f>
        <v>NOT YET</v>
      </c>
      <c r="O903" s="27" t="str">
        <f t="array" ref="O903">_xlfn.XLOOKUP(L:L,'Overall Progress'!L:L,'Overall Progress'!L:L,"NOT YET")</f>
        <v>NOT YET</v>
      </c>
      <c r="P903" s="27"/>
      <c r="Q903" s="27"/>
      <c r="R903" s="27"/>
      <c r="S903" s="27"/>
      <c r="T903" s="27"/>
      <c r="U903" s="27"/>
      <c r="V903" s="27"/>
      <c r="W903" s="27"/>
      <c r="X903" s="27"/>
      <c r="Y903" s="27"/>
      <c r="Z903" s="27"/>
    </row>
    <row r="904" customHeight="1" spans="1:26">
      <c r="A904" s="26">
        <v>1194</v>
      </c>
      <c r="B904" s="26">
        <v>57</v>
      </c>
      <c r="C904" s="26" t="s">
        <v>1525</v>
      </c>
      <c r="D904" s="26" t="s">
        <v>1721</v>
      </c>
      <c r="E904" s="26" t="s">
        <v>2889</v>
      </c>
      <c r="F904" s="26" t="str">
        <f t="shared" si="0"/>
        <v>Temporal Latin Origin</v>
      </c>
      <c r="G904" s="26">
        <f t="shared" si="1"/>
        <v>9</v>
      </c>
      <c r="H904" s="26"/>
      <c r="I904" s="26"/>
      <c r="J904" s="26"/>
      <c r="K904" s="26"/>
      <c r="L904" s="26" t="str">
        <f t="shared" si="2"/>
        <v>R</v>
      </c>
      <c r="M904" s="26" t="str">
        <f>IFERROR(__xludf.DUMMYFUNCTION("GOOGLETRANSLATE(C904,""EN"",""KN"")"),"ಪುನರುಚ್ಚರಿಸಿ")</f>
        <v>ಪುನರುಚ್ಚರಿಸಿ</v>
      </c>
      <c r="N904" s="26" t="str">
        <f t="array" ref="N904">_xlfn.XLOOKUP(B904,'Sets Progress'!I:I,'Sets Progress'!I:I,"NOT YET")</f>
        <v>NOT YET</v>
      </c>
      <c r="O904" s="26" t="str">
        <f t="array" ref="O904">_xlfn.XLOOKUP(L:L,'Overall Progress'!L:L,'Overall Progress'!L:L,"NOT YET")</f>
        <v>NOT YET</v>
      </c>
      <c r="P904" s="26"/>
      <c r="Q904" s="26"/>
      <c r="R904" s="26"/>
      <c r="S904" s="26"/>
      <c r="T904" s="26"/>
      <c r="U904" s="26"/>
      <c r="V904" s="26"/>
      <c r="W904" s="26"/>
      <c r="X904" s="26"/>
      <c r="Y904" s="26"/>
      <c r="Z904" s="26"/>
    </row>
    <row r="905" hidden="1" customHeight="1" spans="1:26">
      <c r="A905" s="27">
        <v>1371</v>
      </c>
      <c r="B905" s="27">
        <v>57</v>
      </c>
      <c r="C905" s="27" t="s">
        <v>1702</v>
      </c>
      <c r="D905" s="27" t="s">
        <v>1721</v>
      </c>
      <c r="E905" s="27" t="s">
        <v>2893</v>
      </c>
      <c r="F905" s="27" t="str">
        <f t="shared" si="0"/>
        <v>Temporal Greek Origin</v>
      </c>
      <c r="G905" s="27">
        <f t="shared" si="1"/>
        <v>11</v>
      </c>
      <c r="H905" s="27" t="s">
        <v>3785</v>
      </c>
      <c r="I905" s="27"/>
      <c r="J905" s="27"/>
      <c r="K905" s="27"/>
      <c r="L905" s="27" t="str">
        <f t="shared" si="2"/>
        <v>S</v>
      </c>
      <c r="M905" s="27" t="str">
        <f>IFERROR(__xludf.DUMMYFUNCTION("GOOGLETRANSLATE(C905,""EN"",""KN"")"),"ಸಿಂಟ್ಯಾಕ್ಟಿಕಲ್")</f>
        <v>ಸಿಂಟ್ಯಾಕ್ಟಿಕಲ್</v>
      </c>
      <c r="N905" s="27" t="str">
        <f t="array" ref="N905">_xlfn.XLOOKUP(B905,'Sets Progress'!I:I,'Sets Progress'!I:I,"NOT YET")</f>
        <v>NOT YET</v>
      </c>
      <c r="O905" s="27" t="str">
        <f t="array" ref="O905">_xlfn.XLOOKUP(L:L,'Overall Progress'!L:L,'Overall Progress'!L:L,"NOT YET")</f>
        <v>NOT YET</v>
      </c>
      <c r="P905" s="27"/>
      <c r="Q905" s="27"/>
      <c r="R905" s="27"/>
      <c r="S905" s="27"/>
      <c r="T905" s="27"/>
      <c r="U905" s="27"/>
      <c r="V905" s="27"/>
      <c r="W905" s="27"/>
      <c r="X905" s="27"/>
      <c r="Y905" s="27"/>
      <c r="Z905" s="27"/>
    </row>
    <row r="906" hidden="1" customHeight="1" spans="1:26">
      <c r="A906" s="26">
        <v>1492</v>
      </c>
      <c r="B906" s="26">
        <v>57</v>
      </c>
      <c r="C906" s="26" t="s">
        <v>1820</v>
      </c>
      <c r="D906" s="26" t="s">
        <v>1721</v>
      </c>
      <c r="E906" s="26" t="s">
        <v>2889</v>
      </c>
      <c r="F906" s="26" t="str">
        <f t="shared" si="0"/>
        <v>Temporal Latin Origin</v>
      </c>
      <c r="G906" s="26">
        <f t="shared" si="1"/>
        <v>11</v>
      </c>
      <c r="H906" s="26" t="s">
        <v>3786</v>
      </c>
      <c r="I906" s="26"/>
      <c r="J906" s="26"/>
      <c r="K906" s="26"/>
      <c r="L906" s="26" t="str">
        <f t="shared" si="2"/>
        <v>V</v>
      </c>
      <c r="M906" s="26" t="str">
        <f>IFERROR(__xludf.DUMMYFUNCTION("GOOGLETRANSLATE(C906,""EN"",""KN"")"),"ವ್ಯಾಲೆಡಿಕ್ಟರಿ")</f>
        <v>ವ್ಯಾಲೆಡಿಕ್ಟರಿ</v>
      </c>
      <c r="N906" s="26" t="str">
        <f t="array" ref="N906">_xlfn.XLOOKUP(B906,'Sets Progress'!I:I,'Sets Progress'!I:I,"NOT YET")</f>
        <v>NOT YET</v>
      </c>
      <c r="O906" s="26" t="str">
        <f t="array" ref="O906">_xlfn.XLOOKUP(L:L,'Overall Progress'!L:L,'Overall Progress'!L:L,"NOT YET")</f>
        <v>NOT YET</v>
      </c>
      <c r="P906" s="26"/>
      <c r="Q906" s="26"/>
      <c r="R906" s="26"/>
      <c r="S906" s="26"/>
      <c r="T906" s="26"/>
      <c r="U906" s="26"/>
      <c r="V906" s="26"/>
      <c r="W906" s="26"/>
      <c r="X906" s="26"/>
      <c r="Y906" s="26"/>
      <c r="Z906" s="26"/>
    </row>
    <row r="907" hidden="1" customHeight="1" spans="1:26">
      <c r="A907" s="27">
        <v>1526</v>
      </c>
      <c r="B907" s="27">
        <v>57</v>
      </c>
      <c r="C907" s="27" t="s">
        <v>1854</v>
      </c>
      <c r="D907" s="27" t="s">
        <v>1721</v>
      </c>
      <c r="E907" s="27" t="s">
        <v>2896</v>
      </c>
      <c r="F907" s="27" t="str">
        <f t="shared" si="0"/>
        <v>Temporal Old French Origin</v>
      </c>
      <c r="G907" s="27">
        <f t="shared" si="1"/>
        <v>9</v>
      </c>
      <c r="H907" s="27" t="s">
        <v>3787</v>
      </c>
      <c r="I907" s="27"/>
      <c r="J907" s="27"/>
      <c r="K907" s="27"/>
      <c r="L907" s="27" t="str">
        <f t="shared" si="2"/>
        <v>W</v>
      </c>
      <c r="M907" s="27" t="str">
        <f>IFERROR(__xludf.DUMMYFUNCTION("GOOGLETRANSLATE(C907,""EN"",""KN"")"),"ಖಾತರಿಪಡಿಸಲಾಗಿದೆ")</f>
        <v>ಖಾತರಿಪಡಿಸಲಾಗಿದೆ</v>
      </c>
      <c r="N907" s="27" t="str">
        <f t="array" ref="N907">_xlfn.XLOOKUP(B907,'Sets Progress'!I:I,'Sets Progress'!I:I,"NOT YET")</f>
        <v>NOT YET</v>
      </c>
      <c r="O907" s="27" t="str">
        <f t="array" ref="O907">_xlfn.XLOOKUP(L:L,'Overall Progress'!L:L,'Overall Progress'!L:L,"NOT YET")</f>
        <v>NOT YET</v>
      </c>
      <c r="P907" s="27"/>
      <c r="Q907" s="27"/>
      <c r="R907" s="27"/>
      <c r="S907" s="27"/>
      <c r="T907" s="27"/>
      <c r="U907" s="27"/>
      <c r="V907" s="27"/>
      <c r="W907" s="27"/>
      <c r="X907" s="27"/>
      <c r="Y907" s="27"/>
      <c r="Z907" s="27"/>
    </row>
    <row r="908" hidden="1" customHeight="1" spans="1:26">
      <c r="A908" s="26">
        <v>13</v>
      </c>
      <c r="B908" s="26">
        <v>58</v>
      </c>
      <c r="C908" s="26" t="s">
        <v>32</v>
      </c>
      <c r="D908" s="26" t="s">
        <v>1721</v>
      </c>
      <c r="E908" s="26" t="s">
        <v>2889</v>
      </c>
      <c r="F908" s="26" t="str">
        <f t="shared" si="0"/>
        <v>Temporal Latin Origin</v>
      </c>
      <c r="G908" s="26">
        <f t="shared" si="1"/>
        <v>7</v>
      </c>
      <c r="H908" s="26" t="s">
        <v>3788</v>
      </c>
      <c r="I908" s="26"/>
      <c r="J908" s="26"/>
      <c r="K908" s="26"/>
      <c r="L908" s="26" t="str">
        <f t="shared" si="2"/>
        <v>A</v>
      </c>
      <c r="M908" s="26" t="str">
        <f>IFERROR(__xludf.DUMMYFUNCTION("GOOGLETRANSLATE(C908,""EN"",""KN"")"),"ಸೇತುವೆ")</f>
        <v>ಸೇತುವೆ</v>
      </c>
      <c r="N908" s="26">
        <f t="array" ref="N908">_xlfn.XLOOKUP(B908,'Sets Progress'!I:I,'Sets Progress'!I:I,"NOT YET")</f>
        <v>58</v>
      </c>
      <c r="O908" s="26" t="str">
        <f t="array" ref="O908">_xlfn.XLOOKUP(L:L,'Overall Progress'!L:L,'Overall Progress'!L:L,"NOT YET")</f>
        <v>NOT YET</v>
      </c>
      <c r="P908" s="26"/>
      <c r="Q908" s="26"/>
      <c r="R908" s="26"/>
      <c r="S908" s="26"/>
      <c r="T908" s="26"/>
      <c r="U908" s="26"/>
      <c r="V908" s="26"/>
      <c r="W908" s="26"/>
      <c r="X908" s="26"/>
      <c r="Y908" s="26"/>
      <c r="Z908" s="26"/>
    </row>
    <row r="909" hidden="1" customHeight="1" spans="1:26">
      <c r="A909" s="27">
        <v>45</v>
      </c>
      <c r="B909" s="27">
        <v>58</v>
      </c>
      <c r="C909" s="27" t="s">
        <v>399</v>
      </c>
      <c r="D909" s="27" t="s">
        <v>2946</v>
      </c>
      <c r="E909" s="27" t="s">
        <v>2889</v>
      </c>
      <c r="F909" s="27" t="str">
        <f t="shared" si="0"/>
        <v>Emotional Latin Origin</v>
      </c>
      <c r="G909" s="27">
        <f t="shared" si="1"/>
        <v>11</v>
      </c>
      <c r="H909" s="27" t="s">
        <v>3789</v>
      </c>
      <c r="I909" s="27"/>
      <c r="J909" s="27"/>
      <c r="K909" s="27"/>
      <c r="L909" s="27" t="str">
        <f t="shared" si="2"/>
        <v>A</v>
      </c>
      <c r="M909" s="27" t="str">
        <f>IFERROR(__xludf.DUMMYFUNCTION("GOOGLETRANSLATE(C909,""EN"",""KN"")"),"ವಾತ್ಸಲ್ಯ")</f>
        <v>ವಾತ್ಸಲ್ಯ</v>
      </c>
      <c r="N909" s="27">
        <f t="array" ref="N909">_xlfn.XLOOKUP(B909,'Sets Progress'!I:I,'Sets Progress'!I:I,"NOT YET")</f>
        <v>58</v>
      </c>
      <c r="O909" s="27" t="str">
        <f t="array" ref="O909">_xlfn.XLOOKUP(L:L,'Overall Progress'!L:L,'Overall Progress'!L:L,"NOT YET")</f>
        <v>NOT YET</v>
      </c>
      <c r="P909" s="27"/>
      <c r="Q909" s="27"/>
      <c r="R909" s="27"/>
      <c r="S909" s="27"/>
      <c r="T909" s="27"/>
      <c r="U909" s="27"/>
      <c r="V909" s="27"/>
      <c r="W909" s="27"/>
      <c r="X909" s="27"/>
      <c r="Y909" s="27"/>
      <c r="Z909" s="27"/>
    </row>
    <row r="910" hidden="1" customHeight="1" spans="1:26">
      <c r="A910" s="26">
        <v>55</v>
      </c>
      <c r="B910" s="26">
        <v>58</v>
      </c>
      <c r="C910" s="26" t="s">
        <v>408</v>
      </c>
      <c r="D910" s="26" t="s">
        <v>2946</v>
      </c>
      <c r="E910" s="26" t="s">
        <v>2889</v>
      </c>
      <c r="F910" s="26" t="str">
        <f t="shared" si="0"/>
        <v>Emotional Latin Origin</v>
      </c>
      <c r="G910" s="26">
        <f t="shared" si="1"/>
        <v>8</v>
      </c>
      <c r="H910" s="26" t="s">
        <v>3790</v>
      </c>
      <c r="I910" s="26"/>
      <c r="J910" s="26"/>
      <c r="K910" s="26"/>
      <c r="L910" s="26" t="str">
        <f t="shared" si="2"/>
        <v>A</v>
      </c>
      <c r="M910" s="26" t="str">
        <f>IFERROR(__xludf.DUMMYFUNCTION("GOOGLETRANSLATE(C910,""EN"",""KN"")"),"ಪರಕೀಯಗೊಳಿಸು")</f>
        <v>ಪರಕೀಯಗೊಳಿಸು</v>
      </c>
      <c r="N910" s="26">
        <f t="array" ref="N910">_xlfn.XLOOKUP(B910,'Sets Progress'!I:I,'Sets Progress'!I:I,"NOT YET")</f>
        <v>58</v>
      </c>
      <c r="O910" s="26" t="str">
        <f t="array" ref="O910">_xlfn.XLOOKUP(L:L,'Overall Progress'!L:L,'Overall Progress'!L:L,"NOT YET")</f>
        <v>NOT YET</v>
      </c>
      <c r="P910" s="26"/>
      <c r="Q910" s="26"/>
      <c r="R910" s="26"/>
      <c r="S910" s="26"/>
      <c r="T910" s="26"/>
      <c r="U910" s="26"/>
      <c r="V910" s="26"/>
      <c r="W910" s="26"/>
      <c r="X910" s="26"/>
      <c r="Y910" s="26"/>
      <c r="Z910" s="26"/>
    </row>
    <row r="911" hidden="1" customHeight="1" spans="1:26">
      <c r="A911" s="27">
        <v>91</v>
      </c>
      <c r="B911" s="27">
        <v>58</v>
      </c>
      <c r="C911" s="27" t="s">
        <v>442</v>
      </c>
      <c r="D911" s="27" t="s">
        <v>2928</v>
      </c>
      <c r="E911" s="27" t="s">
        <v>2893</v>
      </c>
      <c r="F911" s="27" t="str">
        <f t="shared" si="0"/>
        <v>Philosophical Greek Origin</v>
      </c>
      <c r="G911" s="27">
        <f t="shared" si="1"/>
        <v>9</v>
      </c>
      <c r="H911" s="27" t="s">
        <v>3791</v>
      </c>
      <c r="I911" s="27"/>
      <c r="J911" s="27"/>
      <c r="K911" s="27"/>
      <c r="L911" s="27" t="str">
        <f t="shared" si="2"/>
        <v>A</v>
      </c>
      <c r="M911" s="27" t="str">
        <f>IFERROR(__xludf.DUMMYFUNCTION("GOOGLETRANSLATE(C911,""EN"",""KN"")"),"ಕ್ಷಮಿಸಿ")</f>
        <v>ಕ್ಷಮಿಸಿ</v>
      </c>
      <c r="N911" s="27">
        <f t="array" ref="N911">_xlfn.XLOOKUP(B911,'Sets Progress'!I:I,'Sets Progress'!I:I,"NOT YET")</f>
        <v>58</v>
      </c>
      <c r="O911" s="27" t="str">
        <f t="array" ref="O911">_xlfn.XLOOKUP(L:L,'Overall Progress'!L:L,'Overall Progress'!L:L,"NOT YET")</f>
        <v>NOT YET</v>
      </c>
      <c r="P911" s="27"/>
      <c r="Q911" s="27"/>
      <c r="R911" s="27"/>
      <c r="S911" s="27"/>
      <c r="T911" s="27"/>
      <c r="U911" s="27"/>
      <c r="V911" s="27"/>
      <c r="W911" s="27"/>
      <c r="X911" s="27"/>
      <c r="Y911" s="27"/>
      <c r="Z911" s="27"/>
    </row>
    <row r="912" hidden="1" customHeight="1" spans="1:26">
      <c r="A912" s="26">
        <v>152</v>
      </c>
      <c r="B912" s="26">
        <v>58</v>
      </c>
      <c r="C912" s="26" t="s">
        <v>501</v>
      </c>
      <c r="D912" s="26" t="s">
        <v>2946</v>
      </c>
      <c r="E912" s="26" t="s">
        <v>2899</v>
      </c>
      <c r="F912" s="26" t="str">
        <f t="shared" si="0"/>
        <v>Emotional Middle English Origin</v>
      </c>
      <c r="G912" s="26">
        <f t="shared" si="1"/>
        <v>5</v>
      </c>
      <c r="H912" s="26" t="s">
        <v>3792</v>
      </c>
      <c r="I912" s="26"/>
      <c r="J912" s="26"/>
      <c r="K912" s="26"/>
      <c r="L912" s="26" t="str">
        <f t="shared" si="2"/>
        <v>B</v>
      </c>
      <c r="M912" s="26" t="str">
        <f>IFERROR(__xludf.DUMMYFUNCTION("GOOGLETRANSLATE(C912,""EN"",""KN"")"),"ಬೌಡಿ")</f>
        <v>ಬೌಡಿ</v>
      </c>
      <c r="N912" s="26">
        <f t="array" ref="N912">_xlfn.XLOOKUP(B912,'Sets Progress'!I:I,'Sets Progress'!I:I,"NOT YET")</f>
        <v>58</v>
      </c>
      <c r="O912" s="26" t="str">
        <f t="array" ref="O912">_xlfn.XLOOKUP(L:L,'Overall Progress'!L:L,'Overall Progress'!L:L,"NOT YET")</f>
        <v>NOT YET</v>
      </c>
      <c r="P912" s="26"/>
      <c r="Q912" s="26"/>
      <c r="R912" s="26"/>
      <c r="S912" s="26"/>
      <c r="T912" s="26"/>
      <c r="U912" s="26"/>
      <c r="V912" s="26"/>
      <c r="W912" s="26"/>
      <c r="X912" s="26"/>
      <c r="Y912" s="26"/>
      <c r="Z912" s="26"/>
    </row>
    <row r="913" hidden="1" customHeight="1" spans="1:26">
      <c r="A913" s="27">
        <v>161</v>
      </c>
      <c r="B913" s="27">
        <v>58</v>
      </c>
      <c r="C913" s="27" t="s">
        <v>510</v>
      </c>
      <c r="D913" s="27" t="s">
        <v>2946</v>
      </c>
      <c r="E913" s="27" t="s">
        <v>2908</v>
      </c>
      <c r="F913" s="27" t="str">
        <f t="shared" si="0"/>
        <v>Emotional Old English Origin</v>
      </c>
      <c r="G913" s="27">
        <f t="shared" si="1"/>
        <v>6</v>
      </c>
      <c r="H913" s="27" t="s">
        <v>3793</v>
      </c>
      <c r="I913" s="27"/>
      <c r="J913" s="27"/>
      <c r="K913" s="27"/>
      <c r="L913" s="27" t="str">
        <f t="shared" si="2"/>
        <v>B</v>
      </c>
      <c r="M913" s="27" t="str">
        <f>IFERROR(__xludf.DUMMYFUNCTION("GOOGLETRANSLATE(C913,""EN"",""KN"")"),"ಬೆಮುಸೆ")</f>
        <v>ಬೆಮುಸೆ</v>
      </c>
      <c r="N913" s="27">
        <f t="array" ref="N913">_xlfn.XLOOKUP(B913,'Sets Progress'!I:I,'Sets Progress'!I:I,"NOT YET")</f>
        <v>58</v>
      </c>
      <c r="O913" s="27" t="str">
        <f t="array" ref="O913">_xlfn.XLOOKUP(L:L,'Overall Progress'!L:L,'Overall Progress'!L:L,"NOT YET")</f>
        <v>NOT YET</v>
      </c>
      <c r="P913" s="27"/>
      <c r="Q913" s="27"/>
      <c r="R913" s="27"/>
      <c r="S913" s="27"/>
      <c r="T913" s="27"/>
      <c r="U913" s="27"/>
      <c r="V913" s="27"/>
      <c r="W913" s="27"/>
      <c r="X913" s="27"/>
      <c r="Y913" s="27"/>
      <c r="Z913" s="27"/>
    </row>
    <row r="914" hidden="1" customHeight="1" spans="1:26">
      <c r="A914" s="26">
        <v>322</v>
      </c>
      <c r="B914" s="26">
        <v>58</v>
      </c>
      <c r="C914" s="26" t="s">
        <v>672</v>
      </c>
      <c r="D914" s="26" t="s">
        <v>2716</v>
      </c>
      <c r="E914" s="26" t="s">
        <v>2889</v>
      </c>
      <c r="F914" s="26" t="str">
        <f t="shared" si="0"/>
        <v>Negative Traits Latin Origin</v>
      </c>
      <c r="G914" s="26">
        <f t="shared" si="1"/>
        <v>5</v>
      </c>
      <c r="H914" s="26" t="s">
        <v>3794</v>
      </c>
      <c r="I914" s="26"/>
      <c r="J914" s="26"/>
      <c r="K914" s="26"/>
      <c r="L914" s="26" t="str">
        <f t="shared" si="2"/>
        <v>C</v>
      </c>
      <c r="M914" s="26" t="str">
        <f>IFERROR(__xludf.DUMMYFUNCTION("GOOGLETRANSLATE(C914,""EN"",""KN"")"),"ಅಪೇಕ್ಷೆ")</f>
        <v>ಅಪೇಕ್ಷೆ</v>
      </c>
      <c r="N914" s="26">
        <f t="array" ref="N914">_xlfn.XLOOKUP(B914,'Sets Progress'!I:I,'Sets Progress'!I:I,"NOT YET")</f>
        <v>58</v>
      </c>
      <c r="O914" s="26" t="str">
        <f t="array" ref="O914">_xlfn.XLOOKUP(L:L,'Overall Progress'!L:L,'Overall Progress'!L:L,"NOT YET")</f>
        <v>NOT YET</v>
      </c>
      <c r="P914" s="26"/>
      <c r="Q914" s="26"/>
      <c r="R914" s="26"/>
      <c r="S914" s="26"/>
      <c r="T914" s="26"/>
      <c r="U914" s="26"/>
      <c r="V914" s="26"/>
      <c r="W914" s="26"/>
      <c r="X914" s="26"/>
      <c r="Y914" s="26"/>
      <c r="Z914" s="26"/>
    </row>
    <row r="915" hidden="1" customHeight="1" spans="1:26">
      <c r="A915" s="27">
        <v>440</v>
      </c>
      <c r="B915" s="27">
        <v>58</v>
      </c>
      <c r="C915" s="27" t="s">
        <v>789</v>
      </c>
      <c r="D915" s="27" t="s">
        <v>1721</v>
      </c>
      <c r="E915" s="27" t="s">
        <v>2889</v>
      </c>
      <c r="F915" s="27" t="str">
        <f t="shared" si="0"/>
        <v>Temporal Latin Origin</v>
      </c>
      <c r="G915" s="27">
        <f t="shared" si="1"/>
        <v>11</v>
      </c>
      <c r="H915" s="27" t="s">
        <v>3795</v>
      </c>
      <c r="I915" s="27"/>
      <c r="J915" s="27"/>
      <c r="K915" s="27"/>
      <c r="L915" s="27" t="str">
        <f t="shared" si="2"/>
        <v>D</v>
      </c>
      <c r="M915" s="27" t="str">
        <f>IFERROR(__xludf.DUMMYFUNCTION("GOOGLETRANSLATE(C915,""EN"",""KN"")"),"ವಿಸರ್ಜನೆ")</f>
        <v>ವಿಸರ್ಜನೆ</v>
      </c>
      <c r="N915" s="27">
        <f t="array" ref="N915">_xlfn.XLOOKUP(B915,'Sets Progress'!I:I,'Sets Progress'!I:I,"NOT YET")</f>
        <v>58</v>
      </c>
      <c r="O915" s="27" t="str">
        <f t="array" ref="O915">_xlfn.XLOOKUP(L:L,'Overall Progress'!L:L,'Overall Progress'!L:L,"NOT YET")</f>
        <v>NOT YET</v>
      </c>
      <c r="P915" s="27"/>
      <c r="Q915" s="27"/>
      <c r="R915" s="27"/>
      <c r="S915" s="27"/>
      <c r="T915" s="27"/>
      <c r="U915" s="27"/>
      <c r="V915" s="27"/>
      <c r="W915" s="27"/>
      <c r="X915" s="27"/>
      <c r="Y915" s="27"/>
      <c r="Z915" s="27"/>
    </row>
    <row r="916" hidden="1" customHeight="1" spans="1:26">
      <c r="A916" s="26">
        <v>514</v>
      </c>
      <c r="B916" s="26">
        <v>58</v>
      </c>
      <c r="C916" s="26" t="s">
        <v>863</v>
      </c>
      <c r="D916" s="26" t="s">
        <v>1721</v>
      </c>
      <c r="E916" s="26" t="s">
        <v>2896</v>
      </c>
      <c r="F916" s="26" t="str">
        <f t="shared" si="0"/>
        <v>Temporal Old French Origin</v>
      </c>
      <c r="G916" s="26">
        <f t="shared" si="1"/>
        <v>6</v>
      </c>
      <c r="H916" s="26" t="s">
        <v>3796</v>
      </c>
      <c r="I916" s="26"/>
      <c r="J916" s="26"/>
      <c r="K916" s="26"/>
      <c r="L916" s="26" t="str">
        <f t="shared" si="2"/>
        <v>E</v>
      </c>
      <c r="M916" s="26" t="str">
        <f>IFERROR(__xludf.DUMMYFUNCTION("GOOGLETRANSLATE(C916,""EN"",""KN"")"),"ಎಂಟೈಲ್")</f>
        <v>ಎಂಟೈಲ್</v>
      </c>
      <c r="N916" s="26">
        <f t="array" ref="N916">_xlfn.XLOOKUP(B916,'Sets Progress'!I:I,'Sets Progress'!I:I,"NOT YET")</f>
        <v>58</v>
      </c>
      <c r="O916" s="26" t="str">
        <f t="array" ref="O916">_xlfn.XLOOKUP(L:L,'Overall Progress'!L:L,'Overall Progress'!L:L,"NOT YET")</f>
        <v>NOT YET</v>
      </c>
      <c r="P916" s="26"/>
      <c r="Q916" s="26"/>
      <c r="R916" s="26"/>
      <c r="S916" s="26"/>
      <c r="T916" s="26"/>
      <c r="U916" s="26"/>
      <c r="V916" s="26"/>
      <c r="W916" s="26"/>
      <c r="X916" s="26"/>
      <c r="Y916" s="26"/>
      <c r="Z916" s="26"/>
    </row>
    <row r="917" hidden="1" customHeight="1" spans="1:26">
      <c r="A917" s="27">
        <v>623</v>
      </c>
      <c r="B917" s="27">
        <v>58</v>
      </c>
      <c r="C917" s="27" t="s">
        <v>967</v>
      </c>
      <c r="D917" s="27" t="s">
        <v>1721</v>
      </c>
      <c r="E917" s="27" t="s">
        <v>2908</v>
      </c>
      <c r="F917" s="27" t="str">
        <f t="shared" si="0"/>
        <v>Temporal Old English Origin</v>
      </c>
      <c r="G917" s="27">
        <f t="shared" si="1"/>
        <v>9</v>
      </c>
      <c r="H917" s="27" t="s">
        <v>3797</v>
      </c>
      <c r="I917" s="27"/>
      <c r="J917" s="27"/>
      <c r="K917" s="27"/>
      <c r="L917" s="27" t="str">
        <f t="shared" si="2"/>
        <v>F</v>
      </c>
      <c r="M917" s="27" t="str">
        <f>IFERROR(__xludf.DUMMYFUNCTION("GOOGLETRANSLATE(C917,""EN"",""KN"")"),"ಫಾರೆಸ್ಟಾಲ್")</f>
        <v>ಫಾರೆಸ್ಟಾಲ್</v>
      </c>
      <c r="N917" s="27">
        <f t="array" ref="N917">_xlfn.XLOOKUP(B917,'Sets Progress'!I:I,'Sets Progress'!I:I,"NOT YET")</f>
        <v>58</v>
      </c>
      <c r="O917" s="27" t="str">
        <f t="array" ref="O917">_xlfn.XLOOKUP(L:L,'Overall Progress'!L:L,'Overall Progress'!L:L,"NOT YET")</f>
        <v>NOT YET</v>
      </c>
      <c r="P917" s="27"/>
      <c r="Q917" s="27"/>
      <c r="R917" s="27"/>
      <c r="S917" s="27"/>
      <c r="T917" s="27"/>
      <c r="U917" s="27"/>
      <c r="V917" s="27"/>
      <c r="W917" s="27"/>
      <c r="X917" s="27"/>
      <c r="Y917" s="27"/>
      <c r="Z917" s="27"/>
    </row>
    <row r="918" hidden="1" customHeight="1" spans="1:26">
      <c r="A918" s="26">
        <v>735</v>
      </c>
      <c r="B918" s="26">
        <v>58</v>
      </c>
      <c r="C918" s="26" t="s">
        <v>1076</v>
      </c>
      <c r="D918" s="26" t="s">
        <v>1721</v>
      </c>
      <c r="E918" s="26" t="s">
        <v>2889</v>
      </c>
      <c r="F918" s="26" t="str">
        <f t="shared" si="0"/>
        <v>Temporal Latin Origin</v>
      </c>
      <c r="G918" s="26">
        <f t="shared" si="1"/>
        <v>9</v>
      </c>
      <c r="H918" s="26" t="s">
        <v>3798</v>
      </c>
      <c r="I918" s="26"/>
      <c r="J918" s="26"/>
      <c r="K918" s="26"/>
      <c r="L918" s="26" t="str">
        <f t="shared" si="2"/>
        <v>I</v>
      </c>
      <c r="M918" s="26" t="str">
        <f>IFERROR(__xludf.DUMMYFUNCTION("GOOGLETRANSLATE(C918,""EN"",""KN"")"),"ಸುಧಾರಿಸಿ")</f>
        <v>ಸುಧಾರಿಸಿ</v>
      </c>
      <c r="N918" s="26">
        <f t="array" ref="N918">_xlfn.XLOOKUP(B918,'Sets Progress'!I:I,'Sets Progress'!I:I,"NOT YET")</f>
        <v>58</v>
      </c>
      <c r="O918" s="26" t="str">
        <f t="array" ref="O918">_xlfn.XLOOKUP(L:L,'Overall Progress'!L:L,'Overall Progress'!L:L,"NOT YET")</f>
        <v>NOT YET</v>
      </c>
      <c r="P918" s="26"/>
      <c r="Q918" s="26"/>
      <c r="R918" s="26"/>
      <c r="S918" s="26"/>
      <c r="T918" s="26"/>
      <c r="U918" s="26"/>
      <c r="V918" s="26"/>
      <c r="W918" s="26"/>
      <c r="X918" s="26"/>
      <c r="Y918" s="26"/>
      <c r="Z918" s="26"/>
    </row>
    <row r="919" hidden="1" customHeight="1" spans="1:26">
      <c r="A919" s="27">
        <v>1077</v>
      </c>
      <c r="B919" s="27">
        <v>58</v>
      </c>
      <c r="C919" s="27" t="s">
        <v>1412</v>
      </c>
      <c r="D919" s="27" t="s">
        <v>1721</v>
      </c>
      <c r="E919" s="27" t="s">
        <v>2921</v>
      </c>
      <c r="F919" s="27" t="str">
        <f t="shared" si="0"/>
        <v>Temporal Unknown Origin</v>
      </c>
      <c r="G919" s="27">
        <f t="shared" si="1"/>
        <v>4</v>
      </c>
      <c r="H919" s="27" t="s">
        <v>3799</v>
      </c>
      <c r="I919" s="27"/>
      <c r="J919" s="27"/>
      <c r="K919" s="27"/>
      <c r="L919" s="27" t="str">
        <f t="shared" si="2"/>
        <v>P</v>
      </c>
      <c r="M919" s="27" t="str">
        <f>IFERROR(__xludf.DUMMYFUNCTION("GOOGLETRANSLATE(C919,""EN"",""KN"")"),"ತಂತ್ರ")</f>
        <v>ತಂತ್ರ</v>
      </c>
      <c r="N919" s="27">
        <f t="array" ref="N919">_xlfn.XLOOKUP(B919,'Sets Progress'!I:I,'Sets Progress'!I:I,"NOT YET")</f>
        <v>58</v>
      </c>
      <c r="O919" s="27" t="str">
        <f t="array" ref="O919">_xlfn.XLOOKUP(L:L,'Overall Progress'!L:L,'Overall Progress'!L:L,"NOT YET")</f>
        <v>NOT YET</v>
      </c>
      <c r="P919" s="27"/>
      <c r="Q919" s="27"/>
      <c r="R919" s="27"/>
      <c r="S919" s="27"/>
      <c r="T919" s="27"/>
      <c r="U919" s="27"/>
      <c r="V919" s="27"/>
      <c r="W919" s="27"/>
      <c r="X919" s="27"/>
      <c r="Y919" s="27"/>
      <c r="Z919" s="27"/>
    </row>
    <row r="920" hidden="1" customHeight="1" spans="1:26">
      <c r="A920" s="26">
        <v>1138</v>
      </c>
      <c r="B920" s="26">
        <v>58</v>
      </c>
      <c r="C920" s="26" t="s">
        <v>1470</v>
      </c>
      <c r="D920" s="26" t="s">
        <v>2717</v>
      </c>
      <c r="E920" s="26" t="s">
        <v>2889</v>
      </c>
      <c r="F920" s="26" t="str">
        <f t="shared" si="0"/>
        <v>Positive Traits Latin Origin</v>
      </c>
      <c r="G920" s="26">
        <f t="shared" si="1"/>
        <v>9</v>
      </c>
      <c r="H920" s="26" t="s">
        <v>3800</v>
      </c>
      <c r="I920" s="26"/>
      <c r="J920" s="26"/>
      <c r="K920" s="26"/>
      <c r="L920" s="26" t="str">
        <f t="shared" si="2"/>
        <v>P</v>
      </c>
      <c r="M920" s="26" t="str">
        <f>IFERROR(__xludf.DUMMYFUNCTION("GOOGLETRANSLATE(C920,""EN"",""KN"")"),"ಔಚಿತ್ಯ")</f>
        <v>ಔಚಿತ್ಯ</v>
      </c>
      <c r="N920" s="26">
        <f t="array" ref="N920">_xlfn.XLOOKUP(B920,'Sets Progress'!I:I,'Sets Progress'!I:I,"NOT YET")</f>
        <v>58</v>
      </c>
      <c r="O920" s="26" t="str">
        <f t="array" ref="O920">_xlfn.XLOOKUP(L:L,'Overall Progress'!L:L,'Overall Progress'!L:L,"NOT YET")</f>
        <v>NOT YET</v>
      </c>
      <c r="P920" s="26"/>
      <c r="Q920" s="26"/>
      <c r="R920" s="26"/>
      <c r="S920" s="26"/>
      <c r="T920" s="26"/>
      <c r="U920" s="26"/>
      <c r="V920" s="26"/>
      <c r="W920" s="26"/>
      <c r="X920" s="26"/>
      <c r="Y920" s="26"/>
      <c r="Z920" s="26"/>
    </row>
    <row r="921" hidden="1" customHeight="1" spans="1:26">
      <c r="A921" s="27">
        <v>1150</v>
      </c>
      <c r="B921" s="27">
        <v>58</v>
      </c>
      <c r="C921" s="27" t="s">
        <v>1481</v>
      </c>
      <c r="D921" s="27" t="s">
        <v>2716</v>
      </c>
      <c r="E921" s="27" t="s">
        <v>2889</v>
      </c>
      <c r="F921" s="27" t="str">
        <f t="shared" si="0"/>
        <v>Negative Traits Latin Origin</v>
      </c>
      <c r="G921" s="27">
        <f t="shared" si="1"/>
        <v>10</v>
      </c>
      <c r="H921" s="27" t="s">
        <v>3801</v>
      </c>
      <c r="I921" s="27"/>
      <c r="J921" s="27"/>
      <c r="K921" s="27"/>
      <c r="L921" s="27" t="str">
        <f t="shared" si="2"/>
        <v>P</v>
      </c>
      <c r="M921" s="27" t="str">
        <f>IFERROR(__xludf.DUMMYFUNCTION("GOOGLETRANSLATE(C921,""EN"",""KN"")"),"ಕಟುವಾದ")</f>
        <v>ಕಟುವಾದ</v>
      </c>
      <c r="N921" s="27">
        <f t="array" ref="N921">_xlfn.XLOOKUP(B921,'Sets Progress'!I:I,'Sets Progress'!I:I,"NOT YET")</f>
        <v>58</v>
      </c>
      <c r="O921" s="27" t="str">
        <f t="array" ref="O921">_xlfn.XLOOKUP(L:L,'Overall Progress'!L:L,'Overall Progress'!L:L,"NOT YET")</f>
        <v>NOT YET</v>
      </c>
      <c r="P921" s="27"/>
      <c r="Q921" s="27"/>
      <c r="R921" s="27"/>
      <c r="S921" s="27"/>
      <c r="T921" s="27"/>
      <c r="U921" s="27"/>
      <c r="V921" s="27"/>
      <c r="W921" s="27"/>
      <c r="X921" s="27"/>
      <c r="Y921" s="27"/>
      <c r="Z921" s="27"/>
    </row>
    <row r="922" hidden="1" customHeight="1" spans="1:26">
      <c r="A922" s="26">
        <v>1365</v>
      </c>
      <c r="B922" s="26">
        <v>58</v>
      </c>
      <c r="C922" s="26" t="s">
        <v>1696</v>
      </c>
      <c r="D922" s="26" t="s">
        <v>2716</v>
      </c>
      <c r="E922" s="26" t="s">
        <v>2889</v>
      </c>
      <c r="F922" s="26" t="str">
        <f t="shared" si="0"/>
        <v>Negative Traits Latin Origin</v>
      </c>
      <c r="G922" s="26">
        <f t="shared" si="1"/>
        <v>7</v>
      </c>
      <c r="H922" s="26" t="s">
        <v>3802</v>
      </c>
      <c r="I922" s="26"/>
      <c r="J922" s="26"/>
      <c r="K922" s="26"/>
      <c r="L922" s="26" t="str">
        <f t="shared" si="2"/>
        <v>S</v>
      </c>
      <c r="M922" s="26" t="str">
        <f>IFERROR(__xludf.DUMMYFUNCTION("GOOGLETRANSLATE(C922,""EN"",""KN"")"),"ಶಂಕಿತ")</f>
        <v>ಶಂಕಿತ</v>
      </c>
      <c r="N922" s="26">
        <f t="array" ref="N922">_xlfn.XLOOKUP(B922,'Sets Progress'!I:I,'Sets Progress'!I:I,"NOT YET")</f>
        <v>58</v>
      </c>
      <c r="O922" s="26" t="str">
        <f t="array" ref="O922">_xlfn.XLOOKUP(L:L,'Overall Progress'!L:L,'Overall Progress'!L:L,"NOT YET")</f>
        <v>NOT YET</v>
      </c>
      <c r="P922" s="26"/>
      <c r="Q922" s="26"/>
      <c r="R922" s="26"/>
      <c r="S922" s="26"/>
      <c r="T922" s="26"/>
      <c r="U922" s="26"/>
      <c r="V922" s="26"/>
      <c r="W922" s="26"/>
      <c r="X922" s="26"/>
      <c r="Y922" s="26"/>
      <c r="Z922" s="26"/>
    </row>
    <row r="923" hidden="1" customHeight="1" spans="1:26">
      <c r="A923" s="27">
        <v>1462</v>
      </c>
      <c r="B923" s="27">
        <v>58</v>
      </c>
      <c r="C923" s="27" t="s">
        <v>1790</v>
      </c>
      <c r="D923" s="27" t="s">
        <v>2716</v>
      </c>
      <c r="E923" s="27" t="s">
        <v>2908</v>
      </c>
      <c r="F923" s="27" t="str">
        <f t="shared" si="0"/>
        <v>Negative Traits Old English Origin</v>
      </c>
      <c r="G923" s="27">
        <f t="shared" si="1"/>
        <v>12</v>
      </c>
      <c r="H923" s="27" t="s">
        <v>3803</v>
      </c>
      <c r="I923" s="27"/>
      <c r="J923" s="27"/>
      <c r="K923" s="27"/>
      <c r="L923" s="27" t="str">
        <f t="shared" si="2"/>
        <v>U</v>
      </c>
      <c r="M923" s="27" t="str">
        <f>IFERROR(__xludf.DUMMYFUNCTION("GOOGLETRANSLATE(C923,""EN"",""KN"")"),"ಅಗ್ರಾಹ್ಯ")</f>
        <v>ಅಗ್ರಾಹ್ಯ</v>
      </c>
      <c r="N923" s="27">
        <f t="array" ref="N923">_xlfn.XLOOKUP(B923,'Sets Progress'!I:I,'Sets Progress'!I:I,"NOT YET")</f>
        <v>58</v>
      </c>
      <c r="O923" s="27" t="str">
        <f t="array" ref="O923">_xlfn.XLOOKUP(L:L,'Overall Progress'!L:L,'Overall Progress'!L:L,"NOT YET")</f>
        <v>NOT YET</v>
      </c>
      <c r="P923" s="27"/>
      <c r="Q923" s="27"/>
      <c r="R923" s="27"/>
      <c r="S923" s="27"/>
      <c r="T923" s="27"/>
      <c r="U923" s="27"/>
      <c r="V923" s="27"/>
      <c r="W923" s="27"/>
      <c r="X923" s="27"/>
      <c r="Y923" s="27"/>
      <c r="Z923" s="27"/>
    </row>
    <row r="924" hidden="1" customHeight="1" spans="1:26">
      <c r="A924" s="26">
        <v>106</v>
      </c>
      <c r="B924" s="26">
        <v>59</v>
      </c>
      <c r="C924" s="26" t="s">
        <v>456</v>
      </c>
      <c r="D924" s="26" t="s">
        <v>2892</v>
      </c>
      <c r="E924" s="26" t="s">
        <v>2889</v>
      </c>
      <c r="F924" s="26" t="str">
        <f t="shared" si="0"/>
        <v>Spatial Latin Origin</v>
      </c>
      <c r="G924" s="26">
        <f t="shared" si="1"/>
        <v>9</v>
      </c>
      <c r="H924" s="26" t="s">
        <v>3804</v>
      </c>
      <c r="I924" s="26"/>
      <c r="J924" s="26"/>
      <c r="K924" s="26"/>
      <c r="L924" s="26" t="str">
        <f t="shared" si="2"/>
        <v>A</v>
      </c>
      <c r="M924" s="26" t="str">
        <f>IFERROR(__xludf.DUMMYFUNCTION("GOOGLETRANSLATE(C924,""EN"",""KN"")"),"ಬಂಧಿಸಲಾಗುತ್ತಿದೆ")</f>
        <v>ಬಂಧಿಸಲಾಗುತ್ತಿದೆ</v>
      </c>
      <c r="N924" s="26">
        <f t="array" ref="N924">_xlfn.XLOOKUP(B924,'Sets Progress'!I:I,'Sets Progress'!I:I,"NOT YET")</f>
        <v>59</v>
      </c>
      <c r="O924" s="26" t="str">
        <f t="array" ref="O924">_xlfn.XLOOKUP(L:L,'Overall Progress'!L:L,'Overall Progress'!L:L,"NOT YET")</f>
        <v>NOT YET</v>
      </c>
      <c r="P924" s="26"/>
      <c r="Q924" s="26"/>
      <c r="R924" s="26"/>
      <c r="S924" s="26"/>
      <c r="T924" s="26"/>
      <c r="U924" s="26"/>
      <c r="V924" s="26"/>
      <c r="W924" s="26"/>
      <c r="X924" s="26"/>
      <c r="Y924" s="26"/>
      <c r="Z924" s="26"/>
    </row>
    <row r="925" hidden="1" customHeight="1" spans="1:26">
      <c r="A925" s="27">
        <v>226</v>
      </c>
      <c r="B925" s="27">
        <v>59</v>
      </c>
      <c r="C925" s="27" t="s">
        <v>576</v>
      </c>
      <c r="D925" s="27" t="s">
        <v>2716</v>
      </c>
      <c r="E925" s="27" t="s">
        <v>2889</v>
      </c>
      <c r="F925" s="27" t="str">
        <f t="shared" si="0"/>
        <v>Negative Traits Latin Origin</v>
      </c>
      <c r="G925" s="27">
        <f t="shared" si="1"/>
        <v>8</v>
      </c>
      <c r="H925" s="27" t="s">
        <v>3805</v>
      </c>
      <c r="I925" s="27"/>
      <c r="J925" s="27"/>
      <c r="K925" s="27"/>
      <c r="L925" s="27" t="str">
        <f t="shared" si="2"/>
        <v>C</v>
      </c>
      <c r="M925" s="27" t="str">
        <f>IFERROR(__xludf.DUMMYFUNCTION("GOOGLETRANSLATE(C925,""EN"",""KN"")"),"ಶಿಕ್ಷಿಸಿ")</f>
        <v>ಶಿಕ್ಷಿಸಿ</v>
      </c>
      <c r="N925" s="27">
        <f t="array" ref="N925">_xlfn.XLOOKUP(B925,'Sets Progress'!I:I,'Sets Progress'!I:I,"NOT YET")</f>
        <v>59</v>
      </c>
      <c r="O925" s="27" t="str">
        <f t="array" ref="O925">_xlfn.XLOOKUP(L:L,'Overall Progress'!L:L,'Overall Progress'!L:L,"NOT YET")</f>
        <v>NOT YET</v>
      </c>
      <c r="P925" s="27"/>
      <c r="Q925" s="27"/>
      <c r="R925" s="27"/>
      <c r="S925" s="27"/>
      <c r="T925" s="27"/>
      <c r="U925" s="27"/>
      <c r="V925" s="27"/>
      <c r="W925" s="27"/>
      <c r="X925" s="27"/>
      <c r="Y925" s="27"/>
      <c r="Z925" s="27"/>
    </row>
    <row r="926" hidden="1" customHeight="1" spans="1:26">
      <c r="A926" s="26">
        <v>350</v>
      </c>
      <c r="B926" s="26">
        <v>59</v>
      </c>
      <c r="C926" s="26" t="s">
        <v>700</v>
      </c>
      <c r="D926" s="26" t="s">
        <v>2716</v>
      </c>
      <c r="E926" s="26" t="s">
        <v>2911</v>
      </c>
      <c r="F926" s="26" t="str">
        <f t="shared" si="0"/>
        <v>Negative Traits French Origin</v>
      </c>
      <c r="G926" s="26">
        <f t="shared" si="1"/>
        <v>8</v>
      </c>
      <c r="H926" s="26" t="s">
        <v>3806</v>
      </c>
      <c r="I926" s="26"/>
      <c r="J926" s="26"/>
      <c r="K926" s="26"/>
      <c r="L926" s="26" t="str">
        <f t="shared" si="2"/>
        <v>D</v>
      </c>
      <c r="M926" s="26" t="str">
        <f>IFERROR(__xludf.DUMMYFUNCTION("GOOGLETRANSLATE(C926,""EN"",""KN"")"),"ದಶಕ")</f>
        <v>ದಶಕ</v>
      </c>
      <c r="N926" s="26">
        <f t="array" ref="N926">_xlfn.XLOOKUP(B926,'Sets Progress'!I:I,'Sets Progress'!I:I,"NOT YET")</f>
        <v>59</v>
      </c>
      <c r="O926" s="26" t="str">
        <f t="array" ref="O926">_xlfn.XLOOKUP(L:L,'Overall Progress'!L:L,'Overall Progress'!L:L,"NOT YET")</f>
        <v>NOT YET</v>
      </c>
      <c r="P926" s="26"/>
      <c r="Q926" s="26"/>
      <c r="R926" s="26"/>
      <c r="S926" s="26"/>
      <c r="T926" s="26"/>
      <c r="U926" s="26"/>
      <c r="V926" s="26"/>
      <c r="W926" s="26"/>
      <c r="X926" s="26"/>
      <c r="Y926" s="26"/>
      <c r="Z926" s="26"/>
    </row>
    <row r="927" hidden="1" customHeight="1" spans="1:26">
      <c r="A927" s="27">
        <v>449</v>
      </c>
      <c r="B927" s="27">
        <v>59</v>
      </c>
      <c r="C927" s="27" t="s">
        <v>798</v>
      </c>
      <c r="D927" s="27" t="s">
        <v>2928</v>
      </c>
      <c r="E927" s="27" t="s">
        <v>2911</v>
      </c>
      <c r="F927" s="27" t="str">
        <f t="shared" si="0"/>
        <v>Philosophical French Origin</v>
      </c>
      <c r="G927" s="27">
        <f t="shared" si="1"/>
        <v>11</v>
      </c>
      <c r="H927" s="27" t="s">
        <v>3807</v>
      </c>
      <c r="I927" s="27"/>
      <c r="J927" s="27"/>
      <c r="K927" s="27"/>
      <c r="L927" s="27" t="str">
        <f t="shared" si="2"/>
        <v>D</v>
      </c>
      <c r="M927" s="27" t="str">
        <f>IFERROR(__xludf.DUMMYFUNCTION("GOOGLETRANSLATE(C927,""EN"",""KN"")"),"ಡಾಕ್ಟಿನೇರ್")</f>
        <v>ಡಾಕ್ಟಿನೇರ್</v>
      </c>
      <c r="N927" s="27">
        <f t="array" ref="N927">_xlfn.XLOOKUP(B927,'Sets Progress'!I:I,'Sets Progress'!I:I,"NOT YET")</f>
        <v>59</v>
      </c>
      <c r="O927" s="27" t="str">
        <f t="array" ref="O927">_xlfn.XLOOKUP(L:L,'Overall Progress'!L:L,'Overall Progress'!L:L,"NOT YET")</f>
        <v>NOT YET</v>
      </c>
      <c r="P927" s="27"/>
      <c r="Q927" s="27"/>
      <c r="R927" s="27"/>
      <c r="S927" s="27"/>
      <c r="T927" s="27"/>
      <c r="U927" s="27"/>
      <c r="V927" s="27"/>
      <c r="W927" s="27"/>
      <c r="X927" s="27"/>
      <c r="Y927" s="27"/>
      <c r="Z927" s="27"/>
    </row>
    <row r="928" hidden="1" customHeight="1" spans="1:26">
      <c r="A928" s="26">
        <v>504</v>
      </c>
      <c r="B928" s="26">
        <v>59</v>
      </c>
      <c r="C928" s="26" t="s">
        <v>853</v>
      </c>
      <c r="D928" s="26" t="s">
        <v>2898</v>
      </c>
      <c r="E928" s="26" t="s">
        <v>2889</v>
      </c>
      <c r="F928" s="26" t="str">
        <f t="shared" si="0"/>
        <v>Physical Sensation Latin Origin</v>
      </c>
      <c r="G928" s="26">
        <f t="shared" si="1"/>
        <v>8</v>
      </c>
      <c r="H928" s="26" t="s">
        <v>3808</v>
      </c>
      <c r="I928" s="26"/>
      <c r="J928" s="26"/>
      <c r="K928" s="26"/>
      <c r="L928" s="26" t="str">
        <f t="shared" si="2"/>
        <v>E</v>
      </c>
      <c r="M928" s="26" t="str">
        <f>IFERROR(__xludf.DUMMYFUNCTION("GOOGLETRANSLATE(C928,""EN"",""KN"")"),"ಹುರಿದುಂಬಿಸಿ")</f>
        <v>ಹುರಿದುಂಬಿಸಿ</v>
      </c>
      <c r="N928" s="26">
        <f t="array" ref="N928">_xlfn.XLOOKUP(B928,'Sets Progress'!I:I,'Sets Progress'!I:I,"NOT YET")</f>
        <v>59</v>
      </c>
      <c r="O928" s="26" t="str">
        <f t="array" ref="O928">_xlfn.XLOOKUP(L:L,'Overall Progress'!L:L,'Overall Progress'!L:L,"NOT YET")</f>
        <v>NOT YET</v>
      </c>
      <c r="P928" s="26"/>
      <c r="Q928" s="26"/>
      <c r="R928" s="26"/>
      <c r="S928" s="26"/>
      <c r="T928" s="26"/>
      <c r="U928" s="26"/>
      <c r="V928" s="26"/>
      <c r="W928" s="26"/>
      <c r="X928" s="26"/>
      <c r="Y928" s="26"/>
      <c r="Z928" s="26"/>
    </row>
    <row r="929" hidden="1" customHeight="1" spans="1:26">
      <c r="A929" s="27">
        <v>666</v>
      </c>
      <c r="B929" s="27">
        <v>59</v>
      </c>
      <c r="C929" s="27" t="s">
        <v>1009</v>
      </c>
      <c r="D929" s="27" t="s">
        <v>1721</v>
      </c>
      <c r="E929" s="27" t="s">
        <v>2889</v>
      </c>
      <c r="F929" s="27" t="str">
        <f t="shared" si="0"/>
        <v>Temporal Latin Origin</v>
      </c>
      <c r="G929" s="27">
        <f t="shared" si="1"/>
        <v>10</v>
      </c>
      <c r="H929" s="27" t="s">
        <v>3809</v>
      </c>
      <c r="I929" s="27"/>
      <c r="J929" s="27"/>
      <c r="K929" s="27"/>
      <c r="L929" s="27" t="str">
        <f t="shared" si="2"/>
        <v>G</v>
      </c>
      <c r="M929" s="27" t="str">
        <f>IFERROR(__xludf.DUMMYFUNCTION("GOOGLETRANSLATE(C929,""EN"",""KN"")"),"ಗ್ರೆಗೇರಿಯಸ್")</f>
        <v>ಗ್ರೆಗೇರಿಯಸ್</v>
      </c>
      <c r="N929" s="27">
        <f t="array" ref="N929">_xlfn.XLOOKUP(B929,'Sets Progress'!I:I,'Sets Progress'!I:I,"NOT YET")</f>
        <v>59</v>
      </c>
      <c r="O929" s="27" t="str">
        <f t="array" ref="O929">_xlfn.XLOOKUP(L:L,'Overall Progress'!L:L,'Overall Progress'!L:L,"NOT YET")</f>
        <v>NOT YET</v>
      </c>
      <c r="P929" s="27"/>
      <c r="Q929" s="27"/>
      <c r="R929" s="27"/>
      <c r="S929" s="27"/>
      <c r="T929" s="27"/>
      <c r="U929" s="27"/>
      <c r="V929" s="27"/>
      <c r="W929" s="27"/>
      <c r="X929" s="27"/>
      <c r="Y929" s="27"/>
      <c r="Z929" s="27"/>
    </row>
    <row r="930" hidden="1" customHeight="1" spans="1:26">
      <c r="A930" s="26">
        <v>817</v>
      </c>
      <c r="B930" s="26">
        <v>59</v>
      </c>
      <c r="C930" s="26" t="s">
        <v>1157</v>
      </c>
      <c r="D930" s="26" t="s">
        <v>2717</v>
      </c>
      <c r="E930" s="26" t="s">
        <v>2889</v>
      </c>
      <c r="F930" s="26" t="str">
        <f t="shared" si="0"/>
        <v>Positive Traits Latin Origin</v>
      </c>
      <c r="G930" s="26">
        <f t="shared" si="1"/>
        <v>10</v>
      </c>
      <c r="H930" s="26" t="s">
        <v>3810</v>
      </c>
      <c r="I930" s="26"/>
      <c r="J930" s="26"/>
      <c r="K930" s="26"/>
      <c r="L930" s="26" t="str">
        <f t="shared" si="2"/>
        <v>I</v>
      </c>
      <c r="M930" s="26" t="str">
        <f>IFERROR(__xludf.DUMMYFUNCTION("GOOGLETRANSLATE(C930,""EN"",""KN"")"),"ಅಮೂಲ್ಯ")</f>
        <v>ಅಮೂಲ್ಯ</v>
      </c>
      <c r="N930" s="26">
        <f t="array" ref="N930">_xlfn.XLOOKUP(B930,'Sets Progress'!I:I,'Sets Progress'!I:I,"NOT YET")</f>
        <v>59</v>
      </c>
      <c r="O930" s="26" t="str">
        <f t="array" ref="O930">_xlfn.XLOOKUP(L:L,'Overall Progress'!L:L,'Overall Progress'!L:L,"NOT YET")</f>
        <v>NOT YET</v>
      </c>
      <c r="P930" s="26"/>
      <c r="Q930" s="26"/>
      <c r="R930" s="26"/>
      <c r="S930" s="26"/>
      <c r="T930" s="26"/>
      <c r="U930" s="26"/>
      <c r="V930" s="26"/>
      <c r="W930" s="26"/>
      <c r="X930" s="26"/>
      <c r="Y930" s="26"/>
      <c r="Z930" s="26"/>
    </row>
    <row r="931" hidden="1" customHeight="1" spans="1:26">
      <c r="A931" s="27">
        <v>839</v>
      </c>
      <c r="B931" s="27">
        <v>59</v>
      </c>
      <c r="C931" s="27" t="s">
        <v>1179</v>
      </c>
      <c r="D931" s="27" t="s">
        <v>2717</v>
      </c>
      <c r="E931" s="27" t="s">
        <v>2889</v>
      </c>
      <c r="F931" s="27" t="str">
        <f t="shared" si="0"/>
        <v>Positive Traits Latin Origin</v>
      </c>
      <c r="G931" s="27">
        <f t="shared" si="1"/>
        <v>6</v>
      </c>
      <c r="H931" s="27" t="s">
        <v>3811</v>
      </c>
      <c r="I931" s="27"/>
      <c r="J931" s="27"/>
      <c r="K931" s="27" t="s">
        <v>3812</v>
      </c>
      <c r="L931" s="27" t="str">
        <f t="shared" si="2"/>
        <v>J</v>
      </c>
      <c r="M931" s="27" t="str">
        <f>IFERROR(__xludf.DUMMYFUNCTION("GOOGLETRANSLATE(C931,""EN"",""KN"")"),"ಜೋಕುಂಡ್")</f>
        <v>ಜೋಕುಂಡ್</v>
      </c>
      <c r="N931" s="27">
        <f t="array" ref="N931">_xlfn.XLOOKUP(B931,'Sets Progress'!I:I,'Sets Progress'!I:I,"NOT YET")</f>
        <v>59</v>
      </c>
      <c r="O931" s="27" t="str">
        <f t="array" ref="O931">_xlfn.XLOOKUP(L:L,'Overall Progress'!L:L,'Overall Progress'!L:L,"NOT YET")</f>
        <v>NOT YET</v>
      </c>
      <c r="P931" s="27"/>
      <c r="Q931" s="27"/>
      <c r="R931" s="27"/>
      <c r="S931" s="27"/>
      <c r="T931" s="27"/>
      <c r="U931" s="27"/>
      <c r="V931" s="27"/>
      <c r="W931" s="27"/>
      <c r="X931" s="27"/>
      <c r="Y931" s="27"/>
      <c r="Z931" s="27"/>
    </row>
    <row r="932" hidden="1" customHeight="1" spans="1:26">
      <c r="A932" s="26">
        <v>845</v>
      </c>
      <c r="B932" s="26">
        <v>59</v>
      </c>
      <c r="C932" s="26" t="s">
        <v>1185</v>
      </c>
      <c r="D932" s="26" t="s">
        <v>1721</v>
      </c>
      <c r="E932" s="26" t="s">
        <v>2893</v>
      </c>
      <c r="F932" s="26" t="str">
        <f t="shared" si="0"/>
        <v>Temporal Greek Origin</v>
      </c>
      <c r="G932" s="26">
        <f t="shared" si="1"/>
        <v>7</v>
      </c>
      <c r="H932" s="26" t="s">
        <v>3813</v>
      </c>
      <c r="I932" s="26"/>
      <c r="J932" s="26"/>
      <c r="K932" s="26"/>
      <c r="L932" s="26" t="str">
        <f t="shared" si="2"/>
        <v>L</v>
      </c>
      <c r="M932" s="26" t="str">
        <f>IFERROR(__xludf.DUMMYFUNCTION("GOOGLETRANSLATE(C932,""EN"",""KN"")"),"ಲಕೋನಿಕ್")</f>
        <v>ಲಕೋನಿಕ್</v>
      </c>
      <c r="N932" s="26">
        <f t="array" ref="N932">_xlfn.XLOOKUP(B932,'Sets Progress'!I:I,'Sets Progress'!I:I,"NOT YET")</f>
        <v>59</v>
      </c>
      <c r="O932" s="26" t="str">
        <f t="array" ref="O932">_xlfn.XLOOKUP(L:L,'Overall Progress'!L:L,'Overall Progress'!L:L,"NOT YET")</f>
        <v>NOT YET</v>
      </c>
      <c r="P932" s="26"/>
      <c r="Q932" s="26"/>
      <c r="R932" s="26"/>
      <c r="S932" s="26"/>
      <c r="T932" s="26"/>
      <c r="U932" s="26"/>
      <c r="V932" s="26"/>
      <c r="W932" s="26"/>
      <c r="X932" s="26"/>
      <c r="Y932" s="26"/>
      <c r="Z932" s="26"/>
    </row>
    <row r="933" hidden="1" customHeight="1" spans="1:26">
      <c r="A933" s="27">
        <v>851</v>
      </c>
      <c r="B933" s="27">
        <v>59</v>
      </c>
      <c r="C933" s="27" t="s">
        <v>1191</v>
      </c>
      <c r="D933" s="27" t="s">
        <v>2717</v>
      </c>
      <c r="E933" s="27" t="s">
        <v>2889</v>
      </c>
      <c r="F933" s="27" t="str">
        <f t="shared" si="0"/>
        <v>Positive Traits Latin Origin</v>
      </c>
      <c r="G933" s="27">
        <f t="shared" si="1"/>
        <v>8</v>
      </c>
      <c r="H933" s="27" t="s">
        <v>3814</v>
      </c>
      <c r="I933" s="27"/>
      <c r="J933" s="27"/>
      <c r="K933" s="27"/>
      <c r="L933" s="27" t="str">
        <f t="shared" si="2"/>
        <v>L</v>
      </c>
      <c r="M933" s="27" t="str">
        <f>IFERROR(__xludf.DUMMYFUNCTION("GOOGLETRANSLATE(C933,""EN"",""KN"")"),"ದೊಡ್ಡದು")</f>
        <v>ದೊಡ್ಡದು</v>
      </c>
      <c r="N933" s="27">
        <f t="array" ref="N933">_xlfn.XLOOKUP(B933,'Sets Progress'!I:I,'Sets Progress'!I:I,"NOT YET")</f>
        <v>59</v>
      </c>
      <c r="O933" s="27" t="str">
        <f t="array" ref="O933">_xlfn.XLOOKUP(L:L,'Overall Progress'!L:L,'Overall Progress'!L:L,"NOT YET")</f>
        <v>NOT YET</v>
      </c>
      <c r="P933" s="27"/>
      <c r="Q933" s="27"/>
      <c r="R933" s="27"/>
      <c r="S933" s="27"/>
      <c r="T933" s="27"/>
      <c r="U933" s="27"/>
      <c r="V933" s="27"/>
      <c r="W933" s="27"/>
      <c r="X933" s="27"/>
      <c r="Y933" s="27"/>
      <c r="Z933" s="27"/>
    </row>
    <row r="934" hidden="1" customHeight="1" spans="1:26">
      <c r="A934" s="26">
        <v>899</v>
      </c>
      <c r="B934" s="26">
        <v>59</v>
      </c>
      <c r="C934" s="26" t="s">
        <v>1236</v>
      </c>
      <c r="D934" s="26" t="s">
        <v>2716</v>
      </c>
      <c r="E934" s="26" t="s">
        <v>2908</v>
      </c>
      <c r="F934" s="26" t="str">
        <f t="shared" si="0"/>
        <v>Negative Traits Old English Origin</v>
      </c>
      <c r="G934" s="26">
        <f t="shared" si="1"/>
        <v>6</v>
      </c>
      <c r="H934" s="26" t="s">
        <v>3815</v>
      </c>
      <c r="I934" s="26"/>
      <c r="J934" s="26"/>
      <c r="K934" s="26"/>
      <c r="L934" s="26" t="str">
        <f t="shared" si="2"/>
        <v>M</v>
      </c>
      <c r="M934" s="26" t="str">
        <f>IFERROR(__xludf.DUMMYFUNCTION("GOOGLETRANSLATE(C934,""EN"",""KN"")"),"ಅತ್ಯಲ್ಪ")</f>
        <v>ಅತ್ಯಲ್ಪ</v>
      </c>
      <c r="N934" s="26">
        <f t="array" ref="N934">_xlfn.XLOOKUP(B934,'Sets Progress'!I:I,'Sets Progress'!I:I,"NOT YET")</f>
        <v>59</v>
      </c>
      <c r="O934" s="26" t="str">
        <f t="array" ref="O934">_xlfn.XLOOKUP(L:L,'Overall Progress'!L:L,'Overall Progress'!L:L,"NOT YET")</f>
        <v>NOT YET</v>
      </c>
      <c r="P934" s="26"/>
      <c r="Q934" s="26"/>
      <c r="R934" s="26"/>
      <c r="S934" s="26"/>
      <c r="T934" s="26"/>
      <c r="U934" s="26"/>
      <c r="V934" s="26"/>
      <c r="W934" s="26"/>
      <c r="X934" s="26"/>
      <c r="Y934" s="26"/>
      <c r="Z934" s="26"/>
    </row>
    <row r="935" hidden="1" customHeight="1" spans="1:26">
      <c r="A935" s="27">
        <v>967</v>
      </c>
      <c r="B935" s="27">
        <v>59</v>
      </c>
      <c r="C935" s="27" t="s">
        <v>1303</v>
      </c>
      <c r="D935" s="27" t="s">
        <v>1721</v>
      </c>
      <c r="E935" s="27" t="s">
        <v>2889</v>
      </c>
      <c r="F935" s="27" t="str">
        <f t="shared" si="0"/>
        <v>Temporal Latin Origin</v>
      </c>
      <c r="G935" s="27">
        <f t="shared" si="1"/>
        <v>11</v>
      </c>
      <c r="H935" s="27" t="s">
        <v>3816</v>
      </c>
      <c r="I935" s="27"/>
      <c r="J935" s="27"/>
      <c r="K935" s="27"/>
      <c r="L935" s="27" t="str">
        <f t="shared" si="2"/>
        <v>O</v>
      </c>
      <c r="M935" s="27" t="str">
        <f>IFERROR(__xludf.DUMMYFUNCTION("GOOGLETRANSLATE(C935,""EN"",""KN"")"),"ವಸ್ತುನಿಷ್ಠತೆ")</f>
        <v>ವಸ್ತುನಿಷ್ಠತೆ</v>
      </c>
      <c r="N935" s="27">
        <f t="array" ref="N935">_xlfn.XLOOKUP(B935,'Sets Progress'!I:I,'Sets Progress'!I:I,"NOT YET")</f>
        <v>59</v>
      </c>
      <c r="O935" s="27" t="str">
        <f t="array" ref="O935">_xlfn.XLOOKUP(L:L,'Overall Progress'!L:L,'Overall Progress'!L:L,"NOT YET")</f>
        <v>NOT YET</v>
      </c>
      <c r="P935" s="27"/>
      <c r="Q935" s="27"/>
      <c r="R935" s="27"/>
      <c r="S935" s="27"/>
      <c r="T935" s="27"/>
      <c r="U935" s="27"/>
      <c r="V935" s="27"/>
      <c r="W935" s="27"/>
      <c r="X935" s="27"/>
      <c r="Y935" s="27"/>
      <c r="Z935" s="27"/>
    </row>
    <row r="936" hidden="1" customHeight="1" spans="1:26">
      <c r="A936" s="26">
        <v>1062</v>
      </c>
      <c r="B936" s="26">
        <v>59</v>
      </c>
      <c r="C936" s="26" t="s">
        <v>1397</v>
      </c>
      <c r="D936" s="26" t="s">
        <v>2716</v>
      </c>
      <c r="E936" s="26" t="s">
        <v>2893</v>
      </c>
      <c r="F936" s="26" t="str">
        <f t="shared" si="0"/>
        <v>Negative Traits Greek Origin</v>
      </c>
      <c r="G936" s="26">
        <f t="shared" si="1"/>
        <v>10</v>
      </c>
      <c r="H936" s="26" t="s">
        <v>3817</v>
      </c>
      <c r="I936" s="26"/>
      <c r="J936" s="26"/>
      <c r="K936" s="26"/>
      <c r="L936" s="26" t="str">
        <f t="shared" si="2"/>
        <v>P</v>
      </c>
      <c r="M936" s="26" t="str">
        <f>IFERROR(__xludf.DUMMYFUNCTION("GOOGLETRANSLATE(C936,""EN"",""KN"")"),"ಫ್ಲೆಗ್ಮ್ಯಾಟಿಕ್")</f>
        <v>ಫ್ಲೆಗ್ಮ್ಯಾಟಿಕ್</v>
      </c>
      <c r="N936" s="26">
        <f t="array" ref="N936">_xlfn.XLOOKUP(B936,'Sets Progress'!I:I,'Sets Progress'!I:I,"NOT YET")</f>
        <v>59</v>
      </c>
      <c r="O936" s="26" t="str">
        <f t="array" ref="O936">_xlfn.XLOOKUP(L:L,'Overall Progress'!L:L,'Overall Progress'!L:L,"NOT YET")</f>
        <v>NOT YET</v>
      </c>
      <c r="P936" s="26"/>
      <c r="Q936" s="26"/>
      <c r="R936" s="26"/>
      <c r="S936" s="26"/>
      <c r="T936" s="26"/>
      <c r="U936" s="26"/>
      <c r="V936" s="26"/>
      <c r="W936" s="26"/>
      <c r="X936" s="26"/>
      <c r="Y936" s="26"/>
      <c r="Z936" s="26"/>
    </row>
    <row r="937" hidden="1" customHeight="1" spans="1:26">
      <c r="A937" s="27">
        <v>1313</v>
      </c>
      <c r="B937" s="27">
        <v>59</v>
      </c>
      <c r="C937" s="27" t="s">
        <v>1644</v>
      </c>
      <c r="D937" s="27" t="s">
        <v>1721</v>
      </c>
      <c r="E937" s="27" t="s">
        <v>2889</v>
      </c>
      <c r="F937" s="27" t="str">
        <f t="shared" si="0"/>
        <v>Temporal Latin Origin</v>
      </c>
      <c r="G937" s="27">
        <f t="shared" si="1"/>
        <v>11</v>
      </c>
      <c r="H937" s="27" t="s">
        <v>3818</v>
      </c>
      <c r="I937" s="27"/>
      <c r="J937" s="27"/>
      <c r="K937" s="27"/>
      <c r="L937" s="27" t="str">
        <f t="shared" si="2"/>
        <v>S</v>
      </c>
      <c r="M937" s="27" t="str">
        <f>IFERROR(__xludf.DUMMYFUNCTION("GOOGLETRANSLATE(C937,""EN"",""KN"")"),"ಊಹಾತ್ಮಕ")</f>
        <v>ಊಹಾತ್ಮಕ</v>
      </c>
      <c r="N937" s="27">
        <f t="array" ref="N937">_xlfn.XLOOKUP(B937,'Sets Progress'!I:I,'Sets Progress'!I:I,"NOT YET")</f>
        <v>59</v>
      </c>
      <c r="O937" s="27" t="str">
        <f t="array" ref="O937">_xlfn.XLOOKUP(L:L,'Overall Progress'!L:L,'Overall Progress'!L:L,"NOT YET")</f>
        <v>NOT YET</v>
      </c>
      <c r="P937" s="27"/>
      <c r="Q937" s="27"/>
      <c r="R937" s="27"/>
      <c r="S937" s="27"/>
      <c r="T937" s="27"/>
      <c r="U937" s="27"/>
      <c r="V937" s="27"/>
      <c r="W937" s="27"/>
      <c r="X937" s="27"/>
      <c r="Y937" s="27"/>
      <c r="Z937" s="27"/>
    </row>
    <row r="938" hidden="1" customHeight="1" spans="1:26">
      <c r="A938" s="26">
        <v>1388</v>
      </c>
      <c r="B938" s="26">
        <v>59</v>
      </c>
      <c r="C938" s="26" t="s">
        <v>1719</v>
      </c>
      <c r="D938" s="26" t="s">
        <v>2717</v>
      </c>
      <c r="E938" s="26" t="s">
        <v>2889</v>
      </c>
      <c r="F938" s="26" t="str">
        <f t="shared" si="0"/>
        <v>Positive Traits Latin Origin</v>
      </c>
      <c r="G938" s="26">
        <f t="shared" si="1"/>
        <v>9</v>
      </c>
      <c r="H938" s="26" t="s">
        <v>3819</v>
      </c>
      <c r="I938" s="26"/>
      <c r="J938" s="26"/>
      <c r="K938" s="26"/>
      <c r="L938" s="26" t="str">
        <f t="shared" si="2"/>
        <v>T</v>
      </c>
      <c r="M938" s="26" t="str">
        <f>IFERROR(__xludf.DUMMYFUNCTION("GOOGLETRANSLATE(C938,""EN"",""KN"")"),"ಸಮಶೀತೋಷ್ಣ")</f>
        <v>ಸಮಶೀತೋಷ್ಣ</v>
      </c>
      <c r="N938" s="26">
        <f t="array" ref="N938">_xlfn.XLOOKUP(B938,'Sets Progress'!I:I,'Sets Progress'!I:I,"NOT YET")</f>
        <v>59</v>
      </c>
      <c r="O938" s="26" t="str">
        <f t="array" ref="O938">_xlfn.XLOOKUP(L:L,'Overall Progress'!L:L,'Overall Progress'!L:L,"NOT YET")</f>
        <v>NOT YET</v>
      </c>
      <c r="P938" s="26"/>
      <c r="Q938" s="26"/>
      <c r="R938" s="26"/>
      <c r="S938" s="26"/>
      <c r="T938" s="26"/>
      <c r="U938" s="26"/>
      <c r="V938" s="26"/>
      <c r="W938" s="26"/>
      <c r="X938" s="26"/>
      <c r="Y938" s="26"/>
      <c r="Z938" s="26"/>
    </row>
    <row r="939" hidden="1" customHeight="1" spans="1:26">
      <c r="A939" s="27">
        <v>30</v>
      </c>
      <c r="B939" s="27">
        <v>60</v>
      </c>
      <c r="C939" s="27" t="s">
        <v>320</v>
      </c>
      <c r="D939" s="27" t="s">
        <v>2717</v>
      </c>
      <c r="E939" s="27" t="s">
        <v>2889</v>
      </c>
      <c r="F939" s="27" t="str">
        <f t="shared" si="0"/>
        <v>Positive Traits Latin Origin</v>
      </c>
      <c r="G939" s="27">
        <f t="shared" si="1"/>
        <v>8</v>
      </c>
      <c r="H939" s="27" t="s">
        <v>3820</v>
      </c>
      <c r="I939" s="27"/>
      <c r="J939" s="27"/>
      <c r="K939" s="27"/>
      <c r="L939" s="27" t="str">
        <f t="shared" si="2"/>
        <v>A</v>
      </c>
      <c r="M939" s="27" t="str">
        <f>IFERROR(__xludf.DUMMYFUNCTION("GOOGLETRANSLATE(C939,""EN"",""KN"")"),"ಕ್ರಿಯಾಶೀಲತೆ")</f>
        <v>ಕ್ರಿಯಾಶೀಲತೆ</v>
      </c>
      <c r="N939" s="27" t="str">
        <f t="array" ref="N939">_xlfn.XLOOKUP(B939,'Sets Progress'!I:I,'Sets Progress'!I:I,"NOT YET")</f>
        <v>NOT YET</v>
      </c>
      <c r="O939" s="27" t="str">
        <f t="array" ref="O939">_xlfn.XLOOKUP(L:L,'Overall Progress'!L:L,'Overall Progress'!L:L,"NOT YET")</f>
        <v>NOT YET</v>
      </c>
      <c r="P939" s="27"/>
      <c r="Q939" s="27"/>
      <c r="R939" s="27"/>
      <c r="S939" s="27"/>
      <c r="T939" s="27"/>
      <c r="U939" s="27"/>
      <c r="V939" s="27"/>
      <c r="W939" s="27"/>
      <c r="X939" s="27"/>
      <c r="Y939" s="27"/>
      <c r="Z939" s="27"/>
    </row>
    <row r="940" hidden="1" customHeight="1" spans="1:26">
      <c r="A940" s="26">
        <v>59</v>
      </c>
      <c r="B940" s="26">
        <v>60</v>
      </c>
      <c r="C940" s="26" t="s">
        <v>412</v>
      </c>
      <c r="D940" s="26" t="s">
        <v>1721</v>
      </c>
      <c r="E940" s="26" t="s">
        <v>2889</v>
      </c>
      <c r="F940" s="26" t="str">
        <f t="shared" si="0"/>
        <v>Temporal Latin Origin</v>
      </c>
      <c r="G940" s="26">
        <f t="shared" si="1"/>
        <v>8</v>
      </c>
      <c r="H940" s="26" t="s">
        <v>3821</v>
      </c>
      <c r="I940" s="26"/>
      <c r="J940" s="26"/>
      <c r="K940" s="26"/>
      <c r="L940" s="26" t="str">
        <f t="shared" si="2"/>
        <v>A</v>
      </c>
      <c r="M940" s="26" t="str">
        <f>IFERROR(__xludf.DUMMYFUNCTION("GOOGLETRANSLATE(C940,""EN"",""KN"")"),"ಸೂಚಿಸುವ")</f>
        <v>ಸೂಚಿಸುವ</v>
      </c>
      <c r="N940" s="26" t="str">
        <f t="array" ref="N940">_xlfn.XLOOKUP(B940,'Sets Progress'!I:I,'Sets Progress'!I:I,"NOT YET")</f>
        <v>NOT YET</v>
      </c>
      <c r="O940" s="26" t="str">
        <f t="array" ref="O940">_xlfn.XLOOKUP(L:L,'Overall Progress'!L:L,'Overall Progress'!L:L,"NOT YET")</f>
        <v>NOT YET</v>
      </c>
      <c r="P940" s="26"/>
      <c r="Q940" s="26"/>
      <c r="R940" s="26"/>
      <c r="S940" s="26"/>
      <c r="T940" s="26"/>
      <c r="U940" s="26"/>
      <c r="V940" s="26"/>
      <c r="W940" s="26"/>
      <c r="X940" s="26"/>
      <c r="Y940" s="26"/>
      <c r="Z940" s="26"/>
    </row>
    <row r="941" hidden="1" customHeight="1" spans="1:26">
      <c r="A941" s="27">
        <v>83</v>
      </c>
      <c r="B941" s="27">
        <v>60</v>
      </c>
      <c r="C941" s="27" t="s">
        <v>434</v>
      </c>
      <c r="D941" s="27" t="s">
        <v>1721</v>
      </c>
      <c r="E941" s="27" t="s">
        <v>2889</v>
      </c>
      <c r="F941" s="27" t="str">
        <f t="shared" si="0"/>
        <v>Temporal Latin Origin</v>
      </c>
      <c r="G941" s="27">
        <f t="shared" si="1"/>
        <v>8</v>
      </c>
      <c r="H941" s="27" t="s">
        <v>3822</v>
      </c>
      <c r="I941" s="27"/>
      <c r="J941" s="27"/>
      <c r="K941" s="27"/>
      <c r="L941" s="27" t="str">
        <f t="shared" si="2"/>
        <v>A</v>
      </c>
      <c r="M941" s="27" t="str">
        <f>IFERROR(__xludf.DUMMYFUNCTION("GOOGLETRANSLATE(C941,""EN"",""KN"")"),"ಆಂಟೆಡೇಟ್")</f>
        <v>ಆಂಟೆಡೇಟ್</v>
      </c>
      <c r="N941" s="27" t="str">
        <f t="array" ref="N941">_xlfn.XLOOKUP(B941,'Sets Progress'!I:I,'Sets Progress'!I:I,"NOT YET")</f>
        <v>NOT YET</v>
      </c>
      <c r="O941" s="27" t="str">
        <f t="array" ref="O941">_xlfn.XLOOKUP(L:L,'Overall Progress'!L:L,'Overall Progress'!L:L,"NOT YET")</f>
        <v>NOT YET</v>
      </c>
      <c r="P941" s="27"/>
      <c r="Q941" s="27"/>
      <c r="R941" s="27"/>
      <c r="S941" s="27"/>
      <c r="T941" s="27"/>
      <c r="U941" s="27"/>
      <c r="V941" s="27"/>
      <c r="W941" s="27"/>
      <c r="X941" s="27"/>
      <c r="Y941" s="27"/>
      <c r="Z941" s="27"/>
    </row>
    <row r="942" hidden="1" customHeight="1" spans="1:26">
      <c r="A942" s="26">
        <v>102</v>
      </c>
      <c r="B942" s="26">
        <v>60</v>
      </c>
      <c r="C942" s="26" t="s">
        <v>453</v>
      </c>
      <c r="D942" s="26" t="s">
        <v>1721</v>
      </c>
      <c r="E942" s="26" t="s">
        <v>2893</v>
      </c>
      <c r="F942" s="26" t="str">
        <f t="shared" si="0"/>
        <v>Temporal Greek Origin</v>
      </c>
      <c r="G942" s="26">
        <f t="shared" si="1"/>
        <v>7</v>
      </c>
      <c r="H942" s="26" t="s">
        <v>3823</v>
      </c>
      <c r="I942" s="26"/>
      <c r="J942" s="26"/>
      <c r="K942" s="26"/>
      <c r="L942" s="26" t="str">
        <f t="shared" si="2"/>
        <v>A</v>
      </c>
      <c r="M942" s="26" t="str">
        <f>IFERROR(__xludf.DUMMYFUNCTION("GOOGLETRANSLATE(C942,""EN"",""KN"")"),"ಪುರಾತನ")</f>
        <v>ಪುರಾತನ</v>
      </c>
      <c r="N942" s="26" t="str">
        <f t="array" ref="N942">_xlfn.XLOOKUP(B942,'Sets Progress'!I:I,'Sets Progress'!I:I,"NOT YET")</f>
        <v>NOT YET</v>
      </c>
      <c r="O942" s="26" t="str">
        <f t="array" ref="O942">_xlfn.XLOOKUP(L:L,'Overall Progress'!L:L,'Overall Progress'!L:L,"NOT YET")</f>
        <v>NOT YET</v>
      </c>
      <c r="P942" s="26"/>
      <c r="Q942" s="26"/>
      <c r="R942" s="26"/>
      <c r="S942" s="26"/>
      <c r="T942" s="26"/>
      <c r="U942" s="26"/>
      <c r="V942" s="26"/>
      <c r="W942" s="26"/>
      <c r="X942" s="26"/>
      <c r="Y942" s="26"/>
      <c r="Z942" s="26"/>
    </row>
    <row r="943" hidden="1" customHeight="1" spans="1:26">
      <c r="A943" s="27">
        <v>430</v>
      </c>
      <c r="B943" s="27">
        <v>60</v>
      </c>
      <c r="C943" s="27" t="s">
        <v>779</v>
      </c>
      <c r="D943" s="27" t="s">
        <v>2892</v>
      </c>
      <c r="E943" s="27" t="s">
        <v>2889</v>
      </c>
      <c r="F943" s="27" t="str">
        <f t="shared" si="0"/>
        <v>Spatial Latin Origin</v>
      </c>
      <c r="G943" s="27">
        <f t="shared" si="1"/>
        <v>9</v>
      </c>
      <c r="H943" s="27" t="s">
        <v>3824</v>
      </c>
      <c r="I943" s="27"/>
      <c r="J943" s="27"/>
      <c r="K943" s="27"/>
      <c r="L943" s="27" t="str">
        <f t="shared" si="2"/>
        <v>D</v>
      </c>
      <c r="M943" s="27" t="str">
        <f>IFERROR(__xludf.DUMMYFUNCTION("GOOGLETRANSLATE(C943,""EN"",""KN"")"),"ಭಿನ್ನವಾದ")</f>
        <v>ಭಿನ್ನವಾದ</v>
      </c>
      <c r="N943" s="27" t="str">
        <f t="array" ref="N943">_xlfn.XLOOKUP(B943,'Sets Progress'!I:I,'Sets Progress'!I:I,"NOT YET")</f>
        <v>NOT YET</v>
      </c>
      <c r="O943" s="27" t="str">
        <f t="array" ref="O943">_xlfn.XLOOKUP(L:L,'Overall Progress'!L:L,'Overall Progress'!L:L,"NOT YET")</f>
        <v>NOT YET</v>
      </c>
      <c r="P943" s="27"/>
      <c r="Q943" s="27"/>
      <c r="R943" s="27"/>
      <c r="S943" s="27"/>
      <c r="T943" s="27"/>
      <c r="U943" s="27"/>
      <c r="V943" s="27"/>
      <c r="W943" s="27"/>
      <c r="X943" s="27"/>
      <c r="Y943" s="27"/>
      <c r="Z943" s="27"/>
    </row>
    <row r="944" hidden="1" customHeight="1" spans="1:26">
      <c r="A944" s="26">
        <v>635</v>
      </c>
      <c r="B944" s="26">
        <v>60</v>
      </c>
      <c r="C944" s="26" t="s">
        <v>979</v>
      </c>
      <c r="D944" s="26" t="s">
        <v>2892</v>
      </c>
      <c r="E944" s="26" t="s">
        <v>2896</v>
      </c>
      <c r="F944" s="26" t="str">
        <f t="shared" si="0"/>
        <v>Spatial Old French Origin</v>
      </c>
      <c r="G944" s="26">
        <f t="shared" si="1"/>
        <v>6</v>
      </c>
      <c r="H944" s="26" t="s">
        <v>3825</v>
      </c>
      <c r="I944" s="26"/>
      <c r="J944" s="26"/>
      <c r="K944" s="26"/>
      <c r="L944" s="26" t="str">
        <f t="shared" si="2"/>
        <v>F</v>
      </c>
      <c r="M944" s="26" t="str">
        <f>IFERROR(__xludf.DUMMYFUNCTION("GOOGLETRANSLATE(C944,""EN"",""KN"")"),"ಫ್ರಿಂಜ್")</f>
        <v>ಫ್ರಿಂಜ್</v>
      </c>
      <c r="N944" s="26" t="str">
        <f t="array" ref="N944">_xlfn.XLOOKUP(B944,'Sets Progress'!I:I,'Sets Progress'!I:I,"NOT YET")</f>
        <v>NOT YET</v>
      </c>
      <c r="O944" s="26" t="str">
        <f t="array" ref="O944">_xlfn.XLOOKUP(L:L,'Overall Progress'!L:L,'Overall Progress'!L:L,"NOT YET")</f>
        <v>NOT YET</v>
      </c>
      <c r="P944" s="26"/>
      <c r="Q944" s="26"/>
      <c r="R944" s="26"/>
      <c r="S944" s="26"/>
      <c r="T944" s="26"/>
      <c r="U944" s="26"/>
      <c r="V944" s="26"/>
      <c r="W944" s="26"/>
      <c r="X944" s="26"/>
      <c r="Y944" s="26"/>
      <c r="Z944" s="26"/>
    </row>
    <row r="945" hidden="1" customHeight="1" spans="1:26">
      <c r="A945" s="27">
        <v>663</v>
      </c>
      <c r="B945" s="27">
        <v>60</v>
      </c>
      <c r="C945" s="27" t="s">
        <v>1006</v>
      </c>
      <c r="D945" s="27" t="s">
        <v>2717</v>
      </c>
      <c r="E945" s="27" t="s">
        <v>2889</v>
      </c>
      <c r="F945" s="27" t="str">
        <f t="shared" si="0"/>
        <v>Positive Traits Latin Origin</v>
      </c>
      <c r="G945" s="27">
        <f t="shared" si="1"/>
        <v>7</v>
      </c>
      <c r="H945" s="27" t="s">
        <v>3826</v>
      </c>
      <c r="I945" s="27"/>
      <c r="J945" s="27"/>
      <c r="K945" s="27"/>
      <c r="L945" s="27" t="str">
        <f t="shared" si="2"/>
        <v>G</v>
      </c>
      <c r="M945" s="27" t="str">
        <f>IFERROR(__xludf.DUMMYFUNCTION("GOOGLETRANSLATE(C945,""EN"",""KN"")"),"ತೃಪ್ತಿಪಡಿಸು")</f>
        <v>ತೃಪ್ತಿಪಡಿಸು</v>
      </c>
      <c r="N945" s="27" t="str">
        <f t="array" ref="N945">_xlfn.XLOOKUP(B945,'Sets Progress'!I:I,'Sets Progress'!I:I,"NOT YET")</f>
        <v>NOT YET</v>
      </c>
      <c r="O945" s="27" t="str">
        <f t="array" ref="O945">_xlfn.XLOOKUP(L:L,'Overall Progress'!L:L,'Overall Progress'!L:L,"NOT YET")</f>
        <v>NOT YET</v>
      </c>
      <c r="P945" s="27"/>
      <c r="Q945" s="27"/>
      <c r="R945" s="27"/>
      <c r="S945" s="27"/>
      <c r="T945" s="27"/>
      <c r="U945" s="27"/>
      <c r="V945" s="27"/>
      <c r="W945" s="27"/>
      <c r="X945" s="27"/>
      <c r="Y945" s="27"/>
      <c r="Z945" s="27"/>
    </row>
    <row r="946" hidden="1" customHeight="1" spans="1:26">
      <c r="A946" s="26">
        <v>673</v>
      </c>
      <c r="B946" s="26">
        <v>60</v>
      </c>
      <c r="C946" s="26" t="s">
        <v>1015</v>
      </c>
      <c r="D946" s="26" t="s">
        <v>1721</v>
      </c>
      <c r="E946" s="26" t="s">
        <v>2908</v>
      </c>
      <c r="F946" s="26" t="str">
        <f t="shared" si="0"/>
        <v>Temporal Old English Origin</v>
      </c>
      <c r="G946" s="26">
        <f t="shared" si="1"/>
        <v>6</v>
      </c>
      <c r="H946" s="26" t="s">
        <v>3827</v>
      </c>
      <c r="I946" s="26"/>
      <c r="J946" s="26"/>
      <c r="K946" s="26"/>
      <c r="L946" s="26" t="str">
        <f t="shared" si="2"/>
        <v>H</v>
      </c>
      <c r="M946" s="26" t="str">
        <f>IFERROR(__xludf.DUMMYFUNCTION("GOOGLETRANSLATE(C946,""EN"",""KN"")"),"ಅಡ್ಡಿ")</f>
        <v>ಅಡ್ಡಿ</v>
      </c>
      <c r="N946" s="26" t="str">
        <f t="array" ref="N946">_xlfn.XLOOKUP(B946,'Sets Progress'!I:I,'Sets Progress'!I:I,"NOT YET")</f>
        <v>NOT YET</v>
      </c>
      <c r="O946" s="26" t="str">
        <f t="array" ref="O946">_xlfn.XLOOKUP(L:L,'Overall Progress'!L:L,'Overall Progress'!L:L,"NOT YET")</f>
        <v>NOT YET</v>
      </c>
      <c r="P946" s="26"/>
      <c r="Q946" s="26"/>
      <c r="R946" s="26"/>
      <c r="S946" s="26"/>
      <c r="T946" s="26"/>
      <c r="U946" s="26"/>
      <c r="V946" s="26"/>
      <c r="W946" s="26"/>
      <c r="X946" s="26"/>
      <c r="Y946" s="26"/>
      <c r="Z946" s="26"/>
    </row>
    <row r="947" hidden="1" customHeight="1" spans="1:26">
      <c r="A947" s="27">
        <v>891</v>
      </c>
      <c r="B947" s="27">
        <v>60</v>
      </c>
      <c r="C947" s="27" t="s">
        <v>1228</v>
      </c>
      <c r="D947" s="27" t="s">
        <v>1721</v>
      </c>
      <c r="E947" s="27" t="s">
        <v>2889</v>
      </c>
      <c r="F947" s="27" t="str">
        <f t="shared" si="0"/>
        <v>Temporal Latin Origin</v>
      </c>
      <c r="G947" s="27">
        <f t="shared" si="1"/>
        <v>10</v>
      </c>
      <c r="H947" s="27" t="s">
        <v>3828</v>
      </c>
      <c r="I947" s="27"/>
      <c r="J947" s="27"/>
      <c r="K947" s="27"/>
      <c r="L947" s="27" t="str">
        <f t="shared" si="2"/>
        <v>M</v>
      </c>
      <c r="M947" s="27" t="str">
        <f>IFERROR(__xludf.DUMMYFUNCTION("GOOGLETRANSLATE(C947,""EN"",""KN"")"),"ಕುಶಲತೆಯಿಂದ")</f>
        <v>ಕುಶಲತೆಯಿಂದ</v>
      </c>
      <c r="N947" s="27" t="str">
        <f t="array" ref="N947">_xlfn.XLOOKUP(B947,'Sets Progress'!I:I,'Sets Progress'!I:I,"NOT YET")</f>
        <v>NOT YET</v>
      </c>
      <c r="O947" s="27" t="str">
        <f t="array" ref="O947">_xlfn.XLOOKUP(L:L,'Overall Progress'!L:L,'Overall Progress'!L:L,"NOT YET")</f>
        <v>NOT YET</v>
      </c>
      <c r="P947" s="27"/>
      <c r="Q947" s="27"/>
      <c r="R947" s="27"/>
      <c r="S947" s="27"/>
      <c r="T947" s="27"/>
      <c r="U947" s="27"/>
      <c r="V947" s="27"/>
      <c r="W947" s="27"/>
      <c r="X947" s="27"/>
      <c r="Y947" s="27"/>
      <c r="Z947" s="27"/>
    </row>
    <row r="948" hidden="1" customHeight="1" spans="1:26">
      <c r="A948" s="26">
        <v>1004</v>
      </c>
      <c r="B948" s="26">
        <v>60</v>
      </c>
      <c r="C948" s="26" t="s">
        <v>1339</v>
      </c>
      <c r="D948" s="26" t="s">
        <v>1721</v>
      </c>
      <c r="E948" s="26" t="s">
        <v>2896</v>
      </c>
      <c r="F948" s="26" t="str">
        <f t="shared" si="0"/>
        <v>Temporal Old French Origin</v>
      </c>
      <c r="G948" s="26">
        <f t="shared" si="1"/>
        <v>5</v>
      </c>
      <c r="H948" s="26" t="s">
        <v>3829</v>
      </c>
      <c r="I948" s="26"/>
      <c r="J948" s="26"/>
      <c r="K948" s="26"/>
      <c r="L948" s="26" t="str">
        <f t="shared" si="2"/>
        <v>O</v>
      </c>
      <c r="M948" s="26" t="str">
        <f>IFERROR(__xludf.DUMMYFUNCTION("GOOGLETRANSLATE(C948,""EN"",""KN"")"),"ಬಹಿರಂಗ")</f>
        <v>ಬಹಿರಂಗ</v>
      </c>
      <c r="N948" s="26" t="str">
        <f t="array" ref="N948">_xlfn.XLOOKUP(B948,'Sets Progress'!I:I,'Sets Progress'!I:I,"NOT YET")</f>
        <v>NOT YET</v>
      </c>
      <c r="O948" s="26" t="str">
        <f t="array" ref="O948">_xlfn.XLOOKUP(L:L,'Overall Progress'!L:L,'Overall Progress'!L:L,"NOT YET")</f>
        <v>NOT YET</v>
      </c>
      <c r="P948" s="26"/>
      <c r="Q948" s="26"/>
      <c r="R948" s="26"/>
      <c r="S948" s="26"/>
      <c r="T948" s="26"/>
      <c r="U948" s="26"/>
      <c r="V948" s="26"/>
      <c r="W948" s="26"/>
      <c r="X948" s="26"/>
      <c r="Y948" s="26"/>
      <c r="Z948" s="26"/>
    </row>
    <row r="949" hidden="1" customHeight="1" spans="1:26">
      <c r="A949" s="27">
        <v>1084</v>
      </c>
      <c r="B949" s="27">
        <v>60</v>
      </c>
      <c r="C949" s="27" t="s">
        <v>1419</v>
      </c>
      <c r="D949" s="27" t="s">
        <v>2716</v>
      </c>
      <c r="E949" s="27" t="s">
        <v>2889</v>
      </c>
      <c r="F949" s="27" t="str">
        <f t="shared" si="0"/>
        <v>Negative Traits Latin Origin</v>
      </c>
      <c r="G949" s="27">
        <f t="shared" si="1"/>
        <v>9</v>
      </c>
      <c r="H949" s="27" t="s">
        <v>3830</v>
      </c>
      <c r="I949" s="27"/>
      <c r="J949" s="27"/>
      <c r="K949" s="27"/>
      <c r="L949" s="27" t="str">
        <f t="shared" si="2"/>
        <v>P</v>
      </c>
      <c r="M949" s="27" t="str">
        <f>IFERROR(__xludf.DUMMYFUNCTION("GOOGLETRANSLATE(C949,""EN"",""KN"")"),"ಪೊಂಪೊಸಿಟಿ")</f>
        <v>ಪೊಂಪೊಸಿಟಿ</v>
      </c>
      <c r="N949" s="27" t="str">
        <f t="array" ref="N949">_xlfn.XLOOKUP(B949,'Sets Progress'!I:I,'Sets Progress'!I:I,"NOT YET")</f>
        <v>NOT YET</v>
      </c>
      <c r="O949" s="27" t="str">
        <f t="array" ref="O949">_xlfn.XLOOKUP(L:L,'Overall Progress'!L:L,'Overall Progress'!L:L,"NOT YET")</f>
        <v>NOT YET</v>
      </c>
      <c r="P949" s="27"/>
      <c r="Q949" s="27"/>
      <c r="R949" s="27"/>
      <c r="S949" s="27"/>
      <c r="T949" s="27"/>
      <c r="U949" s="27"/>
      <c r="V949" s="27"/>
      <c r="W949" s="27"/>
      <c r="X949" s="27"/>
      <c r="Y949" s="27"/>
      <c r="Z949" s="27"/>
    </row>
    <row r="950" hidden="1" customHeight="1" spans="1:26">
      <c r="A950" s="26">
        <v>1113</v>
      </c>
      <c r="B950" s="26">
        <v>60</v>
      </c>
      <c r="C950" s="26" t="s">
        <v>1447</v>
      </c>
      <c r="D950" s="26" t="s">
        <v>2717</v>
      </c>
      <c r="E950" s="26" t="s">
        <v>2889</v>
      </c>
      <c r="F950" s="26" t="str">
        <f t="shared" si="0"/>
        <v>Positive Traits Latin Origin</v>
      </c>
      <c r="G950" s="26">
        <f t="shared" si="1"/>
        <v>13</v>
      </c>
      <c r="H950" s="26" t="s">
        <v>3831</v>
      </c>
      <c r="I950" s="26"/>
      <c r="J950" s="26"/>
      <c r="K950" s="26"/>
      <c r="L950" s="26" t="str">
        <f t="shared" si="2"/>
        <v>P</v>
      </c>
      <c r="M950" s="26" t="str">
        <f>IFERROR(__xludf.DUMMYFUNCTION("GOOGLETRANSLATE(C950,""EN"",""KN"")"),"ಪೂರ್ವಭಾವಿ")</f>
        <v>ಪೂರ್ವಭಾವಿ</v>
      </c>
      <c r="N950" s="26" t="str">
        <f t="array" ref="N950">_xlfn.XLOOKUP(B950,'Sets Progress'!I:I,'Sets Progress'!I:I,"NOT YET")</f>
        <v>NOT YET</v>
      </c>
      <c r="O950" s="26" t="str">
        <f t="array" ref="O950">_xlfn.XLOOKUP(L:L,'Overall Progress'!L:L,'Overall Progress'!L:L,"NOT YET")</f>
        <v>NOT YET</v>
      </c>
      <c r="P950" s="26"/>
      <c r="Q950" s="26"/>
      <c r="R950" s="26"/>
      <c r="S950" s="26"/>
      <c r="T950" s="26"/>
      <c r="U950" s="26"/>
      <c r="V950" s="26"/>
      <c r="W950" s="26"/>
      <c r="X950" s="26"/>
      <c r="Y950" s="26"/>
      <c r="Z950" s="26"/>
    </row>
    <row r="951" hidden="1" customHeight="1" spans="1:26">
      <c r="A951" s="27">
        <v>1221</v>
      </c>
      <c r="B951" s="27">
        <v>60</v>
      </c>
      <c r="C951" s="27" t="s">
        <v>1552</v>
      </c>
      <c r="D951" s="27" t="s">
        <v>2717</v>
      </c>
      <c r="E951" s="27" t="s">
        <v>2889</v>
      </c>
      <c r="F951" s="27" t="str">
        <f t="shared" si="0"/>
        <v>Positive Traits Latin Origin</v>
      </c>
      <c r="G951" s="27">
        <f t="shared" si="1"/>
        <v>8</v>
      </c>
      <c r="H951" s="27" t="s">
        <v>3832</v>
      </c>
      <c r="I951" s="27"/>
      <c r="J951" s="27"/>
      <c r="K951" s="27"/>
      <c r="L951" s="27" t="str">
        <f t="shared" si="2"/>
        <v>R</v>
      </c>
      <c r="M951" s="27" t="str">
        <f>IFERROR(__xludf.DUMMYFUNCTION("GOOGLETRANSLATE(C951,""EN"",""KN"")"),"ಪ್ರತಿಧ್ವನಿಸಿ")</f>
        <v>ಪ್ರತಿಧ್ವನಿಸಿ</v>
      </c>
      <c r="N951" s="27" t="str">
        <f t="array" ref="N951">_xlfn.XLOOKUP(B951,'Sets Progress'!I:I,'Sets Progress'!I:I,"NOT YET")</f>
        <v>NOT YET</v>
      </c>
      <c r="O951" s="27" t="str">
        <f t="array" ref="O951">_xlfn.XLOOKUP(L:L,'Overall Progress'!L:L,'Overall Progress'!L:L,"NOT YET")</f>
        <v>NOT YET</v>
      </c>
      <c r="P951" s="27"/>
      <c r="Q951" s="27"/>
      <c r="R951" s="27"/>
      <c r="S951" s="27"/>
      <c r="T951" s="27"/>
      <c r="U951" s="27"/>
      <c r="V951" s="27"/>
      <c r="W951" s="27"/>
      <c r="X951" s="27"/>
      <c r="Y951" s="27"/>
      <c r="Z951" s="27"/>
    </row>
    <row r="952" customHeight="1" spans="1:26">
      <c r="A952" s="26">
        <v>1253</v>
      </c>
      <c r="B952" s="26">
        <v>60</v>
      </c>
      <c r="C952" s="26" t="s">
        <v>1584</v>
      </c>
      <c r="D952" s="26" t="s">
        <v>2716</v>
      </c>
      <c r="E952" s="26" t="s">
        <v>2969</v>
      </c>
      <c r="F952" s="26" t="str">
        <f t="shared" si="0"/>
        <v>Negative Traits Old Norse Origin</v>
      </c>
      <c r="G952" s="26">
        <f t="shared" si="1"/>
        <v>6</v>
      </c>
      <c r="H952" s="26"/>
      <c r="I952" s="26"/>
      <c r="J952" s="26"/>
      <c r="K952" s="26"/>
      <c r="L952" s="26" t="str">
        <f t="shared" si="2"/>
        <v>S</v>
      </c>
      <c r="M952" s="26" t="str">
        <f>IFERROR(__xludf.DUMMYFUNCTION("GOOGLETRANSLATE(C952,""EN"",""KN"")"),"ಸ್ಕೇಟ್")</f>
        <v>ಸ್ಕೇಟ್</v>
      </c>
      <c r="N952" s="26" t="str">
        <f t="array" ref="N952">_xlfn.XLOOKUP(B952,'Sets Progress'!I:I,'Sets Progress'!I:I,"NOT YET")</f>
        <v>NOT YET</v>
      </c>
      <c r="O952" s="26" t="str">
        <f t="array" ref="O952">_xlfn.XLOOKUP(L:L,'Overall Progress'!L:L,'Overall Progress'!L:L,"NOT YET")</f>
        <v>NOT YET</v>
      </c>
      <c r="P952" s="26"/>
      <c r="Q952" s="26"/>
      <c r="R952" s="26"/>
      <c r="S952" s="26"/>
      <c r="T952" s="26"/>
      <c r="U952" s="26"/>
      <c r="V952" s="26"/>
      <c r="W952" s="26"/>
      <c r="X952" s="26"/>
      <c r="Y952" s="26"/>
      <c r="Z952" s="26"/>
    </row>
    <row r="953" hidden="1" customHeight="1" spans="1:26">
      <c r="A953" s="27">
        <v>1382</v>
      </c>
      <c r="B953" s="27">
        <v>60</v>
      </c>
      <c r="C953" s="27" t="s">
        <v>1713</v>
      </c>
      <c r="D953" s="27" t="s">
        <v>1721</v>
      </c>
      <c r="E953" s="27" t="s">
        <v>2921</v>
      </c>
      <c r="F953" s="27" t="str">
        <f t="shared" si="0"/>
        <v>Temporal Unknown Origin</v>
      </c>
      <c r="G953" s="27">
        <f t="shared" si="1"/>
        <v>10</v>
      </c>
      <c r="H953" s="27" t="s">
        <v>3833</v>
      </c>
      <c r="I953" s="27"/>
      <c r="J953" s="27"/>
      <c r="K953" s="27"/>
      <c r="L953" s="27" t="str">
        <f t="shared" si="2"/>
        <v>T</v>
      </c>
      <c r="M953" s="27" t="str">
        <f>IFERROR(__xludf.DUMMYFUNCTION("GOOGLETRANSLATE(C953,""EN"",""KN"")"),"ಟಾಂಟಮೌಂಟ್")</f>
        <v>ಟಾಂಟಮೌಂಟ್</v>
      </c>
      <c r="N953" s="27" t="str">
        <f t="array" ref="N953">_xlfn.XLOOKUP(B953,'Sets Progress'!I:I,'Sets Progress'!I:I,"NOT YET")</f>
        <v>NOT YET</v>
      </c>
      <c r="O953" s="27" t="str">
        <f t="array" ref="O953">_xlfn.XLOOKUP(L:L,'Overall Progress'!L:L,'Overall Progress'!L:L,"NOT YET")</f>
        <v>NOT YET</v>
      </c>
      <c r="P953" s="27"/>
      <c r="Q953" s="27"/>
      <c r="R953" s="27"/>
      <c r="S953" s="27"/>
      <c r="T953" s="27"/>
      <c r="U953" s="27"/>
      <c r="V953" s="27"/>
      <c r="W953" s="27"/>
      <c r="X953" s="27"/>
      <c r="Y953" s="27"/>
      <c r="Z953" s="27"/>
    </row>
    <row r="954" hidden="1" customHeight="1" spans="1:26">
      <c r="A954" s="26">
        <v>1482</v>
      </c>
      <c r="B954" s="26">
        <v>60</v>
      </c>
      <c r="C954" s="26" t="s">
        <v>1810</v>
      </c>
      <c r="D954" s="26" t="s">
        <v>2716</v>
      </c>
      <c r="E954" s="26" t="s">
        <v>2908</v>
      </c>
      <c r="F954" s="26" t="str">
        <f t="shared" si="0"/>
        <v>Negative Traits Old English Origin</v>
      </c>
      <c r="G954" s="26">
        <f t="shared" si="1"/>
        <v>7</v>
      </c>
      <c r="H954" s="26" t="s">
        <v>3834</v>
      </c>
      <c r="I954" s="26"/>
      <c r="J954" s="26"/>
      <c r="K954" s="26"/>
      <c r="L954" s="26" t="str">
        <f t="shared" si="2"/>
        <v>U</v>
      </c>
      <c r="M954" s="26" t="str">
        <f>IFERROR(__xludf.DUMMYFUNCTION("GOOGLETRANSLATE(C954,""EN"",""KN"")"),"ಅಸ್ವಸ್ಥ")</f>
        <v>ಅಸ್ವಸ್ಥ</v>
      </c>
      <c r="N954" s="26" t="str">
        <f t="array" ref="N954">_xlfn.XLOOKUP(B954,'Sets Progress'!I:I,'Sets Progress'!I:I,"NOT YET")</f>
        <v>NOT YET</v>
      </c>
      <c r="O954" s="26" t="str">
        <f t="array" ref="O954">_xlfn.XLOOKUP(L:L,'Overall Progress'!L:L,'Overall Progress'!L:L,"NOT YET")</f>
        <v>NOT YET</v>
      </c>
      <c r="P954" s="26"/>
      <c r="Q954" s="26"/>
      <c r="R954" s="26"/>
      <c r="S954" s="26"/>
      <c r="T954" s="26"/>
      <c r="U954" s="26"/>
      <c r="V954" s="26"/>
      <c r="W954" s="26"/>
      <c r="X954" s="26"/>
      <c r="Y954" s="26"/>
      <c r="Z954" s="26"/>
    </row>
    <row r="955" hidden="1" customHeight="1" spans="1:26">
      <c r="A955" s="27">
        <v>1516</v>
      </c>
      <c r="B955" s="27">
        <v>60</v>
      </c>
      <c r="C955" s="27" t="s">
        <v>1844</v>
      </c>
      <c r="D955" s="27" t="s">
        <v>2716</v>
      </c>
      <c r="E955" s="27" t="s">
        <v>2889</v>
      </c>
      <c r="F955" s="27" t="str">
        <f t="shared" si="0"/>
        <v>Negative Traits Latin Origin</v>
      </c>
      <c r="G955" s="27">
        <f t="shared" si="1"/>
        <v>7</v>
      </c>
      <c r="H955" s="27" t="s">
        <v>3835</v>
      </c>
      <c r="I955" s="27"/>
      <c r="J955" s="27"/>
      <c r="K955" s="27"/>
      <c r="L955" s="27" t="str">
        <f t="shared" si="2"/>
        <v>V</v>
      </c>
      <c r="M955" s="27" t="str">
        <f>IFERROR(__xludf.DUMMYFUNCTION("GOOGLETRANSLATE(C955,""EN"",""KN"")"),"ವಿಟಿಯೇಟ್")</f>
        <v>ವಿಟಿಯೇಟ್</v>
      </c>
      <c r="N955" s="27" t="str">
        <f t="array" ref="N955">_xlfn.XLOOKUP(B955,'Sets Progress'!I:I,'Sets Progress'!I:I,"NOT YET")</f>
        <v>NOT YET</v>
      </c>
      <c r="O955" s="27" t="str">
        <f t="array" ref="O955">_xlfn.XLOOKUP(L:L,'Overall Progress'!L:L,'Overall Progress'!L:L,"NOT YET")</f>
        <v>NOT YET</v>
      </c>
      <c r="P955" s="27"/>
      <c r="Q955" s="27"/>
      <c r="R955" s="27"/>
      <c r="S955" s="27"/>
      <c r="T955" s="27"/>
      <c r="U955" s="27"/>
      <c r="V955" s="27"/>
      <c r="W955" s="27"/>
      <c r="X955" s="27"/>
      <c r="Y955" s="27"/>
      <c r="Z955" s="27"/>
    </row>
    <row r="956" hidden="1" customHeight="1" spans="1:26">
      <c r="A956" s="26">
        <v>87</v>
      </c>
      <c r="B956" s="26">
        <v>61</v>
      </c>
      <c r="C956" s="26" t="s">
        <v>438</v>
      </c>
      <c r="D956" s="26" t="s">
        <v>2946</v>
      </c>
      <c r="E956" s="26" t="s">
        <v>2893</v>
      </c>
      <c r="F956" s="26" t="str">
        <f t="shared" si="0"/>
        <v>Emotional Greek Origin</v>
      </c>
      <c r="G956" s="26">
        <f t="shared" si="1"/>
        <v>6</v>
      </c>
      <c r="H956" s="26" t="s">
        <v>3836</v>
      </c>
      <c r="I956" s="26"/>
      <c r="J956" s="26"/>
      <c r="K956" s="26"/>
      <c r="L956" s="26" t="str">
        <f t="shared" si="2"/>
        <v>A</v>
      </c>
      <c r="M956" s="26" t="str">
        <f>IFERROR(__xludf.DUMMYFUNCTION("GOOGLETRANSLATE(C956,""EN"",""KN"")"),"ನಿರಾಸಕ್ತಿ")</f>
        <v>ನಿರಾಸಕ್ತಿ</v>
      </c>
      <c r="N956" s="26">
        <f t="array" ref="N956">_xlfn.XLOOKUP(B956,'Sets Progress'!I:I,'Sets Progress'!I:I,"NOT YET")</f>
        <v>61</v>
      </c>
      <c r="O956" s="26" t="str">
        <f t="array" ref="O956">_xlfn.XLOOKUP(L:L,'Overall Progress'!L:L,'Overall Progress'!L:L,"NOT YET")</f>
        <v>NOT YET</v>
      </c>
      <c r="P956" s="26"/>
      <c r="Q956" s="26"/>
      <c r="R956" s="26"/>
      <c r="S956" s="26"/>
      <c r="T956" s="26"/>
      <c r="U956" s="26"/>
      <c r="V956" s="26"/>
      <c r="W956" s="26"/>
      <c r="X956" s="26"/>
      <c r="Y956" s="26"/>
      <c r="Z956" s="26"/>
    </row>
    <row r="957" hidden="1" customHeight="1" spans="1:26">
      <c r="A957" s="27">
        <v>115</v>
      </c>
      <c r="B957" s="27">
        <v>61</v>
      </c>
      <c r="C957" s="27" t="s">
        <v>465</v>
      </c>
      <c r="D957" s="27" t="s">
        <v>2717</v>
      </c>
      <c r="E957" s="27" t="s">
        <v>2889</v>
      </c>
      <c r="F957" s="27" t="str">
        <f t="shared" si="0"/>
        <v>Positive Traits Latin Origin</v>
      </c>
      <c r="G957" s="27">
        <f t="shared" si="1"/>
        <v>9</v>
      </c>
      <c r="H957" s="27" t="s">
        <v>3837</v>
      </c>
      <c r="I957" s="27"/>
      <c r="J957" s="27"/>
      <c r="K957" s="27"/>
      <c r="L957" s="27" t="str">
        <f t="shared" si="2"/>
        <v>A</v>
      </c>
      <c r="M957" s="27" t="str">
        <f>IFERROR(__xludf.DUMMYFUNCTION("GOOGLETRANSLATE(C957,""EN"",""KN"")"),"ಪ್ರತಿಪಾದಿಸುವ")</f>
        <v>ಪ್ರತಿಪಾದಿಸುವ</v>
      </c>
      <c r="N957" s="27">
        <f t="array" ref="N957">_xlfn.XLOOKUP(B957,'Sets Progress'!I:I,'Sets Progress'!I:I,"NOT YET")</f>
        <v>61</v>
      </c>
      <c r="O957" s="27" t="str">
        <f t="array" ref="O957">_xlfn.XLOOKUP(L:L,'Overall Progress'!L:L,'Overall Progress'!L:L,"NOT YET")</f>
        <v>NOT YET</v>
      </c>
      <c r="P957" s="27"/>
      <c r="Q957" s="27"/>
      <c r="R957" s="27"/>
      <c r="S957" s="27"/>
      <c r="T957" s="27"/>
      <c r="U957" s="27"/>
      <c r="V957" s="27"/>
      <c r="W957" s="27"/>
      <c r="X957" s="27"/>
      <c r="Y957" s="27"/>
      <c r="Z957" s="27"/>
    </row>
    <row r="958" hidden="1" customHeight="1" spans="1:26">
      <c r="A958" s="26">
        <v>128</v>
      </c>
      <c r="B958" s="26">
        <v>61</v>
      </c>
      <c r="C958" s="26" t="s">
        <v>477</v>
      </c>
      <c r="D958" s="26" t="s">
        <v>2717</v>
      </c>
      <c r="E958" s="26" t="s">
        <v>2889</v>
      </c>
      <c r="F958" s="26" t="str">
        <f t="shared" si="0"/>
        <v>Positive Traits Latin Origin</v>
      </c>
      <c r="G958" s="26">
        <f t="shared" si="1"/>
        <v>7</v>
      </c>
      <c r="H958" s="26" t="s">
        <v>3838</v>
      </c>
      <c r="I958" s="26"/>
      <c r="J958" s="26"/>
      <c r="K958" s="26"/>
      <c r="L958" s="26" t="str">
        <f t="shared" si="2"/>
        <v>A</v>
      </c>
      <c r="M958" s="26" t="str">
        <f>IFERROR(__xludf.DUMMYFUNCTION("GOOGLETRANSLATE(C958,""EN"",""KN"")"),"ವೃದ್ಧಿಗೊಳಿಸು")</f>
        <v>ವೃದ್ಧಿಗೊಳಿಸು</v>
      </c>
      <c r="N958" s="26">
        <f t="array" ref="N958">_xlfn.XLOOKUP(B958,'Sets Progress'!I:I,'Sets Progress'!I:I,"NOT YET")</f>
        <v>61</v>
      </c>
      <c r="O958" s="26" t="str">
        <f t="array" ref="O958">_xlfn.XLOOKUP(L:L,'Overall Progress'!L:L,'Overall Progress'!L:L,"NOT YET")</f>
        <v>NOT YET</v>
      </c>
      <c r="P958" s="26"/>
      <c r="Q958" s="26"/>
      <c r="R958" s="26"/>
      <c r="S958" s="26"/>
      <c r="T958" s="26"/>
      <c r="U958" s="26"/>
      <c r="V958" s="26"/>
      <c r="W958" s="26"/>
      <c r="X958" s="26"/>
      <c r="Y958" s="26"/>
      <c r="Z958" s="26"/>
    </row>
    <row r="959" hidden="1" customHeight="1" spans="1:26">
      <c r="A959" s="27">
        <v>135</v>
      </c>
      <c r="B959" s="27">
        <v>61</v>
      </c>
      <c r="C959" s="27" t="s">
        <v>484</v>
      </c>
      <c r="D959" s="27" t="s">
        <v>2716</v>
      </c>
      <c r="E959" s="27" t="s">
        <v>2889</v>
      </c>
      <c r="F959" s="27" t="str">
        <f t="shared" si="0"/>
        <v>Negative Traits Latin Origin</v>
      </c>
      <c r="G959" s="27">
        <f t="shared" si="1"/>
        <v>7</v>
      </c>
      <c r="H959" s="27" t="s">
        <v>3839</v>
      </c>
      <c r="I959" s="27"/>
      <c r="J959" s="27"/>
      <c r="K959" s="27"/>
      <c r="L959" s="27" t="str">
        <f t="shared" si="2"/>
        <v>A</v>
      </c>
      <c r="M959" s="27" t="str">
        <f>IFERROR(__xludf.DUMMYFUNCTION("GOOGLETRANSLATE(C959,""EN"",""KN"")"),"ದುರಾಸೆ")</f>
        <v>ದುರಾಸೆ</v>
      </c>
      <c r="N959" s="27">
        <f t="array" ref="N959">_xlfn.XLOOKUP(B959,'Sets Progress'!I:I,'Sets Progress'!I:I,"NOT YET")</f>
        <v>61</v>
      </c>
      <c r="O959" s="27" t="str">
        <f t="array" ref="O959">_xlfn.XLOOKUP(L:L,'Overall Progress'!L:L,'Overall Progress'!L:L,"NOT YET")</f>
        <v>NOT YET</v>
      </c>
      <c r="P959" s="27"/>
      <c r="Q959" s="27"/>
      <c r="R959" s="27"/>
      <c r="S959" s="27"/>
      <c r="T959" s="27"/>
      <c r="U959" s="27"/>
      <c r="V959" s="27"/>
      <c r="W959" s="27"/>
      <c r="X959" s="27"/>
      <c r="Y959" s="27"/>
      <c r="Z959" s="27"/>
    </row>
    <row r="960" hidden="1" customHeight="1" spans="1:26">
      <c r="A960" s="26">
        <v>286</v>
      </c>
      <c r="B960" s="26">
        <v>61</v>
      </c>
      <c r="C960" s="26" t="s">
        <v>639</v>
      </c>
      <c r="D960" s="26" t="s">
        <v>2717</v>
      </c>
      <c r="E960" s="26" t="s">
        <v>2911</v>
      </c>
      <c r="F960" s="26" t="str">
        <f t="shared" si="0"/>
        <v>Positive Traits French Origin</v>
      </c>
      <c r="G960" s="26">
        <f t="shared" si="1"/>
        <v>11</v>
      </c>
      <c r="H960" s="26" t="s">
        <v>3840</v>
      </c>
      <c r="I960" s="26"/>
      <c r="J960" s="26"/>
      <c r="K960" s="26"/>
      <c r="L960" s="26" t="str">
        <f t="shared" si="2"/>
        <v>C</v>
      </c>
      <c r="M960" s="26" t="str">
        <f>IFERROR(__xludf.DUMMYFUNCTION("GOOGLETRANSLATE(C960,""EN"",""KN"")"),"ಕಾನಸರ್")</f>
        <v>ಕಾನಸರ್</v>
      </c>
      <c r="N960" s="26">
        <f t="array" ref="N960">_xlfn.XLOOKUP(B960,'Sets Progress'!I:I,'Sets Progress'!I:I,"NOT YET")</f>
        <v>61</v>
      </c>
      <c r="O960" s="26" t="str">
        <f t="array" ref="O960">_xlfn.XLOOKUP(L:L,'Overall Progress'!L:L,'Overall Progress'!L:L,"NOT YET")</f>
        <v>NOT YET</v>
      </c>
      <c r="P960" s="26"/>
      <c r="Q960" s="26"/>
      <c r="R960" s="26"/>
      <c r="S960" s="26"/>
      <c r="T960" s="26"/>
      <c r="U960" s="26"/>
      <c r="V960" s="26"/>
      <c r="W960" s="26"/>
      <c r="X960" s="26"/>
      <c r="Y960" s="26"/>
      <c r="Z960" s="26"/>
    </row>
    <row r="961" hidden="1" customHeight="1" spans="1:26">
      <c r="A961" s="27">
        <v>330</v>
      </c>
      <c r="B961" s="27">
        <v>61</v>
      </c>
      <c r="C961" s="27" t="s">
        <v>680</v>
      </c>
      <c r="D961" s="27" t="s">
        <v>2946</v>
      </c>
      <c r="E961" s="27" t="s">
        <v>2908</v>
      </c>
      <c r="F961" s="27" t="str">
        <f t="shared" si="0"/>
        <v>Emotional Old English Origin</v>
      </c>
      <c r="G961" s="27">
        <f t="shared" si="1"/>
        <v>11</v>
      </c>
      <c r="H961" s="27" t="s">
        <v>3841</v>
      </c>
      <c r="I961" s="27"/>
      <c r="J961" s="27"/>
      <c r="K961" s="27"/>
      <c r="L961" s="27" t="str">
        <f t="shared" si="2"/>
        <v>C</v>
      </c>
      <c r="M961" s="27" t="str">
        <f>IFERROR(__xludf.DUMMYFUNCTION("GOOGLETRANSLATE(C961,""EN"",""KN"")"),"ಕ್ರೆಸ್ಟ್ಫಾಲೆನ್")</f>
        <v>ಕ್ರೆಸ್ಟ್ಫಾಲೆನ್</v>
      </c>
      <c r="N961" s="27">
        <f t="array" ref="N961">_xlfn.XLOOKUP(B961,'Sets Progress'!I:I,'Sets Progress'!I:I,"NOT YET")</f>
        <v>61</v>
      </c>
      <c r="O961" s="27" t="str">
        <f t="array" ref="O961">_xlfn.XLOOKUP(L:L,'Overall Progress'!L:L,'Overall Progress'!L:L,"NOT YET")</f>
        <v>NOT YET</v>
      </c>
      <c r="P961" s="27"/>
      <c r="Q961" s="27"/>
      <c r="R961" s="27"/>
      <c r="S961" s="27"/>
      <c r="T961" s="27"/>
      <c r="U961" s="27"/>
      <c r="V961" s="27"/>
      <c r="W961" s="27"/>
      <c r="X961" s="27"/>
      <c r="Y961" s="27"/>
      <c r="Z961" s="27"/>
    </row>
    <row r="962" hidden="1" customHeight="1" spans="1:26">
      <c r="A962" s="26">
        <v>375</v>
      </c>
      <c r="B962" s="26">
        <v>61</v>
      </c>
      <c r="C962" s="26" t="s">
        <v>725</v>
      </c>
      <c r="D962" s="26" t="s">
        <v>2716</v>
      </c>
      <c r="E962" s="26" t="s">
        <v>2889</v>
      </c>
      <c r="F962" s="26" t="str">
        <f t="shared" si="0"/>
        <v>Negative Traits Latin Origin</v>
      </c>
      <c r="G962" s="26">
        <f t="shared" si="1"/>
        <v>9</v>
      </c>
      <c r="H962" s="26" t="s">
        <v>3842</v>
      </c>
      <c r="I962" s="26"/>
      <c r="J962" s="26"/>
      <c r="K962" s="26"/>
      <c r="L962" s="26" t="str">
        <f t="shared" si="2"/>
        <v>D</v>
      </c>
      <c r="M962" s="26" t="str">
        <f>IFERROR(__xludf.DUMMYFUNCTION("GOOGLETRANSLATE(C962,""EN"",""KN"")"),"ಭ್ರಷ್ಟತೆ")</f>
        <v>ಭ್ರಷ್ಟತೆ</v>
      </c>
      <c r="N962" s="26">
        <f t="array" ref="N962">_xlfn.XLOOKUP(B962,'Sets Progress'!I:I,'Sets Progress'!I:I,"NOT YET")</f>
        <v>61</v>
      </c>
      <c r="O962" s="26" t="str">
        <f t="array" ref="O962">_xlfn.XLOOKUP(L:L,'Overall Progress'!L:L,'Overall Progress'!L:L,"NOT YET")</f>
        <v>NOT YET</v>
      </c>
      <c r="P962" s="26"/>
      <c r="Q962" s="26"/>
      <c r="R962" s="26"/>
      <c r="S962" s="26"/>
      <c r="T962" s="26"/>
      <c r="U962" s="26"/>
      <c r="V962" s="26"/>
      <c r="W962" s="26"/>
      <c r="X962" s="26"/>
      <c r="Y962" s="26"/>
      <c r="Z962" s="26"/>
    </row>
    <row r="963" hidden="1" customHeight="1" spans="1:26">
      <c r="A963" s="27">
        <v>389</v>
      </c>
      <c r="B963" s="27">
        <v>61</v>
      </c>
      <c r="C963" s="27" t="s">
        <v>739</v>
      </c>
      <c r="D963" s="27" t="s">
        <v>2716</v>
      </c>
      <c r="E963" s="27" t="s">
        <v>2889</v>
      </c>
      <c r="F963" s="27" t="str">
        <f t="shared" si="0"/>
        <v>Negative Traits Latin Origin</v>
      </c>
      <c r="G963" s="27">
        <f t="shared" si="1"/>
        <v>7</v>
      </c>
      <c r="H963" s="27" t="s">
        <v>3843</v>
      </c>
      <c r="I963" s="27"/>
      <c r="J963" s="27"/>
      <c r="K963" s="27"/>
      <c r="L963" s="27" t="str">
        <f t="shared" si="2"/>
        <v>D</v>
      </c>
      <c r="M963" s="27" t="str">
        <f>IFERROR(__xludf.DUMMYFUNCTION("GOOGLETRANSLATE(C963,""EN"",""KN"")"),"ವಂಚಕ")</f>
        <v>ವಂಚಕ</v>
      </c>
      <c r="N963" s="27">
        <f t="array" ref="N963">_xlfn.XLOOKUP(B963,'Sets Progress'!I:I,'Sets Progress'!I:I,"NOT YET")</f>
        <v>61</v>
      </c>
      <c r="O963" s="27" t="str">
        <f t="array" ref="O963">_xlfn.XLOOKUP(L:L,'Overall Progress'!L:L,'Overall Progress'!L:L,"NOT YET")</f>
        <v>NOT YET</v>
      </c>
      <c r="P963" s="27"/>
      <c r="Q963" s="27"/>
      <c r="R963" s="27"/>
      <c r="S963" s="27"/>
      <c r="T963" s="27"/>
      <c r="U963" s="27"/>
      <c r="V963" s="27"/>
      <c r="W963" s="27"/>
      <c r="X963" s="27"/>
      <c r="Y963" s="27"/>
      <c r="Z963" s="27"/>
    </row>
    <row r="964" hidden="1" customHeight="1" spans="1:26">
      <c r="A964" s="26">
        <v>442</v>
      </c>
      <c r="B964" s="26">
        <v>61</v>
      </c>
      <c r="C964" s="26" t="s">
        <v>791</v>
      </c>
      <c r="D964" s="26" t="s">
        <v>2892</v>
      </c>
      <c r="E964" s="26" t="s">
        <v>2889</v>
      </c>
      <c r="F964" s="26" t="str">
        <f t="shared" si="0"/>
        <v>Spatial Latin Origin</v>
      </c>
      <c r="G964" s="26">
        <f t="shared" si="1"/>
        <v>7</v>
      </c>
      <c r="H964" s="26" t="s">
        <v>3844</v>
      </c>
      <c r="I964" s="26"/>
      <c r="J964" s="26"/>
      <c r="K964" s="26"/>
      <c r="L964" s="26" t="str">
        <f t="shared" si="2"/>
        <v>D</v>
      </c>
      <c r="M964" s="26" t="str">
        <f>IFERROR(__xludf.DUMMYFUNCTION("GOOGLETRANSLATE(C964,""EN"",""KN"")"),"ಡಿಸ್ಟೆಂಡ್")</f>
        <v>ಡಿಸ್ಟೆಂಡ್</v>
      </c>
      <c r="N964" s="26">
        <f t="array" ref="N964">_xlfn.XLOOKUP(B964,'Sets Progress'!I:I,'Sets Progress'!I:I,"NOT YET")</f>
        <v>61</v>
      </c>
      <c r="O964" s="26" t="str">
        <f t="array" ref="O964">_xlfn.XLOOKUP(L:L,'Overall Progress'!L:L,'Overall Progress'!L:L,"NOT YET")</f>
        <v>NOT YET</v>
      </c>
      <c r="P964" s="26"/>
      <c r="Q964" s="26"/>
      <c r="R964" s="26"/>
      <c r="S964" s="26"/>
      <c r="T964" s="26"/>
      <c r="U964" s="26"/>
      <c r="V964" s="26"/>
      <c r="W964" s="26"/>
      <c r="X964" s="26"/>
      <c r="Y964" s="26"/>
      <c r="Z964" s="26"/>
    </row>
    <row r="965" hidden="1" customHeight="1" spans="1:26">
      <c r="A965" s="27">
        <v>512</v>
      </c>
      <c r="B965" s="27">
        <v>61</v>
      </c>
      <c r="C965" s="27" t="s">
        <v>861</v>
      </c>
      <c r="D965" s="27" t="s">
        <v>2946</v>
      </c>
      <c r="E965" s="27" t="s">
        <v>2911</v>
      </c>
      <c r="F965" s="27" t="str">
        <f t="shared" si="0"/>
        <v>Emotional French Origin</v>
      </c>
      <c r="G965" s="27">
        <f t="shared" si="1"/>
        <v>5</v>
      </c>
      <c r="H965" s="27" t="s">
        <v>3845</v>
      </c>
      <c r="I965" s="27"/>
      <c r="J965" s="27" t="s">
        <v>3846</v>
      </c>
      <c r="K965" s="27"/>
      <c r="L965" s="27" t="str">
        <f t="shared" si="2"/>
        <v>E</v>
      </c>
      <c r="M965" s="27" t="str">
        <f>IFERROR(__xludf.DUMMYFUNCTION("GOOGLETRANSLATE(C965,""EN"",""KN"")"),"ಎನ್ನಿ")</f>
        <v>ಎನ್ನಿ</v>
      </c>
      <c r="N965" s="27">
        <f t="array" ref="N965">_xlfn.XLOOKUP(B965,'Sets Progress'!I:I,'Sets Progress'!I:I,"NOT YET")</f>
        <v>61</v>
      </c>
      <c r="O965" s="27" t="str">
        <f t="array" ref="O965">_xlfn.XLOOKUP(L:L,'Overall Progress'!L:L,'Overall Progress'!L:L,"NOT YET")</f>
        <v>NOT YET</v>
      </c>
      <c r="P965" s="27"/>
      <c r="Q965" s="27"/>
      <c r="R965" s="27"/>
      <c r="S965" s="27"/>
      <c r="T965" s="27"/>
      <c r="U965" s="27"/>
      <c r="V965" s="27"/>
      <c r="W965" s="27"/>
      <c r="X965" s="27"/>
      <c r="Y965" s="27"/>
      <c r="Z965" s="27"/>
    </row>
    <row r="966" hidden="1" customHeight="1" spans="1:26">
      <c r="A966" s="26">
        <v>563</v>
      </c>
      <c r="B966" s="26">
        <v>61</v>
      </c>
      <c r="C966" s="26" t="s">
        <v>909</v>
      </c>
      <c r="D966" s="26" t="s">
        <v>1721</v>
      </c>
      <c r="E966" s="26" t="s">
        <v>2889</v>
      </c>
      <c r="F966" s="26" t="str">
        <f t="shared" si="0"/>
        <v>Temporal Latin Origin</v>
      </c>
      <c r="G966" s="26">
        <f t="shared" si="1"/>
        <v>8</v>
      </c>
      <c r="H966" s="26" t="s">
        <v>3847</v>
      </c>
      <c r="I966" s="26"/>
      <c r="J966" s="26"/>
      <c r="K966" s="26"/>
      <c r="L966" s="26" t="str">
        <f t="shared" si="2"/>
        <v>E</v>
      </c>
      <c r="M966" s="26" t="str">
        <f>IFERROR(__xludf.DUMMYFUNCTION("GOOGLETRANSLATE(C966,""EN"",""KN"")"),"ತ್ವರಿತಗೊಳಿಸಿ")</f>
        <v>ತ್ವರಿತಗೊಳಿಸಿ</v>
      </c>
      <c r="N966" s="26">
        <f t="array" ref="N966">_xlfn.XLOOKUP(B966,'Sets Progress'!I:I,'Sets Progress'!I:I,"NOT YET")</f>
        <v>61</v>
      </c>
      <c r="O966" s="26" t="str">
        <f t="array" ref="O966">_xlfn.XLOOKUP(L:L,'Overall Progress'!L:L,'Overall Progress'!L:L,"NOT YET")</f>
        <v>NOT YET</v>
      </c>
      <c r="P966" s="26"/>
      <c r="Q966" s="26"/>
      <c r="R966" s="26"/>
      <c r="S966" s="26"/>
      <c r="T966" s="26"/>
      <c r="U966" s="26"/>
      <c r="V966" s="26"/>
      <c r="W966" s="26"/>
      <c r="X966" s="26"/>
      <c r="Y966" s="26"/>
      <c r="Z966" s="26"/>
    </row>
    <row r="967" hidden="1" customHeight="1" spans="1:26">
      <c r="A967" s="27">
        <v>601</v>
      </c>
      <c r="B967" s="27">
        <v>61</v>
      </c>
      <c r="C967" s="27" t="s">
        <v>945</v>
      </c>
      <c r="D967" s="27" t="s">
        <v>1721</v>
      </c>
      <c r="E967" s="27" t="s">
        <v>2921</v>
      </c>
      <c r="F967" s="27" t="str">
        <f t="shared" si="0"/>
        <v>Temporal Unknown Origin</v>
      </c>
      <c r="G967" s="27">
        <f t="shared" si="1"/>
        <v>7</v>
      </c>
      <c r="H967" s="27" t="s">
        <v>3848</v>
      </c>
      <c r="I967" s="27"/>
      <c r="J967" s="27"/>
      <c r="K967" s="27"/>
      <c r="L967" s="27" t="str">
        <f t="shared" si="2"/>
        <v>F</v>
      </c>
      <c r="M967" s="27" t="str">
        <f>IFERROR(__xludf.DUMMYFUNCTION("GOOGLETRANSLATE(C967,""EN"",""KN"")"),"ಫಿನಿಕಿ")</f>
        <v>ಫಿನಿಕಿ</v>
      </c>
      <c r="N967" s="27">
        <f t="array" ref="N967">_xlfn.XLOOKUP(B967,'Sets Progress'!I:I,'Sets Progress'!I:I,"NOT YET")</f>
        <v>61</v>
      </c>
      <c r="O967" s="27" t="str">
        <f t="array" ref="O967">_xlfn.XLOOKUP(L:L,'Overall Progress'!L:L,'Overall Progress'!L:L,"NOT YET")</f>
        <v>NOT YET</v>
      </c>
      <c r="P967" s="27"/>
      <c r="Q967" s="27"/>
      <c r="R967" s="27"/>
      <c r="S967" s="27"/>
      <c r="T967" s="27"/>
      <c r="U967" s="27"/>
      <c r="V967" s="27"/>
      <c r="W967" s="27"/>
      <c r="X967" s="27"/>
      <c r="Y967" s="27"/>
      <c r="Z967" s="27"/>
    </row>
    <row r="968" hidden="1" customHeight="1" spans="1:26">
      <c r="A968" s="26">
        <v>780</v>
      </c>
      <c r="B968" s="26">
        <v>61</v>
      </c>
      <c r="C968" s="26" t="s">
        <v>1121</v>
      </c>
      <c r="D968" s="26" t="s">
        <v>1721</v>
      </c>
      <c r="E968" s="26" t="s">
        <v>2889</v>
      </c>
      <c r="F968" s="26" t="str">
        <f t="shared" si="0"/>
        <v>Temporal Latin Origin</v>
      </c>
      <c r="G968" s="26">
        <f t="shared" si="1"/>
        <v>6</v>
      </c>
      <c r="H968" s="26" t="s">
        <v>3849</v>
      </c>
      <c r="I968" s="26"/>
      <c r="J968" s="26"/>
      <c r="K968" s="26"/>
      <c r="L968" s="26" t="str">
        <f t="shared" si="2"/>
        <v>I</v>
      </c>
      <c r="M968" s="26" t="str">
        <f>IFERROR(__xludf.DUMMYFUNCTION("GOOGLETRANSLATE(C968,""EN"",""KN"")"),"ತಿಳಿಸು")</f>
        <v>ತಿಳಿಸು</v>
      </c>
      <c r="N968" s="26">
        <f t="array" ref="N968">_xlfn.XLOOKUP(B968,'Sets Progress'!I:I,'Sets Progress'!I:I,"NOT YET")</f>
        <v>61</v>
      </c>
      <c r="O968" s="26" t="str">
        <f t="array" ref="O968">_xlfn.XLOOKUP(L:L,'Overall Progress'!L:L,'Overall Progress'!L:L,"NOT YET")</f>
        <v>NOT YET</v>
      </c>
      <c r="P968" s="26"/>
      <c r="Q968" s="26"/>
      <c r="R968" s="26"/>
      <c r="S968" s="26"/>
      <c r="T968" s="26"/>
      <c r="U968" s="26"/>
      <c r="V968" s="26"/>
      <c r="W968" s="26"/>
      <c r="X968" s="26"/>
      <c r="Y968" s="26"/>
      <c r="Z968" s="26"/>
    </row>
    <row r="969" hidden="1" customHeight="1" spans="1:26">
      <c r="A969" s="27">
        <v>968</v>
      </c>
      <c r="B969" s="27">
        <v>61</v>
      </c>
      <c r="C969" s="27" t="s">
        <v>1304</v>
      </c>
      <c r="D969" s="27" t="s">
        <v>2716</v>
      </c>
      <c r="E969" s="27" t="s">
        <v>2889</v>
      </c>
      <c r="F969" s="27" t="str">
        <f t="shared" si="0"/>
        <v>Negative Traits Latin Origin</v>
      </c>
      <c r="G969" s="27">
        <f t="shared" si="1"/>
        <v>9</v>
      </c>
      <c r="H969" s="27" t="s">
        <v>3850</v>
      </c>
      <c r="I969" s="27"/>
      <c r="J969" s="27"/>
      <c r="K969" s="27"/>
      <c r="L969" s="27" t="str">
        <f t="shared" si="2"/>
        <v>O</v>
      </c>
      <c r="M969" s="27" t="str">
        <f>IFERROR(__xludf.DUMMYFUNCTION("GOOGLETRANSLATE(C969,""EN"",""KN"")"),"ಅಬ್ಜರ್ಗೇಟ್")</f>
        <v>ಅಬ್ಜರ್ಗೇಟ್</v>
      </c>
      <c r="N969" s="27">
        <f t="array" ref="N969">_xlfn.XLOOKUP(B969,'Sets Progress'!I:I,'Sets Progress'!I:I,"NOT YET")</f>
        <v>61</v>
      </c>
      <c r="O969" s="27" t="str">
        <f t="array" ref="O969">_xlfn.XLOOKUP(L:L,'Overall Progress'!L:L,'Overall Progress'!L:L,"NOT YET")</f>
        <v>NOT YET</v>
      </c>
      <c r="P969" s="27"/>
      <c r="Q969" s="27"/>
      <c r="R969" s="27"/>
      <c r="S969" s="27"/>
      <c r="T969" s="27"/>
      <c r="U969" s="27"/>
      <c r="V969" s="27"/>
      <c r="W969" s="27"/>
      <c r="X969" s="27"/>
      <c r="Y969" s="27"/>
      <c r="Z969" s="27"/>
    </row>
    <row r="970" hidden="1" customHeight="1" spans="1:26">
      <c r="A970" s="26">
        <v>997</v>
      </c>
      <c r="B970" s="26">
        <v>61</v>
      </c>
      <c r="C970" s="26" t="s">
        <v>1332</v>
      </c>
      <c r="D970" s="26" t="s">
        <v>2716</v>
      </c>
      <c r="E970" s="26" t="s">
        <v>2908</v>
      </c>
      <c r="F970" s="26" t="str">
        <f t="shared" si="0"/>
        <v>Negative Traits Old English Origin</v>
      </c>
      <c r="G970" s="26">
        <f t="shared" si="1"/>
        <v>10</v>
      </c>
      <c r="H970" s="26" t="s">
        <v>3851</v>
      </c>
      <c r="I970" s="26"/>
      <c r="J970" s="26"/>
      <c r="K970" s="26"/>
      <c r="L970" s="26" t="str">
        <f t="shared" si="2"/>
        <v>O</v>
      </c>
      <c r="M970" s="26" t="str">
        <f>IFERROR(__xludf.DUMMYFUNCTION("GOOGLETRANSLATE(C970,""EN"",""KN"")"),"ವಿಲಕ್ಷಣ")</f>
        <v>ವಿಲಕ್ಷಣ</v>
      </c>
      <c r="N970" s="26">
        <f t="array" ref="N970">_xlfn.XLOOKUP(B970,'Sets Progress'!I:I,'Sets Progress'!I:I,"NOT YET")</f>
        <v>61</v>
      </c>
      <c r="O970" s="26" t="str">
        <f t="array" ref="O970">_xlfn.XLOOKUP(L:L,'Overall Progress'!L:L,'Overall Progress'!L:L,"NOT YET")</f>
        <v>NOT YET</v>
      </c>
      <c r="P970" s="26"/>
      <c r="Q970" s="26"/>
      <c r="R970" s="26"/>
      <c r="S970" s="26"/>
      <c r="T970" s="26"/>
      <c r="U970" s="26"/>
      <c r="V970" s="26"/>
      <c r="W970" s="26"/>
      <c r="X970" s="26"/>
      <c r="Y970" s="26"/>
      <c r="Z970" s="26"/>
    </row>
    <row r="971" hidden="1" customHeight="1" spans="1:26">
      <c r="A971" s="27">
        <v>1158</v>
      </c>
      <c r="B971" s="27">
        <v>61</v>
      </c>
      <c r="C971" s="27" t="s">
        <v>1489</v>
      </c>
      <c r="D971" s="27" t="s">
        <v>1721</v>
      </c>
      <c r="E971" s="27" t="s">
        <v>2921</v>
      </c>
      <c r="F971" s="27" t="str">
        <f t="shared" si="0"/>
        <v>Temporal Unknown Origin</v>
      </c>
      <c r="G971" s="27">
        <f t="shared" si="1"/>
        <v>7</v>
      </c>
      <c r="H971" s="27" t="s">
        <v>3852</v>
      </c>
      <c r="I971" s="28"/>
      <c r="J971" s="28"/>
      <c r="K971" s="27"/>
      <c r="L971" s="27" t="str">
        <f t="shared" si="2"/>
        <v>Q</v>
      </c>
      <c r="M971" s="27" t="str">
        <f>IFERROR(__xludf.DUMMYFUNCTION("GOOGLETRANSLATE(C971,""EN"",""KN"")"),"ಕ್ವಿಬಲ್")</f>
        <v>ಕ್ವಿಬಲ್</v>
      </c>
      <c r="N971" s="27">
        <f t="array" ref="N971">_xlfn.XLOOKUP(B971,'Sets Progress'!I:I,'Sets Progress'!I:I,"NOT YET")</f>
        <v>61</v>
      </c>
      <c r="O971" s="27" t="str">
        <f t="array" ref="O971">_xlfn.XLOOKUP(L:L,'Overall Progress'!L:L,'Overall Progress'!L:L,"NOT YET")</f>
        <v>NOT YET</v>
      </c>
      <c r="P971" s="27"/>
      <c r="Q971" s="27"/>
      <c r="R971" s="27"/>
      <c r="S971" s="27"/>
      <c r="T971" s="27"/>
      <c r="U971" s="27"/>
      <c r="V971" s="27"/>
      <c r="W971" s="27"/>
      <c r="X971" s="27"/>
      <c r="Y971" s="27"/>
      <c r="Z971" s="27"/>
    </row>
    <row r="972" hidden="1" customHeight="1" spans="1:26">
      <c r="A972" s="26">
        <v>1327</v>
      </c>
      <c r="B972" s="26">
        <v>61</v>
      </c>
      <c r="C972" s="26" t="s">
        <v>1658</v>
      </c>
      <c r="D972" s="26" t="s">
        <v>2716</v>
      </c>
      <c r="E972" s="26" t="s">
        <v>2921</v>
      </c>
      <c r="F972" s="26" t="str">
        <f t="shared" si="0"/>
        <v>Negative Traits Unknown Origin</v>
      </c>
      <c r="G972" s="26">
        <f t="shared" si="1"/>
        <v>10</v>
      </c>
      <c r="H972" s="26" t="s">
        <v>3853</v>
      </c>
      <c r="I972" s="26"/>
      <c r="J972" s="26"/>
      <c r="K972" s="26"/>
      <c r="L972" s="26" t="str">
        <f t="shared" si="2"/>
        <v>S</v>
      </c>
      <c r="M972" s="26" t="str">
        <f>IFERROR(__xludf.DUMMYFUNCTION("GOOGLETRANSLATE(C972,""EN"",""KN"")"),"ಕಳಂಕಗೊಳಿಸು")</f>
        <v>ಕಳಂಕಗೊಳಿಸು</v>
      </c>
      <c r="N972" s="26">
        <f t="array" ref="N972">_xlfn.XLOOKUP(B972,'Sets Progress'!I:I,'Sets Progress'!I:I,"NOT YET")</f>
        <v>61</v>
      </c>
      <c r="O972" s="26" t="str">
        <f t="array" ref="O972">_xlfn.XLOOKUP(L:L,'Overall Progress'!L:L,'Overall Progress'!L:L,"NOT YET")</f>
        <v>NOT YET</v>
      </c>
      <c r="P972" s="26"/>
      <c r="Q972" s="26"/>
      <c r="R972" s="26"/>
      <c r="S972" s="26"/>
      <c r="T972" s="26"/>
      <c r="U972" s="26"/>
      <c r="V972" s="26"/>
      <c r="W972" s="26"/>
      <c r="X972" s="26"/>
      <c r="Y972" s="26"/>
      <c r="Z972" s="26"/>
    </row>
    <row r="973" hidden="1" customHeight="1" spans="1:26">
      <c r="A973" s="27">
        <v>1474</v>
      </c>
      <c r="B973" s="27">
        <v>61</v>
      </c>
      <c r="C973" s="27" t="s">
        <v>1802</v>
      </c>
      <c r="D973" s="27" t="s">
        <v>2716</v>
      </c>
      <c r="E973" s="27" t="s">
        <v>2889</v>
      </c>
      <c r="F973" s="27" t="str">
        <f t="shared" si="0"/>
        <v>Negative Traits Latin Origin</v>
      </c>
      <c r="G973" s="27">
        <f t="shared" si="1"/>
        <v>12</v>
      </c>
      <c r="H973" s="27" t="s">
        <v>3854</v>
      </c>
      <c r="I973" s="27"/>
      <c r="J973" s="27"/>
      <c r="K973" s="27"/>
      <c r="L973" s="27" t="str">
        <f t="shared" si="2"/>
        <v>U</v>
      </c>
      <c r="M973" s="27" t="str">
        <f>IFERROR(__xludf.DUMMYFUNCTION("GOOGLETRANSLATE(C973,""EN"",""KN"")"),"ತತ್ವರಹಿತ")</f>
        <v>ತತ್ವರಹಿತ</v>
      </c>
      <c r="N973" s="27">
        <f t="array" ref="N973">_xlfn.XLOOKUP(B973,'Sets Progress'!I:I,'Sets Progress'!I:I,"NOT YET")</f>
        <v>61</v>
      </c>
      <c r="O973" s="27" t="str">
        <f t="array" ref="O973">_xlfn.XLOOKUP(L:L,'Overall Progress'!L:L,'Overall Progress'!L:L,"NOT YET")</f>
        <v>NOT YET</v>
      </c>
      <c r="P973" s="27"/>
      <c r="Q973" s="27"/>
      <c r="R973" s="27"/>
      <c r="S973" s="27"/>
      <c r="T973" s="27"/>
      <c r="U973" s="27"/>
      <c r="V973" s="27"/>
      <c r="W973" s="27"/>
      <c r="X973" s="27"/>
      <c r="Y973" s="27"/>
      <c r="Z973" s="27"/>
    </row>
    <row r="974" hidden="1" customHeight="1" spans="1:26">
      <c r="A974" s="26">
        <v>57</v>
      </c>
      <c r="B974" s="26">
        <v>62</v>
      </c>
      <c r="C974" s="26" t="s">
        <v>410</v>
      </c>
      <c r="D974" s="26" t="s">
        <v>2928</v>
      </c>
      <c r="E974" s="26" t="s">
        <v>2889</v>
      </c>
      <c r="F974" s="26" t="str">
        <f t="shared" si="0"/>
        <v>Philosophical Latin Origin</v>
      </c>
      <c r="G974" s="26">
        <f t="shared" si="1"/>
        <v>11</v>
      </c>
      <c r="H974" s="26" t="s">
        <v>3855</v>
      </c>
      <c r="I974" s="26"/>
      <c r="J974" s="26"/>
      <c r="K974" s="26"/>
      <c r="L974" s="26" t="str">
        <f t="shared" si="2"/>
        <v>A</v>
      </c>
      <c r="M974" s="26" t="str">
        <f>IFERROR(__xludf.DUMMYFUNCTION("GOOGLETRANSLATE(C974,""EN"",""KN"")"),"ಸಾಂಕೇತಿಕ")</f>
        <v>ಸಾಂಕೇತಿಕ</v>
      </c>
      <c r="N974" s="26" t="str">
        <f t="array" ref="N974">_xlfn.XLOOKUP(B974,'Sets Progress'!I:I,'Sets Progress'!I:I,"NOT YET")</f>
        <v>NOT YET</v>
      </c>
      <c r="O974" s="26" t="str">
        <f t="array" ref="O974">_xlfn.XLOOKUP(L:L,'Overall Progress'!L:L,'Overall Progress'!L:L,"NOT YET")</f>
        <v>NOT YET</v>
      </c>
      <c r="P974" s="26"/>
      <c r="Q974" s="26"/>
      <c r="R974" s="26"/>
      <c r="S974" s="26"/>
      <c r="T974" s="26"/>
      <c r="U974" s="26"/>
      <c r="V974" s="26"/>
      <c r="W974" s="26"/>
      <c r="X974" s="26"/>
      <c r="Y974" s="26"/>
      <c r="Z974" s="26"/>
    </row>
    <row r="975" customHeight="1" spans="1:26">
      <c r="A975" s="27">
        <v>602</v>
      </c>
      <c r="B975" s="27">
        <v>62</v>
      </c>
      <c r="C975" s="27" t="s">
        <v>946</v>
      </c>
      <c r="D975" s="27" t="s">
        <v>1721</v>
      </c>
      <c r="E975" s="27" t="s">
        <v>2908</v>
      </c>
      <c r="F975" s="27" t="str">
        <f t="shared" si="0"/>
        <v>Temporal Old English Origin</v>
      </c>
      <c r="G975" s="27">
        <f t="shared" si="1"/>
        <v>8</v>
      </c>
      <c r="H975" s="27"/>
      <c r="I975" s="27"/>
      <c r="J975" s="27"/>
      <c r="K975" s="27"/>
      <c r="L975" s="27" t="str">
        <f t="shared" si="2"/>
        <v>F</v>
      </c>
      <c r="M975" s="27" t="str">
        <f>IFERROR(__xludf.DUMMYFUNCTION("GOOGLETRANSLATE(C975,""EN"",""KN"")"),"ಸೂಕ್ತವಾಗಿ")</f>
        <v>ಸೂಕ್ತವಾಗಿ</v>
      </c>
      <c r="N975" s="27" t="str">
        <f t="array" ref="N975">_xlfn.XLOOKUP(B975,'Sets Progress'!I:I,'Sets Progress'!I:I,"NOT YET")</f>
        <v>NOT YET</v>
      </c>
      <c r="O975" s="27" t="str">
        <f t="array" ref="O975">_xlfn.XLOOKUP(L:L,'Overall Progress'!L:L,'Overall Progress'!L:L,"NOT YET")</f>
        <v>NOT YET</v>
      </c>
      <c r="P975" s="27"/>
      <c r="Q975" s="27"/>
      <c r="R975" s="27"/>
      <c r="S975" s="27"/>
      <c r="T975" s="27"/>
      <c r="U975" s="27"/>
      <c r="V975" s="27"/>
      <c r="W975" s="27"/>
      <c r="X975" s="27"/>
      <c r="Y975" s="27"/>
      <c r="Z975" s="27"/>
    </row>
    <row r="976" customHeight="1" spans="1:26">
      <c r="A976" s="26">
        <v>724</v>
      </c>
      <c r="B976" s="26">
        <v>62</v>
      </c>
      <c r="C976" s="26" t="s">
        <v>1066</v>
      </c>
      <c r="D976" s="26" t="s">
        <v>2716</v>
      </c>
      <c r="E976" s="26" t="s">
        <v>2889</v>
      </c>
      <c r="F976" s="26" t="str">
        <f t="shared" si="0"/>
        <v>Negative Traits Latin Origin</v>
      </c>
      <c r="G976" s="26">
        <f t="shared" si="1"/>
        <v>9</v>
      </c>
      <c r="H976" s="26"/>
      <c r="I976" s="26"/>
      <c r="J976" s="26"/>
      <c r="K976" s="26"/>
      <c r="L976" s="26" t="str">
        <f t="shared" si="2"/>
        <v>I</v>
      </c>
      <c r="M976" s="26" t="str">
        <f>IFERROR(__xludf.DUMMYFUNCTION("GOOGLETRANSLATE(C976,""EN"",""KN"")"),"ಇಂಪೀರಿಯಸ್")</f>
        <v>ಇಂಪೀರಿಯಸ್</v>
      </c>
      <c r="N976" s="26" t="str">
        <f t="array" ref="N976">_xlfn.XLOOKUP(B976,'Sets Progress'!I:I,'Sets Progress'!I:I,"NOT YET")</f>
        <v>NOT YET</v>
      </c>
      <c r="O976" s="26" t="str">
        <f t="array" ref="O976">_xlfn.XLOOKUP(L:L,'Overall Progress'!L:L,'Overall Progress'!L:L,"NOT YET")</f>
        <v>NOT YET</v>
      </c>
      <c r="P976" s="26"/>
      <c r="Q976" s="26"/>
      <c r="R976" s="26"/>
      <c r="S976" s="26"/>
      <c r="T976" s="26"/>
      <c r="U976" s="26"/>
      <c r="V976" s="26"/>
      <c r="W976" s="26"/>
      <c r="X976" s="26"/>
      <c r="Y976" s="26"/>
      <c r="Z976" s="26"/>
    </row>
    <row r="977" hidden="1" customHeight="1" spans="1:26">
      <c r="A977" s="27">
        <v>842</v>
      </c>
      <c r="B977" s="27">
        <v>62</v>
      </c>
      <c r="C977" s="27" t="s">
        <v>1182</v>
      </c>
      <c r="D977" s="27" t="s">
        <v>2717</v>
      </c>
      <c r="E977" s="27" t="s">
        <v>2908</v>
      </c>
      <c r="F977" s="27" t="str">
        <f t="shared" si="0"/>
        <v>Positive Traits Old English Origin</v>
      </c>
      <c r="G977" s="27">
        <f t="shared" si="1"/>
        <v>4</v>
      </c>
      <c r="H977" s="27" t="s">
        <v>3856</v>
      </c>
      <c r="I977" s="27"/>
      <c r="J977" s="27"/>
      <c r="K977" s="27"/>
      <c r="L977" s="27" t="str">
        <f t="shared" si="2"/>
        <v>K</v>
      </c>
      <c r="M977" s="27" t="str">
        <f>IFERROR(__xludf.DUMMYFUNCTION("GOOGLETRANSLATE(C977,""EN"",""KN"")"),"ಕೀನ್")</f>
        <v>ಕೀನ್</v>
      </c>
      <c r="N977" s="27" t="str">
        <f t="array" ref="N977">_xlfn.XLOOKUP(B977,'Sets Progress'!I:I,'Sets Progress'!I:I,"NOT YET")</f>
        <v>NOT YET</v>
      </c>
      <c r="O977" s="27" t="str">
        <f t="array" ref="O977">_xlfn.XLOOKUP(L:L,'Overall Progress'!L:L,'Overall Progress'!L:L,"NOT YET")</f>
        <v>NOT YET</v>
      </c>
      <c r="P977" s="27"/>
      <c r="Q977" s="27"/>
      <c r="R977" s="27"/>
      <c r="S977" s="27"/>
      <c r="T977" s="27"/>
      <c r="U977" s="27"/>
      <c r="V977" s="27"/>
      <c r="W977" s="27"/>
      <c r="X977" s="27"/>
      <c r="Y977" s="27"/>
      <c r="Z977" s="27"/>
    </row>
    <row r="978" hidden="1" customHeight="1" spans="1:26">
      <c r="A978" s="26">
        <v>943</v>
      </c>
      <c r="B978" s="26">
        <v>62</v>
      </c>
      <c r="C978" s="26" t="s">
        <v>1279</v>
      </c>
      <c r="D978" s="26" t="s">
        <v>2716</v>
      </c>
      <c r="E978" s="26" t="s">
        <v>2893</v>
      </c>
      <c r="F978" s="26" t="str">
        <f t="shared" si="0"/>
        <v>Negative Traits Greek Origin</v>
      </c>
      <c r="G978" s="26">
        <f t="shared" si="1"/>
        <v>10</v>
      </c>
      <c r="H978" s="31" t="s">
        <v>3857</v>
      </c>
      <c r="I978" s="26"/>
      <c r="J978" s="26"/>
      <c r="K978" s="26"/>
      <c r="L978" s="26" t="str">
        <f t="shared" si="2"/>
        <v>N</v>
      </c>
      <c r="M978" s="26" t="str">
        <f>IFERROR(__xludf.DUMMYFUNCTION("GOOGLETRANSLATE(C978,""EN"",""KN"")"),"ನಾರ್ಸಿಸಿಸಮ್")</f>
        <v>ನಾರ್ಸಿಸಿಸಮ್</v>
      </c>
      <c r="N978" s="26" t="str">
        <f t="array" ref="N978">_xlfn.XLOOKUP(B978,'Sets Progress'!I:I,'Sets Progress'!I:I,"NOT YET")</f>
        <v>NOT YET</v>
      </c>
      <c r="O978" s="26" t="str">
        <f t="array" ref="O978">_xlfn.XLOOKUP(L:L,'Overall Progress'!L:L,'Overall Progress'!L:L,"NOT YET")</f>
        <v>NOT YET</v>
      </c>
      <c r="P978" s="26"/>
      <c r="Q978" s="26"/>
      <c r="R978" s="26"/>
      <c r="S978" s="26"/>
      <c r="T978" s="26"/>
      <c r="U978" s="26"/>
      <c r="V978" s="26"/>
      <c r="W978" s="26"/>
      <c r="X978" s="26"/>
      <c r="Y978" s="26"/>
      <c r="Z978" s="26"/>
    </row>
    <row r="979" hidden="1" customHeight="1" spans="1:26">
      <c r="A979" s="27">
        <v>1011</v>
      </c>
      <c r="B979" s="27">
        <v>62</v>
      </c>
      <c r="C979" s="27" t="s">
        <v>1346</v>
      </c>
      <c r="D979" s="27" t="s">
        <v>2716</v>
      </c>
      <c r="E979" s="27" t="s">
        <v>2896</v>
      </c>
      <c r="F979" s="27" t="str">
        <f t="shared" si="0"/>
        <v>Negative Traits Old French Origin</v>
      </c>
      <c r="G979" s="27">
        <f t="shared" si="1"/>
        <v>6</v>
      </c>
      <c r="H979" s="27" t="s">
        <v>3858</v>
      </c>
      <c r="I979" s="27"/>
      <c r="J979" s="27"/>
      <c r="K979" s="27"/>
      <c r="L979" s="27" t="str">
        <f t="shared" si="2"/>
        <v>P</v>
      </c>
      <c r="M979" s="27" t="str">
        <f>IFERROR(__xludf.DUMMYFUNCTION("GOOGLETRANSLATE(C979,""EN"",""KN"")"),"ಕ್ಷುಲ್ಲಕ")</f>
        <v>ಕ್ಷುಲ್ಲಕ</v>
      </c>
      <c r="N979" s="27" t="str">
        <f t="array" ref="N979">_xlfn.XLOOKUP(B979,'Sets Progress'!I:I,'Sets Progress'!I:I,"NOT YET")</f>
        <v>NOT YET</v>
      </c>
      <c r="O979" s="27" t="str">
        <f t="array" ref="O979">_xlfn.XLOOKUP(L:L,'Overall Progress'!L:L,'Overall Progress'!L:L,"NOT YET")</f>
        <v>NOT YET</v>
      </c>
      <c r="P979" s="27"/>
      <c r="Q979" s="27"/>
      <c r="R979" s="27"/>
      <c r="S979" s="27"/>
      <c r="T979" s="27"/>
      <c r="U979" s="27"/>
      <c r="V979" s="27"/>
      <c r="W979" s="27"/>
      <c r="X979" s="27"/>
      <c r="Y979" s="27"/>
      <c r="Z979" s="27"/>
    </row>
    <row r="980" hidden="1" customHeight="1" spans="1:26">
      <c r="A980" s="26">
        <v>1266</v>
      </c>
      <c r="B980" s="26">
        <v>62</v>
      </c>
      <c r="C980" s="26" t="s">
        <v>1597</v>
      </c>
      <c r="D980" s="26" t="s">
        <v>2716</v>
      </c>
      <c r="E980" s="26" t="s">
        <v>2908</v>
      </c>
      <c r="F980" s="26" t="str">
        <f t="shared" si="0"/>
        <v>Negative Traits Old English Origin</v>
      </c>
      <c r="G980" s="26">
        <f t="shared" si="1"/>
        <v>14</v>
      </c>
      <c r="H980" s="26" t="s">
        <v>3859</v>
      </c>
      <c r="I980" s="26"/>
      <c r="J980" s="26"/>
      <c r="K980" s="26"/>
      <c r="L980" s="26" t="str">
        <f t="shared" si="2"/>
        <v>S</v>
      </c>
      <c r="M980" s="26" t="str">
        <f>IFERROR(__xludf.DUMMYFUNCTION("GOOGLETRANSLATE(C980,""EN"",""KN"")"),"ಸ್ವಾಭಿಮಾನಿ")</f>
        <v>ಸ್ವಾಭಿಮಾನಿ</v>
      </c>
      <c r="N980" s="26" t="str">
        <f t="array" ref="N980">_xlfn.XLOOKUP(B980,'Sets Progress'!I:I,'Sets Progress'!I:I,"NOT YET")</f>
        <v>NOT YET</v>
      </c>
      <c r="O980" s="26" t="str">
        <f t="array" ref="O980">_xlfn.XLOOKUP(L:L,'Overall Progress'!L:L,'Overall Progress'!L:L,"NOT YET")</f>
        <v>NOT YET</v>
      </c>
      <c r="P980" s="26"/>
      <c r="Q980" s="26"/>
      <c r="R980" s="26"/>
      <c r="S980" s="26"/>
      <c r="T980" s="26"/>
      <c r="U980" s="26"/>
      <c r="V980" s="26"/>
      <c r="W980" s="26"/>
      <c r="X980" s="26"/>
      <c r="Y980" s="26"/>
      <c r="Z980" s="26"/>
    </row>
    <row r="981" hidden="1" customHeight="1" spans="1:26">
      <c r="A981" s="27">
        <v>1459</v>
      </c>
      <c r="B981" s="27">
        <v>62</v>
      </c>
      <c r="C981" s="27" t="s">
        <v>1787</v>
      </c>
      <c r="D981" s="27" t="s">
        <v>1721</v>
      </c>
      <c r="E981" s="27" t="s">
        <v>2908</v>
      </c>
      <c r="F981" s="27" t="str">
        <f t="shared" si="0"/>
        <v>Temporal Old English Origin</v>
      </c>
      <c r="G981" s="27">
        <f t="shared" si="1"/>
        <v>10</v>
      </c>
      <c r="H981" s="27" t="s">
        <v>3860</v>
      </c>
      <c r="I981" s="27"/>
      <c r="J981" s="27"/>
      <c r="K981" s="27"/>
      <c r="L981" s="27" t="str">
        <f t="shared" si="2"/>
        <v>U</v>
      </c>
      <c r="M981" s="27" t="str">
        <f>IFERROR(__xludf.DUMMYFUNCTION("GOOGLETRANSLATE(C981,""EN"",""KN"")"),"ಉದಾಹರಣೆಯಿಲ್ಲದ")</f>
        <v>ಉದಾಹರಣೆಯಿಲ್ಲದ</v>
      </c>
      <c r="N981" s="27" t="str">
        <f t="array" ref="N981">_xlfn.XLOOKUP(B981,'Sets Progress'!I:I,'Sets Progress'!I:I,"NOT YET")</f>
        <v>NOT YET</v>
      </c>
      <c r="O981" s="27" t="str">
        <f t="array" ref="O981">_xlfn.XLOOKUP(L:L,'Overall Progress'!L:L,'Overall Progress'!L:L,"NOT YET")</f>
        <v>NOT YET</v>
      </c>
      <c r="P981" s="27"/>
      <c r="Q981" s="27"/>
      <c r="R981" s="27"/>
      <c r="S981" s="27"/>
      <c r="T981" s="27"/>
      <c r="U981" s="27"/>
      <c r="V981" s="27"/>
      <c r="W981" s="27"/>
      <c r="X981" s="27"/>
      <c r="Y981" s="27"/>
      <c r="Z981" s="27"/>
    </row>
    <row r="982" hidden="1" customHeight="1" spans="1:26">
      <c r="A982" s="26">
        <v>1472</v>
      </c>
      <c r="B982" s="26">
        <v>62</v>
      </c>
      <c r="C982" s="26" t="s">
        <v>1800</v>
      </c>
      <c r="D982" s="26" t="s">
        <v>1721</v>
      </c>
      <c r="E982" s="26" t="s">
        <v>2889</v>
      </c>
      <c r="F982" s="26" t="str">
        <f t="shared" si="0"/>
        <v>Temporal Latin Origin</v>
      </c>
      <c r="G982" s="26">
        <f t="shared" si="1"/>
        <v>14</v>
      </c>
      <c r="H982" s="26" t="s">
        <v>3861</v>
      </c>
      <c r="I982" s="26"/>
      <c r="J982" s="26"/>
      <c r="K982" s="26"/>
      <c r="L982" s="26" t="str">
        <f t="shared" si="2"/>
        <v>U</v>
      </c>
      <c r="M982" s="26" t="str">
        <f>IFERROR(__xludf.DUMMYFUNCTION("GOOGLETRANSLATE(C982,""EN"",""KN"")"),"ಪೂರ್ವಯೋಜಿತವಲ್ಲದ")</f>
        <v>ಪೂರ್ವಯೋಜಿತವಲ್ಲದ</v>
      </c>
      <c r="N982" s="26" t="str">
        <f t="array" ref="N982">_xlfn.XLOOKUP(B982,'Sets Progress'!I:I,'Sets Progress'!I:I,"NOT YET")</f>
        <v>NOT YET</v>
      </c>
      <c r="O982" s="26" t="str">
        <f t="array" ref="O982">_xlfn.XLOOKUP(L:L,'Overall Progress'!L:L,'Overall Progress'!L:L,"NOT YET")</f>
        <v>NOT YET</v>
      </c>
      <c r="P982" s="26"/>
      <c r="Q982" s="26"/>
      <c r="R982" s="26"/>
      <c r="S982" s="26"/>
      <c r="T982" s="26"/>
      <c r="U982" s="26"/>
      <c r="V982" s="26"/>
      <c r="W982" s="26"/>
      <c r="X982" s="26"/>
      <c r="Y982" s="26"/>
      <c r="Z982" s="26"/>
    </row>
    <row r="983" hidden="1" customHeight="1" spans="1:26">
      <c r="A983" s="27">
        <v>46</v>
      </c>
      <c r="B983" s="27">
        <v>63</v>
      </c>
      <c r="C983" s="27" t="s">
        <v>400</v>
      </c>
      <c r="D983" s="27" t="s">
        <v>2717</v>
      </c>
      <c r="E983" s="27" t="s">
        <v>2889</v>
      </c>
      <c r="F983" s="27" t="str">
        <f t="shared" si="0"/>
        <v>Positive Traits Latin Origin</v>
      </c>
      <c r="G983" s="27">
        <f t="shared" si="1"/>
        <v>8</v>
      </c>
      <c r="H983" s="27" t="s">
        <v>3862</v>
      </c>
      <c r="I983" s="27"/>
      <c r="J983" s="27"/>
      <c r="K983" s="27"/>
      <c r="L983" s="27" t="str">
        <f t="shared" si="2"/>
        <v>A</v>
      </c>
      <c r="M983" s="27" t="str">
        <f>IFERROR(__xludf.DUMMYFUNCTION("GOOGLETRANSLATE(C983,""EN"",""KN"")"),"ಬಾಂಧವ್ಯ")</f>
        <v>ಬಾಂಧವ್ಯ</v>
      </c>
      <c r="N983" s="27" t="str">
        <f t="array" ref="N983">_xlfn.XLOOKUP(B983,'Sets Progress'!I:I,'Sets Progress'!I:I,"NOT YET")</f>
        <v>NOT YET</v>
      </c>
      <c r="O983" s="27" t="str">
        <f t="array" ref="O983">_xlfn.XLOOKUP(L:L,'Overall Progress'!L:L,'Overall Progress'!L:L,"NOT YET")</f>
        <v>NOT YET</v>
      </c>
      <c r="P983" s="27"/>
      <c r="Q983" s="27"/>
      <c r="R983" s="27"/>
      <c r="S983" s="27"/>
      <c r="T983" s="27"/>
      <c r="U983" s="27"/>
      <c r="V983" s="27"/>
      <c r="W983" s="27"/>
      <c r="X983" s="27"/>
      <c r="Y983" s="27"/>
      <c r="Z983" s="27"/>
    </row>
    <row r="984" hidden="1" customHeight="1" spans="1:26">
      <c r="A984" s="26">
        <v>89</v>
      </c>
      <c r="B984" s="26">
        <v>63</v>
      </c>
      <c r="C984" s="26" t="s">
        <v>440</v>
      </c>
      <c r="D984" s="26" t="s">
        <v>2946</v>
      </c>
      <c r="E984" s="26" t="s">
        <v>2911</v>
      </c>
      <c r="F984" s="26" t="str">
        <f t="shared" si="0"/>
        <v>Emotional French Origin</v>
      </c>
      <c r="G984" s="26">
        <f t="shared" si="1"/>
        <v>6</v>
      </c>
      <c r="H984" s="26" t="s">
        <v>3863</v>
      </c>
      <c r="I984" s="26"/>
      <c r="J984" s="26" t="s">
        <v>3864</v>
      </c>
      <c r="K984" s="26"/>
      <c r="L984" s="26" t="str">
        <f t="shared" si="2"/>
        <v>A</v>
      </c>
      <c r="M984" s="26" t="str">
        <f>IFERROR(__xludf.DUMMYFUNCTION("GOOGLETRANSLATE(C984,""EN"",""KN"")"),"ಅಪ್ಲೋಂಬ್")</f>
        <v>ಅಪ್ಲೋಂಬ್</v>
      </c>
      <c r="N984" s="26" t="str">
        <f t="array" ref="N984">_xlfn.XLOOKUP(B984,'Sets Progress'!I:I,'Sets Progress'!I:I,"NOT YET")</f>
        <v>NOT YET</v>
      </c>
      <c r="O984" s="26" t="str">
        <f t="array" ref="O984">_xlfn.XLOOKUP(L:L,'Overall Progress'!L:L,'Overall Progress'!L:L,"NOT YET")</f>
        <v>NOT YET</v>
      </c>
      <c r="P984" s="26"/>
      <c r="Q984" s="26"/>
      <c r="R984" s="26"/>
      <c r="S984" s="26"/>
      <c r="T984" s="26"/>
      <c r="U984" s="26"/>
      <c r="V984" s="26"/>
      <c r="W984" s="26"/>
      <c r="X984" s="26"/>
      <c r="Y984" s="26"/>
      <c r="Z984" s="26"/>
    </row>
    <row r="985" hidden="1" customHeight="1" spans="1:26">
      <c r="A985" s="27">
        <v>96</v>
      </c>
      <c r="B985" s="27">
        <v>63</v>
      </c>
      <c r="C985" s="27" t="s">
        <v>447</v>
      </c>
      <c r="D985" s="27" t="s">
        <v>2717</v>
      </c>
      <c r="E985" s="27" t="s">
        <v>2889</v>
      </c>
      <c r="F985" s="27" t="str">
        <f t="shared" si="0"/>
        <v>Positive Traits Latin Origin</v>
      </c>
      <c r="G985" s="27">
        <f t="shared" si="1"/>
        <v>11</v>
      </c>
      <c r="H985" s="27" t="s">
        <v>3865</v>
      </c>
      <c r="I985" s="27"/>
      <c r="J985" s="27"/>
      <c r="K985" s="27"/>
      <c r="L985" s="27" t="str">
        <f t="shared" si="2"/>
        <v>A</v>
      </c>
      <c r="M985" s="27" t="str">
        <f>IFERROR(__xludf.DUMMYFUNCTION("GOOGLETRANSLATE(C985,""EN"",""KN"")"),"ಅನುಮೋದನೆ")</f>
        <v>ಅನುಮೋದನೆ</v>
      </c>
      <c r="N985" s="27" t="str">
        <f t="array" ref="N985">_xlfn.XLOOKUP(B985,'Sets Progress'!I:I,'Sets Progress'!I:I,"NOT YET")</f>
        <v>NOT YET</v>
      </c>
      <c r="O985" s="27" t="str">
        <f t="array" ref="O985">_xlfn.XLOOKUP(L:L,'Overall Progress'!L:L,'Overall Progress'!L:L,"NOT YET")</f>
        <v>NOT YET</v>
      </c>
      <c r="P985" s="27"/>
      <c r="Q985" s="27"/>
      <c r="R985" s="27"/>
      <c r="S985" s="27"/>
      <c r="T985" s="27"/>
      <c r="U985" s="27"/>
      <c r="V985" s="27"/>
      <c r="W985" s="27"/>
      <c r="X985" s="27"/>
      <c r="Y985" s="27"/>
      <c r="Z985" s="27"/>
    </row>
    <row r="986" hidden="1" customHeight="1" spans="1:26">
      <c r="A986" s="26">
        <v>187</v>
      </c>
      <c r="B986" s="26">
        <v>63</v>
      </c>
      <c r="C986" s="26" t="s">
        <v>537</v>
      </c>
      <c r="D986" s="26" t="s">
        <v>2892</v>
      </c>
      <c r="E986" s="26" t="s">
        <v>2889</v>
      </c>
      <c r="F986" s="26" t="str">
        <f t="shared" si="0"/>
        <v>Spatial Latin Origin</v>
      </c>
      <c r="G986" s="26">
        <f t="shared" si="1"/>
        <v>7</v>
      </c>
      <c r="H986" s="26" t="s">
        <v>3866</v>
      </c>
      <c r="I986" s="26"/>
      <c r="J986" s="26"/>
      <c r="K986" s="26" t="s">
        <v>3867</v>
      </c>
      <c r="L986" s="26" t="str">
        <f t="shared" si="2"/>
        <v>B</v>
      </c>
      <c r="M986" s="26" t="str">
        <f>IFERROR(__xludf.DUMMYFUNCTION("GOOGLETRANSLATE(C986,""EN"",""KN"")"),"ಬುಕೋಲಿಕ್")</f>
        <v>ಬುಕೋಲಿಕ್</v>
      </c>
      <c r="N986" s="26" t="str">
        <f t="array" ref="N986">_xlfn.XLOOKUP(B986,'Sets Progress'!I:I,'Sets Progress'!I:I,"NOT YET")</f>
        <v>NOT YET</v>
      </c>
      <c r="O986" s="26" t="str">
        <f t="array" ref="O986">_xlfn.XLOOKUP(L:L,'Overall Progress'!L:L,'Overall Progress'!L:L,"NOT YET")</f>
        <v>NOT YET</v>
      </c>
      <c r="P986" s="26"/>
      <c r="Q986" s="26"/>
      <c r="R986" s="26"/>
      <c r="S986" s="26"/>
      <c r="T986" s="26"/>
      <c r="U986" s="26"/>
      <c r="V986" s="26"/>
      <c r="W986" s="26"/>
      <c r="X986" s="26"/>
      <c r="Y986" s="26"/>
      <c r="Z986" s="26"/>
    </row>
    <row r="987" hidden="1" customHeight="1" spans="1:26">
      <c r="A987" s="27">
        <v>221</v>
      </c>
      <c r="B987" s="27">
        <v>63</v>
      </c>
      <c r="C987" s="27" t="s">
        <v>570</v>
      </c>
      <c r="D987" s="27" t="s">
        <v>3022</v>
      </c>
      <c r="E987" s="27" t="s">
        <v>2889</v>
      </c>
      <c r="F987" s="27" t="str">
        <f t="shared" si="0"/>
        <v>Intellectual Latin Origin</v>
      </c>
      <c r="G987" s="27">
        <f t="shared" si="1"/>
        <v>8</v>
      </c>
      <c r="H987" s="27" t="s">
        <v>3868</v>
      </c>
      <c r="I987" s="27"/>
      <c r="J987" s="27"/>
      <c r="K987" s="27"/>
      <c r="L987" s="27" t="str">
        <f t="shared" si="2"/>
        <v>C</v>
      </c>
      <c r="M987" s="27" t="str">
        <f>IFERROR(__xludf.DUMMYFUNCTION("GOOGLETRANSLATE(C987,""EN"",""KN"")"),"ಸೆರೆಬ್ರಲ್")</f>
        <v>ಸೆರೆಬ್ರಲ್</v>
      </c>
      <c r="N987" s="27" t="str">
        <f t="array" ref="N987">_xlfn.XLOOKUP(B987,'Sets Progress'!I:I,'Sets Progress'!I:I,"NOT YET")</f>
        <v>NOT YET</v>
      </c>
      <c r="O987" s="27" t="str">
        <f t="array" ref="O987">_xlfn.XLOOKUP(L:L,'Overall Progress'!L:L,'Overall Progress'!L:L,"NOT YET")</f>
        <v>NOT YET</v>
      </c>
      <c r="P987" s="27"/>
      <c r="Q987" s="27"/>
      <c r="R987" s="27"/>
      <c r="S987" s="27"/>
      <c r="T987" s="27"/>
      <c r="U987" s="27"/>
      <c r="V987" s="27"/>
      <c r="W987" s="27"/>
      <c r="X987" s="27"/>
      <c r="Y987" s="27"/>
      <c r="Z987" s="27"/>
    </row>
    <row r="988" hidden="1" customHeight="1" spans="1:26">
      <c r="A988" s="26">
        <v>255</v>
      </c>
      <c r="B988" s="26">
        <v>63</v>
      </c>
      <c r="C988" s="26" t="s">
        <v>607</v>
      </c>
      <c r="D988" s="26" t="s">
        <v>2716</v>
      </c>
      <c r="E988" s="26" t="s">
        <v>2889</v>
      </c>
      <c r="F988" s="26" t="str">
        <f t="shared" si="0"/>
        <v>Negative Traits Latin Origin</v>
      </c>
      <c r="G988" s="26">
        <f t="shared" si="1"/>
        <v>9</v>
      </c>
      <c r="H988" s="26" t="s">
        <v>3869</v>
      </c>
      <c r="I988" s="26"/>
      <c r="J988" s="26"/>
      <c r="K988" s="26"/>
      <c r="L988" s="26" t="str">
        <f t="shared" si="2"/>
        <v>C</v>
      </c>
      <c r="M988" s="26" t="str">
        <f>IFERROR(__xludf.DUMMYFUNCTION("GOOGLETRANSLATE(C988,""EN"",""KN"")"),"ಒಪ್ಪಂದ")</f>
        <v>ಒಪ್ಪಂದ</v>
      </c>
      <c r="N988" s="26" t="str">
        <f t="array" ref="N988">_xlfn.XLOOKUP(B988,'Sets Progress'!I:I,'Sets Progress'!I:I,"NOT YET")</f>
        <v>NOT YET</v>
      </c>
      <c r="O988" s="26" t="str">
        <f t="array" ref="O988">_xlfn.XLOOKUP(L:L,'Overall Progress'!L:L,'Overall Progress'!L:L,"NOT YET")</f>
        <v>NOT YET</v>
      </c>
      <c r="P988" s="26"/>
      <c r="Q988" s="26"/>
      <c r="R988" s="26"/>
      <c r="S988" s="26"/>
      <c r="T988" s="26"/>
      <c r="U988" s="26"/>
      <c r="V988" s="26"/>
      <c r="W988" s="26"/>
      <c r="X988" s="26"/>
      <c r="Y988" s="26"/>
      <c r="Z988" s="26"/>
    </row>
    <row r="989" hidden="1" customHeight="1" spans="1:26">
      <c r="A989" s="27">
        <v>297</v>
      </c>
      <c r="B989" s="27">
        <v>63</v>
      </c>
      <c r="C989" s="27" t="s">
        <v>650</v>
      </c>
      <c r="D989" s="27" t="s">
        <v>2716</v>
      </c>
      <c r="E989" s="27" t="s">
        <v>2889</v>
      </c>
      <c r="F989" s="27" t="str">
        <f t="shared" si="0"/>
        <v>Negative Traits Latin Origin</v>
      </c>
      <c r="G989" s="27">
        <f t="shared" si="1"/>
        <v>11</v>
      </c>
      <c r="H989" s="27" t="s">
        <v>3870</v>
      </c>
      <c r="I989" s="27"/>
      <c r="J989" s="27"/>
      <c r="K989" s="27"/>
      <c r="L989" s="27" t="str">
        <f t="shared" si="2"/>
        <v>C</v>
      </c>
      <c r="M989" s="27" t="str">
        <f>IFERROR(__xludf.DUMMYFUNCTION("GOOGLETRANSLATE(C989,""EN"",""KN"")"),"ವಿವಾದಾತ್ಮಕ")</f>
        <v>ವಿವಾದಾತ್ಮಕ</v>
      </c>
      <c r="N989" s="27" t="str">
        <f t="array" ref="N989">_xlfn.XLOOKUP(B989,'Sets Progress'!I:I,'Sets Progress'!I:I,"NOT YET")</f>
        <v>NOT YET</v>
      </c>
      <c r="O989" s="27" t="str">
        <f t="array" ref="O989">_xlfn.XLOOKUP(L:L,'Overall Progress'!L:L,'Overall Progress'!L:L,"NOT YET")</f>
        <v>NOT YET</v>
      </c>
      <c r="P989" s="27"/>
      <c r="Q989" s="27"/>
      <c r="R989" s="27"/>
      <c r="S989" s="27"/>
      <c r="T989" s="27"/>
      <c r="U989" s="27"/>
      <c r="V989" s="27"/>
      <c r="W989" s="27"/>
      <c r="X989" s="27"/>
      <c r="Y989" s="27"/>
      <c r="Z989" s="27"/>
    </row>
    <row r="990" hidden="1" customHeight="1" spans="1:26">
      <c r="A990" s="26">
        <v>334</v>
      </c>
      <c r="B990" s="26">
        <v>63</v>
      </c>
      <c r="C990" s="26" t="s">
        <v>684</v>
      </c>
      <c r="D990" s="26" t="s">
        <v>2892</v>
      </c>
      <c r="E990" s="26" t="s">
        <v>2899</v>
      </c>
      <c r="F990" s="26" t="str">
        <f t="shared" si="0"/>
        <v>Spatial Middle English Origin</v>
      </c>
      <c r="G990" s="26">
        <f t="shared" si="1"/>
        <v>10</v>
      </c>
      <c r="H990" s="26" t="s">
        <v>3871</v>
      </c>
      <c r="I990" s="26"/>
      <c r="J990" s="26"/>
      <c r="K990" s="26"/>
      <c r="L990" s="26" t="str">
        <f t="shared" si="2"/>
        <v>C</v>
      </c>
      <c r="M990" s="26" t="str">
        <f>IFERROR(__xludf.DUMMYFUNCTION("GOOGLETRANSLATE(C990,""EN"",""KN"")"),"ತೊಡಕಿನ")</f>
        <v>ತೊಡಕಿನ</v>
      </c>
      <c r="N990" s="26" t="str">
        <f t="array" ref="N990">_xlfn.XLOOKUP(B990,'Sets Progress'!I:I,'Sets Progress'!I:I,"NOT YET")</f>
        <v>NOT YET</v>
      </c>
      <c r="O990" s="26" t="str">
        <f t="array" ref="O990">_xlfn.XLOOKUP(L:L,'Overall Progress'!L:L,'Overall Progress'!L:L,"NOT YET")</f>
        <v>NOT YET</v>
      </c>
      <c r="P990" s="26"/>
      <c r="Q990" s="26"/>
      <c r="R990" s="26"/>
      <c r="S990" s="26"/>
      <c r="T990" s="26"/>
      <c r="U990" s="26"/>
      <c r="V990" s="26"/>
      <c r="W990" s="26"/>
      <c r="X990" s="26"/>
      <c r="Y990" s="26"/>
      <c r="Z990" s="26"/>
    </row>
    <row r="991" hidden="1" customHeight="1" spans="1:26">
      <c r="A991" s="27">
        <v>340</v>
      </c>
      <c r="B991" s="27">
        <v>63</v>
      </c>
      <c r="C991" s="27" t="s">
        <v>690</v>
      </c>
      <c r="D991" s="27" t="s">
        <v>1721</v>
      </c>
      <c r="E991" s="27" t="s">
        <v>2889</v>
      </c>
      <c r="F991" s="27" t="str">
        <f t="shared" si="0"/>
        <v>Temporal Latin Origin</v>
      </c>
      <c r="G991" s="27">
        <f t="shared" si="1"/>
        <v>7</v>
      </c>
      <c r="H991" s="27" t="s">
        <v>3872</v>
      </c>
      <c r="I991" s="27"/>
      <c r="J991" s="27"/>
      <c r="K991" s="27"/>
      <c r="L991" s="27" t="str">
        <f t="shared" si="2"/>
        <v>C</v>
      </c>
      <c r="M991" s="27" t="str">
        <f>IFERROR(__xludf.DUMMYFUNCTION("GOOGLETRANSLATE(C991,""EN"",""KN"")"),"ಮೊಟಕುಗೊಳಿಸಿ")</f>
        <v>ಮೊಟಕುಗೊಳಿಸಿ</v>
      </c>
      <c r="N991" s="27" t="str">
        <f t="array" ref="N991">_xlfn.XLOOKUP(B991,'Sets Progress'!I:I,'Sets Progress'!I:I,"NOT YET")</f>
        <v>NOT YET</v>
      </c>
      <c r="O991" s="27" t="str">
        <f t="array" ref="O991">_xlfn.XLOOKUP(L:L,'Overall Progress'!L:L,'Overall Progress'!L:L,"NOT YET")</f>
        <v>NOT YET</v>
      </c>
      <c r="P991" s="27"/>
      <c r="Q991" s="27"/>
      <c r="R991" s="27"/>
      <c r="S991" s="27"/>
      <c r="T991" s="27"/>
      <c r="U991" s="27"/>
      <c r="V991" s="27"/>
      <c r="W991" s="27"/>
      <c r="X991" s="27"/>
      <c r="Y991" s="27"/>
      <c r="Z991" s="27"/>
    </row>
    <row r="992" hidden="1" customHeight="1" spans="1:26">
      <c r="A992" s="26">
        <v>354</v>
      </c>
      <c r="B992" s="26">
        <v>63</v>
      </c>
      <c r="C992" s="26" t="s">
        <v>704</v>
      </c>
      <c r="D992" s="26" t="s">
        <v>2717</v>
      </c>
      <c r="E992" s="26" t="s">
        <v>2889</v>
      </c>
      <c r="F992" s="26" t="str">
        <f t="shared" si="0"/>
        <v>Positive Traits Latin Origin</v>
      </c>
      <c r="G992" s="26">
        <f t="shared" si="1"/>
        <v>7</v>
      </c>
      <c r="H992" s="26" t="s">
        <v>3873</v>
      </c>
      <c r="I992" s="26"/>
      <c r="J992" s="26"/>
      <c r="K992" s="26"/>
      <c r="L992" s="26" t="str">
        <f t="shared" si="2"/>
        <v>D</v>
      </c>
      <c r="M992" s="26" t="str">
        <f>IFERROR(__xludf.DUMMYFUNCTION("GOOGLETRANSLATE(C992,""EN"",""KN"")"),"ಅಲಂಕಾರ")</f>
        <v>ಅಲಂಕಾರ</v>
      </c>
      <c r="N992" s="26" t="str">
        <f t="array" ref="N992">_xlfn.XLOOKUP(B992,'Sets Progress'!I:I,'Sets Progress'!I:I,"NOT YET")</f>
        <v>NOT YET</v>
      </c>
      <c r="O992" s="26" t="str">
        <f t="array" ref="O992">_xlfn.XLOOKUP(L:L,'Overall Progress'!L:L,'Overall Progress'!L:L,"NOT YET")</f>
        <v>NOT YET</v>
      </c>
      <c r="P992" s="26"/>
      <c r="Q992" s="26"/>
      <c r="R992" s="26"/>
      <c r="S992" s="26"/>
      <c r="T992" s="26"/>
      <c r="U992" s="26"/>
      <c r="V992" s="26"/>
      <c r="W992" s="26"/>
      <c r="X992" s="26"/>
      <c r="Y992" s="26"/>
      <c r="Z992" s="26"/>
    </row>
    <row r="993" hidden="1" customHeight="1" spans="1:26">
      <c r="A993" s="27">
        <v>407</v>
      </c>
      <c r="B993" s="27">
        <v>63</v>
      </c>
      <c r="C993" s="27" t="s">
        <v>756</v>
      </c>
      <c r="D993" s="27" t="s">
        <v>2716</v>
      </c>
      <c r="E993" s="27" t="s">
        <v>2889</v>
      </c>
      <c r="F993" s="27" t="str">
        <f t="shared" si="0"/>
        <v>Negative Traits Latin Origin</v>
      </c>
      <c r="G993" s="27">
        <f t="shared" si="1"/>
        <v>14</v>
      </c>
      <c r="H993" s="27" t="s">
        <v>3874</v>
      </c>
      <c r="I993" s="27"/>
      <c r="J993" s="27"/>
      <c r="K993" s="27"/>
      <c r="L993" s="27" t="str">
        <f t="shared" si="2"/>
        <v>D</v>
      </c>
      <c r="M993" s="27" t="str">
        <f>IFERROR(__xludf.DUMMYFUNCTION("GOOGLETRANSLATE(C993,""EN"",""KN"")"),"ಅಸಮ್ಮತಿ")</f>
        <v>ಅಸಮ್ಮತಿ</v>
      </c>
      <c r="N993" s="27" t="str">
        <f t="array" ref="N993">_xlfn.XLOOKUP(B993,'Sets Progress'!I:I,'Sets Progress'!I:I,"NOT YET")</f>
        <v>NOT YET</v>
      </c>
      <c r="O993" s="27" t="str">
        <f t="array" ref="O993">_xlfn.XLOOKUP(L:L,'Overall Progress'!L:L,'Overall Progress'!L:L,"NOT YET")</f>
        <v>NOT YET</v>
      </c>
      <c r="P993" s="27"/>
      <c r="Q993" s="27"/>
      <c r="R993" s="27"/>
      <c r="S993" s="27"/>
      <c r="T993" s="27"/>
      <c r="U993" s="27"/>
      <c r="V993" s="27"/>
      <c r="W993" s="27"/>
      <c r="X993" s="27"/>
      <c r="Y993" s="27"/>
      <c r="Z993" s="27"/>
    </row>
    <row r="994" hidden="1" customHeight="1" spans="1:26">
      <c r="A994" s="26">
        <v>492</v>
      </c>
      <c r="B994" s="26">
        <v>63</v>
      </c>
      <c r="C994" s="26" t="s">
        <v>841</v>
      </c>
      <c r="D994" s="26" t="s">
        <v>1721</v>
      </c>
      <c r="E994" s="26" t="s">
        <v>2889</v>
      </c>
      <c r="F994" s="26" t="str">
        <f t="shared" si="0"/>
        <v>Temporal Latin Origin</v>
      </c>
      <c r="G994" s="26">
        <f t="shared" si="1"/>
        <v>9</v>
      </c>
      <c r="H994" s="26" t="s">
        <v>3875</v>
      </c>
      <c r="I994" s="26"/>
      <c r="J994" s="26"/>
      <c r="K994" s="26"/>
      <c r="L994" s="26" t="str">
        <f t="shared" si="2"/>
        <v>E</v>
      </c>
      <c r="M994" s="26" t="str">
        <f>IFERROR(__xludf.DUMMYFUNCTION("GOOGLETRANSLATE(C994,""EN"",""KN"")"),"ಅಲಂಕರಿಸಿ")</f>
        <v>ಅಲಂಕರಿಸಿ</v>
      </c>
      <c r="N994" s="26" t="str">
        <f t="array" ref="N994">_xlfn.XLOOKUP(B994,'Sets Progress'!I:I,'Sets Progress'!I:I,"NOT YET")</f>
        <v>NOT YET</v>
      </c>
      <c r="O994" s="26" t="str">
        <f t="array" ref="O994">_xlfn.XLOOKUP(L:L,'Overall Progress'!L:L,'Overall Progress'!L:L,"NOT YET")</f>
        <v>NOT YET</v>
      </c>
      <c r="P994" s="26"/>
      <c r="Q994" s="26"/>
      <c r="R994" s="26"/>
      <c r="S994" s="26"/>
      <c r="T994" s="26"/>
      <c r="U994" s="26"/>
      <c r="V994" s="26"/>
      <c r="W994" s="26"/>
      <c r="X994" s="26"/>
      <c r="Y994" s="26"/>
      <c r="Z994" s="26"/>
    </row>
    <row r="995" hidden="1" customHeight="1" spans="1:26">
      <c r="A995" s="27">
        <v>533</v>
      </c>
      <c r="B995" s="27">
        <v>63</v>
      </c>
      <c r="C995" s="27" t="s">
        <v>879</v>
      </c>
      <c r="D995" s="27" t="s">
        <v>1721</v>
      </c>
      <c r="E995" s="27" t="s">
        <v>2889</v>
      </c>
      <c r="F995" s="27" t="str">
        <f t="shared" si="0"/>
        <v>Temporal Latin Origin</v>
      </c>
      <c r="G995" s="27">
        <f t="shared" si="1"/>
        <v>8</v>
      </c>
      <c r="H995" s="27" t="s">
        <v>3876</v>
      </c>
      <c r="I995" s="27"/>
      <c r="J995" s="27"/>
      <c r="K995" s="27"/>
      <c r="L995" s="27" t="str">
        <f t="shared" si="2"/>
        <v>E</v>
      </c>
      <c r="M995" s="27" t="str">
        <f>IFERROR(__xludf.DUMMYFUNCTION("GOOGLETRANSLATE(C995,""EN"",""KN"")"),"ಹೆಚ್ಚಿಸು")</f>
        <v>ಹೆಚ್ಚಿಸು</v>
      </c>
      <c r="N995" s="27" t="str">
        <f t="array" ref="N995">_xlfn.XLOOKUP(B995,'Sets Progress'!I:I,'Sets Progress'!I:I,"NOT YET")</f>
        <v>NOT YET</v>
      </c>
      <c r="O995" s="27" t="str">
        <f t="array" ref="O995">_xlfn.XLOOKUP(L:L,'Overall Progress'!L:L,'Overall Progress'!L:L,"NOT YET")</f>
        <v>NOT YET</v>
      </c>
      <c r="P995" s="27"/>
      <c r="Q995" s="27"/>
      <c r="R995" s="27"/>
      <c r="S995" s="27"/>
      <c r="T995" s="27"/>
      <c r="U995" s="27"/>
      <c r="V995" s="27"/>
      <c r="W995" s="27"/>
      <c r="X995" s="27"/>
      <c r="Y995" s="27"/>
      <c r="Z995" s="27"/>
    </row>
    <row r="996" customHeight="1" spans="1:26">
      <c r="A996" s="26">
        <v>607</v>
      </c>
      <c r="B996" s="26">
        <v>63</v>
      </c>
      <c r="C996" s="26" t="s">
        <v>951</v>
      </c>
      <c r="D996" s="26" t="s">
        <v>1721</v>
      </c>
      <c r="E996" s="26" t="s">
        <v>2899</v>
      </c>
      <c r="F996" s="26" t="str">
        <f t="shared" si="0"/>
        <v>Temporal Middle English Origin</v>
      </c>
      <c r="G996" s="26">
        <f t="shared" si="1"/>
        <v>9</v>
      </c>
      <c r="H996" s="26"/>
      <c r="I996" s="26"/>
      <c r="J996" s="26"/>
      <c r="K996" s="26"/>
      <c r="L996" s="26" t="str">
        <f t="shared" si="2"/>
        <v>F</v>
      </c>
      <c r="M996" s="26" t="str">
        <f>IFERROR(__xludf.DUMMYFUNCTION("GOOGLETRANSLATE(C996,""EN"",""KN"")"),"ಮರಿಗಳು")</f>
        <v>ಮರಿಗಳು</v>
      </c>
      <c r="N996" s="26" t="str">
        <f t="array" ref="N996">_xlfn.XLOOKUP(B996,'Sets Progress'!I:I,'Sets Progress'!I:I,"NOT YET")</f>
        <v>NOT YET</v>
      </c>
      <c r="O996" s="26" t="str">
        <f t="array" ref="O996">_xlfn.XLOOKUP(L:L,'Overall Progress'!L:L,'Overall Progress'!L:L,"NOT YET")</f>
        <v>NOT YET</v>
      </c>
      <c r="P996" s="26"/>
      <c r="Q996" s="26"/>
      <c r="R996" s="26"/>
      <c r="S996" s="26"/>
      <c r="T996" s="26"/>
      <c r="U996" s="26"/>
      <c r="V996" s="26"/>
      <c r="W996" s="26"/>
      <c r="X996" s="26"/>
      <c r="Y996" s="26"/>
      <c r="Z996" s="26"/>
    </row>
    <row r="997" hidden="1" customHeight="1" spans="1:26">
      <c r="A997" s="27">
        <v>741</v>
      </c>
      <c r="B997" s="27">
        <v>63</v>
      </c>
      <c r="C997" s="27" t="s">
        <v>1082</v>
      </c>
      <c r="D997" s="27" t="s">
        <v>3003</v>
      </c>
      <c r="E997" s="27" t="s">
        <v>2889</v>
      </c>
      <c r="F997" s="27" t="str">
        <f t="shared" si="0"/>
        <v>Linguistic Latin Origin</v>
      </c>
      <c r="G997" s="27">
        <f t="shared" si="1"/>
        <v>12</v>
      </c>
      <c r="H997" s="27" t="s">
        <v>3877</v>
      </c>
      <c r="I997" s="27"/>
      <c r="J997" s="27"/>
      <c r="K997" s="27"/>
      <c r="L997" s="27" t="str">
        <f t="shared" si="2"/>
        <v>I</v>
      </c>
      <c r="M997" s="27" t="str">
        <f>IFERROR(__xludf.DUMMYFUNCTION("GOOGLETRANSLATE(C997,""EN"",""KN"")"),"ಅಸ್ಪಷ್ಟ")</f>
        <v>ಅಸ್ಪಷ್ಟ</v>
      </c>
      <c r="N997" s="27" t="str">
        <f t="array" ref="N997">_xlfn.XLOOKUP(B997,'Sets Progress'!I:I,'Sets Progress'!I:I,"NOT YET")</f>
        <v>NOT YET</v>
      </c>
      <c r="O997" s="27" t="str">
        <f t="array" ref="O997">_xlfn.XLOOKUP(L:L,'Overall Progress'!L:L,'Overall Progress'!L:L,"NOT YET")</f>
        <v>NOT YET</v>
      </c>
      <c r="P997" s="27"/>
      <c r="Q997" s="27"/>
      <c r="R997" s="27"/>
      <c r="S997" s="27"/>
      <c r="T997" s="27"/>
      <c r="U997" s="27"/>
      <c r="V997" s="27"/>
      <c r="W997" s="27"/>
      <c r="X997" s="27"/>
      <c r="Y997" s="27"/>
      <c r="Z997" s="27"/>
    </row>
    <row r="998" hidden="1" customHeight="1" spans="1:26">
      <c r="A998" s="26">
        <v>953</v>
      </c>
      <c r="B998" s="26">
        <v>63</v>
      </c>
      <c r="C998" s="26" t="s">
        <v>1289</v>
      </c>
      <c r="D998" s="26" t="s">
        <v>2717</v>
      </c>
      <c r="E998" s="26" t="s">
        <v>3562</v>
      </c>
      <c r="F998" s="26" t="str">
        <f t="shared" si="0"/>
        <v>Positive Traits Old French/Latin Origin</v>
      </c>
      <c r="G998" s="26">
        <f t="shared" si="1"/>
        <v>5</v>
      </c>
      <c r="H998" s="26" t="s">
        <v>3878</v>
      </c>
      <c r="I998" s="26"/>
      <c r="J998" s="26"/>
      <c r="K998" s="26"/>
      <c r="L998" s="26" t="str">
        <f t="shared" si="2"/>
        <v>N</v>
      </c>
      <c r="M998" s="26" t="str">
        <f>IFERROR(__xludf.DUMMYFUNCTION("GOOGLETRANSLATE(C998,""EN"",""KN"")"),"ಉದಾತ್ತ")</f>
        <v>ಉದಾತ್ತ</v>
      </c>
      <c r="N998" s="26" t="str">
        <f t="array" ref="N998">_xlfn.XLOOKUP(B998,'Sets Progress'!I:I,'Sets Progress'!I:I,"NOT YET")</f>
        <v>NOT YET</v>
      </c>
      <c r="O998" s="26" t="str">
        <f t="array" ref="O998">_xlfn.XLOOKUP(L:L,'Overall Progress'!L:L,'Overall Progress'!L:L,"NOT YET")</f>
        <v>NOT YET</v>
      </c>
      <c r="P998" s="26"/>
      <c r="Q998" s="26"/>
      <c r="R998" s="26"/>
      <c r="S998" s="26"/>
      <c r="T998" s="26"/>
      <c r="U998" s="26"/>
      <c r="V998" s="26"/>
      <c r="W998" s="26"/>
      <c r="X998" s="26"/>
      <c r="Y998" s="26"/>
      <c r="Z998" s="26"/>
    </row>
    <row r="999" hidden="1" customHeight="1" spans="1:26">
      <c r="A999" s="27">
        <v>969</v>
      </c>
      <c r="B999" s="27">
        <v>63</v>
      </c>
      <c r="C999" s="27" t="s">
        <v>1305</v>
      </c>
      <c r="D999" s="27" t="s">
        <v>1721</v>
      </c>
      <c r="E999" s="27" t="s">
        <v>2889</v>
      </c>
      <c r="F999" s="27" t="str">
        <f t="shared" si="0"/>
        <v>Temporal Latin Origin</v>
      </c>
      <c r="G999" s="27">
        <f t="shared" si="1"/>
        <v>8</v>
      </c>
      <c r="H999" s="27" t="s">
        <v>3879</v>
      </c>
      <c r="I999" s="27"/>
      <c r="J999" s="27"/>
      <c r="K999" s="27"/>
      <c r="L999" s="27" t="str">
        <f t="shared" si="2"/>
        <v>O</v>
      </c>
      <c r="M999" s="27" t="str">
        <f>IFERROR(__xludf.DUMMYFUNCTION("GOOGLETRANSLATE(C999,""EN"",""KN"")"),"ಕಡ್ಡಾಯ")</f>
        <v>ಕಡ್ಡಾಯ</v>
      </c>
      <c r="N999" s="27" t="str">
        <f t="array" ref="N999">_xlfn.XLOOKUP(B999,'Sets Progress'!I:I,'Sets Progress'!I:I,"NOT YET")</f>
        <v>NOT YET</v>
      </c>
      <c r="O999" s="27" t="str">
        <f t="array" ref="O999">_xlfn.XLOOKUP(L:L,'Overall Progress'!L:L,'Overall Progress'!L:L,"NOT YET")</f>
        <v>NOT YET</v>
      </c>
      <c r="P999" s="27"/>
      <c r="Q999" s="27"/>
      <c r="R999" s="27"/>
      <c r="S999" s="27"/>
      <c r="T999" s="27"/>
      <c r="U999" s="27"/>
      <c r="V999" s="27"/>
      <c r="W999" s="27"/>
      <c r="X999" s="27"/>
      <c r="Y999" s="27"/>
      <c r="Z999" s="27"/>
    </row>
    <row r="1000" hidden="1" customHeight="1" spans="1:26">
      <c r="A1000" s="26">
        <v>1265</v>
      </c>
      <c r="B1000" s="26">
        <v>63</v>
      </c>
      <c r="C1000" s="26" t="s">
        <v>1596</v>
      </c>
      <c r="D1000" s="26" t="s">
        <v>2716</v>
      </c>
      <c r="E1000" s="26" t="s">
        <v>2908</v>
      </c>
      <c r="F1000" s="26" t="str">
        <f t="shared" si="0"/>
        <v>Negative Traits Old English Origin</v>
      </c>
      <c r="G1000" s="26">
        <f t="shared" si="1"/>
        <v>15</v>
      </c>
      <c r="H1000" s="26" t="s">
        <v>3880</v>
      </c>
      <c r="I1000" s="26"/>
      <c r="J1000" s="26"/>
      <c r="K1000" s="26"/>
      <c r="L1000" s="26" t="str">
        <f t="shared" si="2"/>
        <v>S</v>
      </c>
      <c r="M1000" s="26" t="str">
        <f>IFERROR(__xludf.DUMMYFUNCTION("GOOGLETRANSLATE(C1000,""EN"",""KN"")"),"ಸ್ವಯಂ ಭೋಗ")</f>
        <v>ಸ್ವಯಂ ಭೋಗ</v>
      </c>
      <c r="N1000" s="26" t="str">
        <f t="array" ref="N1000">_xlfn.XLOOKUP(B1000,'Sets Progress'!I:I,'Sets Progress'!I:I,"NOT YET")</f>
        <v>NOT YET</v>
      </c>
      <c r="O1000" s="26" t="str">
        <f t="array" ref="O1000">_xlfn.XLOOKUP(L:L,'Overall Progress'!L:L,'Overall Progress'!L:L,"NOT YET")</f>
        <v>NOT YET</v>
      </c>
      <c r="P1000" s="26"/>
      <c r="Q1000" s="26"/>
      <c r="R1000" s="26"/>
      <c r="S1000" s="26"/>
      <c r="T1000" s="26"/>
      <c r="U1000" s="26"/>
      <c r="V1000" s="26"/>
      <c r="W1000" s="26"/>
      <c r="X1000" s="26"/>
      <c r="Y1000" s="26"/>
      <c r="Z1000" s="26"/>
    </row>
    <row r="1001" hidden="1" customHeight="1" spans="1:26">
      <c r="A1001" s="27">
        <v>1411</v>
      </c>
      <c r="B1001" s="27">
        <v>63</v>
      </c>
      <c r="C1001" s="27" t="s">
        <v>1742</v>
      </c>
      <c r="D1001" s="27" t="s">
        <v>2716</v>
      </c>
      <c r="E1001" s="27" t="s">
        <v>2889</v>
      </c>
      <c r="F1001" s="27" t="str">
        <f t="shared" si="0"/>
        <v>Negative Traits Latin Origin</v>
      </c>
      <c r="G1001" s="27">
        <f t="shared" si="1"/>
        <v>6</v>
      </c>
      <c r="H1001" s="27" t="s">
        <v>3881</v>
      </c>
      <c r="I1001" s="27"/>
      <c r="J1001" s="27"/>
      <c r="K1001" s="27"/>
      <c r="L1001" s="27" t="str">
        <f t="shared" si="2"/>
        <v>T</v>
      </c>
      <c r="M1001" s="27" t="str">
        <f>IFERROR(__xludf.DUMMYFUNCTION("GOOGLETRANSLATE(C1001,""EN"",""KN"")"),"ಟಾರ್ಪಿಡ್")</f>
        <v>ಟಾರ್ಪಿಡ್</v>
      </c>
      <c r="N1001" s="27" t="str">
        <f t="array" ref="N1001">_xlfn.XLOOKUP(B1001,'Sets Progress'!I:I,'Sets Progress'!I:I,"NOT YET")</f>
        <v>NOT YET</v>
      </c>
      <c r="O1001" s="27" t="str">
        <f t="array" ref="O1001">_xlfn.XLOOKUP(L:L,'Overall Progress'!L:L,'Overall Progress'!L:L,"NOT YET")</f>
        <v>NOT YET</v>
      </c>
      <c r="P1001" s="27"/>
      <c r="Q1001" s="27"/>
      <c r="R1001" s="27"/>
      <c r="S1001" s="27"/>
      <c r="T1001" s="27"/>
      <c r="U1001" s="27"/>
      <c r="V1001" s="27"/>
      <c r="W1001" s="27"/>
      <c r="X1001" s="27"/>
      <c r="Y1001" s="27"/>
      <c r="Z1001" s="27"/>
    </row>
    <row r="1002" hidden="1" customHeight="1" spans="1:26">
      <c r="A1002" s="26">
        <v>145</v>
      </c>
      <c r="B1002" s="26">
        <v>64</v>
      </c>
      <c r="C1002" s="26" t="s">
        <v>494</v>
      </c>
      <c r="D1002" s="26" t="s">
        <v>1721</v>
      </c>
      <c r="E1002" s="26" t="s">
        <v>2908</v>
      </c>
      <c r="F1002" s="26" t="str">
        <f t="shared" si="0"/>
        <v>Temporal Old English Origin</v>
      </c>
      <c r="G1002" s="26">
        <f t="shared" si="1"/>
        <v>6</v>
      </c>
      <c r="H1002" s="26" t="s">
        <v>3882</v>
      </c>
      <c r="I1002" s="26"/>
      <c r="J1002" s="26"/>
      <c r="K1002" s="26"/>
      <c r="L1002" s="26" t="str">
        <f t="shared" si="2"/>
        <v>B</v>
      </c>
      <c r="M1002" s="26" t="str">
        <f>IFERROR(__xludf.DUMMYFUNCTION("GOOGLETRANSLATE(C1002,""EN"",""KN"")"),"ಬಹಿಷ್ಕಾರ")</f>
        <v>ಬಹಿಷ್ಕಾರ</v>
      </c>
      <c r="N1002" s="26">
        <f t="array" ref="N1002">_xlfn.XLOOKUP(B1002,'Sets Progress'!I:I,'Sets Progress'!I:I,"NOT YET")</f>
        <v>64</v>
      </c>
      <c r="O1002" s="26" t="str">
        <f t="array" ref="O1002">_xlfn.XLOOKUP(L:L,'Overall Progress'!L:L,'Overall Progress'!L:L,"NOT YET")</f>
        <v>NOT YET</v>
      </c>
      <c r="P1002" s="26"/>
      <c r="Q1002" s="26"/>
      <c r="R1002" s="26"/>
      <c r="S1002" s="26"/>
      <c r="T1002" s="26"/>
      <c r="U1002" s="26"/>
      <c r="V1002" s="26"/>
      <c r="W1002" s="26"/>
      <c r="X1002" s="26"/>
      <c r="Y1002" s="26"/>
      <c r="Z1002" s="26"/>
    </row>
    <row r="1003" hidden="1" customHeight="1" spans="1:26">
      <c r="A1003" s="27">
        <v>502</v>
      </c>
      <c r="B1003" s="27">
        <v>64</v>
      </c>
      <c r="C1003" s="27" t="s">
        <v>851</v>
      </c>
      <c r="D1003" s="27" t="s">
        <v>1721</v>
      </c>
      <c r="E1003" s="27" t="s">
        <v>2889</v>
      </c>
      <c r="F1003" s="27" t="str">
        <f t="shared" si="0"/>
        <v>Temporal Latin Origin</v>
      </c>
      <c r="G1003" s="27">
        <f t="shared" si="1"/>
        <v>7</v>
      </c>
      <c r="H1003" s="27" t="s">
        <v>3883</v>
      </c>
      <c r="I1003" s="27"/>
      <c r="J1003" s="27"/>
      <c r="K1003" s="27"/>
      <c r="L1003" s="27" t="str">
        <f t="shared" si="2"/>
        <v>E</v>
      </c>
      <c r="M1003" s="27" t="str">
        <f>IFERROR(__xludf.DUMMYFUNCTION("GOOGLETRANSLATE(C1003,""EN"",""KN"")"),"ಅನುಮೋದಿಸಿ")</f>
        <v>ಅನುಮೋದಿಸಿ</v>
      </c>
      <c r="N1003" s="27">
        <f t="array" ref="N1003">_xlfn.XLOOKUP(B1003,'Sets Progress'!I:I,'Sets Progress'!I:I,"NOT YET")</f>
        <v>64</v>
      </c>
      <c r="O1003" s="27" t="str">
        <f t="array" ref="O1003">_xlfn.XLOOKUP(L:L,'Overall Progress'!L:L,'Overall Progress'!L:L,"NOT YET")</f>
        <v>NOT YET</v>
      </c>
      <c r="P1003" s="27"/>
      <c r="Q1003" s="27"/>
      <c r="R1003" s="27"/>
      <c r="S1003" s="27"/>
      <c r="T1003" s="27"/>
      <c r="U1003" s="27"/>
      <c r="V1003" s="27"/>
      <c r="W1003" s="27"/>
      <c r="X1003" s="27"/>
      <c r="Y1003" s="27"/>
      <c r="Z1003" s="27"/>
    </row>
    <row r="1004" hidden="1" customHeight="1" spans="1:26">
      <c r="A1004" s="26">
        <v>609</v>
      </c>
      <c r="B1004" s="26">
        <v>64</v>
      </c>
      <c r="C1004" s="26" t="s">
        <v>953</v>
      </c>
      <c r="D1004" s="26" t="s">
        <v>1721</v>
      </c>
      <c r="E1004" s="26" t="s">
        <v>2889</v>
      </c>
      <c r="F1004" s="26" t="str">
        <f t="shared" si="0"/>
        <v>Temporal Latin Origin</v>
      </c>
      <c r="G1004" s="26">
        <f t="shared" si="1"/>
        <v>6</v>
      </c>
      <c r="H1004" s="26" t="s">
        <v>3884</v>
      </c>
      <c r="I1004" s="26"/>
      <c r="J1004" s="26"/>
      <c r="K1004" s="26"/>
      <c r="L1004" s="26" t="str">
        <f t="shared" si="2"/>
        <v>F</v>
      </c>
      <c r="M1004" s="26" t="str">
        <f>IFERROR(__xludf.DUMMYFUNCTION("GOOGLETRANSLATE(C1004,""EN"",""KN"")"),"ಫ್ಲೋರಿಡ್")</f>
        <v>ಫ್ಲೋರಿಡ್</v>
      </c>
      <c r="N1004" s="26">
        <f t="array" ref="N1004">_xlfn.XLOOKUP(B1004,'Sets Progress'!I:I,'Sets Progress'!I:I,"NOT YET")</f>
        <v>64</v>
      </c>
      <c r="O1004" s="26" t="str">
        <f t="array" ref="O1004">_xlfn.XLOOKUP(L:L,'Overall Progress'!L:L,'Overall Progress'!L:L,"NOT YET")</f>
        <v>NOT YET</v>
      </c>
      <c r="P1004" s="26"/>
      <c r="Q1004" s="26"/>
      <c r="R1004" s="26"/>
      <c r="S1004" s="26"/>
      <c r="T1004" s="26"/>
      <c r="U1004" s="26"/>
      <c r="V1004" s="26"/>
      <c r="W1004" s="26"/>
      <c r="X1004" s="26"/>
      <c r="Y1004" s="26"/>
      <c r="Z1004" s="26"/>
    </row>
    <row r="1005" hidden="1" customHeight="1" spans="1:26">
      <c r="A1005" s="27">
        <v>626</v>
      </c>
      <c r="B1005" s="27">
        <v>64</v>
      </c>
      <c r="C1005" s="27" t="s">
        <v>970</v>
      </c>
      <c r="D1005" s="27" t="s">
        <v>1721</v>
      </c>
      <c r="E1005" s="27" t="s">
        <v>2908</v>
      </c>
      <c r="F1005" s="27" t="str">
        <f t="shared" si="0"/>
        <v>Temporal Old English Origin</v>
      </c>
      <c r="G1005" s="27">
        <f t="shared" si="1"/>
        <v>7</v>
      </c>
      <c r="H1005" s="27" t="s">
        <v>3885</v>
      </c>
      <c r="I1005" s="27"/>
      <c r="J1005" s="27"/>
      <c r="K1005" s="27"/>
      <c r="L1005" s="27" t="str">
        <f t="shared" si="2"/>
        <v>F</v>
      </c>
      <c r="M1005" s="27" t="str">
        <f>IFERROR(__xludf.DUMMYFUNCTION("GOOGLETRANSLATE(C1005,""EN"",""KN"")"),"ತ್ಯಜಿಸು")</f>
        <v>ತ್ಯಜಿಸು</v>
      </c>
      <c r="N1005" s="27">
        <f t="array" ref="N1005">_xlfn.XLOOKUP(B1005,'Sets Progress'!I:I,'Sets Progress'!I:I,"NOT YET")</f>
        <v>64</v>
      </c>
      <c r="O1005" s="27" t="str">
        <f t="array" ref="O1005">_xlfn.XLOOKUP(L:L,'Overall Progress'!L:L,'Overall Progress'!L:L,"NOT YET")</f>
        <v>NOT YET</v>
      </c>
      <c r="P1005" s="27"/>
      <c r="Q1005" s="27"/>
      <c r="R1005" s="27"/>
      <c r="S1005" s="27"/>
      <c r="T1005" s="27"/>
      <c r="U1005" s="27"/>
      <c r="V1005" s="27"/>
      <c r="W1005" s="27"/>
      <c r="X1005" s="27"/>
      <c r="Y1005" s="27"/>
      <c r="Z1005" s="27"/>
    </row>
    <row r="1006" hidden="1" customHeight="1" spans="1:26">
      <c r="A1006" s="26">
        <v>646</v>
      </c>
      <c r="B1006" s="26">
        <v>64</v>
      </c>
      <c r="C1006" s="26" t="s">
        <v>990</v>
      </c>
      <c r="D1006" s="26" t="s">
        <v>1721</v>
      </c>
      <c r="E1006" s="26" t="s">
        <v>3019</v>
      </c>
      <c r="F1006" s="26" t="str">
        <f t="shared" si="0"/>
        <v>Temporal Italian Origin</v>
      </c>
      <c r="G1006" s="26">
        <f t="shared" si="1"/>
        <v>9</v>
      </c>
      <c r="H1006" s="26" t="s">
        <v>3886</v>
      </c>
      <c r="I1006" s="26"/>
      <c r="J1006" s="26"/>
      <c r="K1006" s="26"/>
      <c r="L1006" s="26" t="str">
        <f t="shared" si="2"/>
        <v>G</v>
      </c>
      <c r="M1006" s="26" t="str">
        <f>IFERROR(__xludf.DUMMYFUNCTION("GOOGLETRANSLATE(C1006,""EN"",""KN"")"),"ಕಲಾಯಿ ಮಾಡಿ")</f>
        <v>ಕಲಾಯಿ ಮಾಡಿ</v>
      </c>
      <c r="N1006" s="26">
        <f t="array" ref="N1006">_xlfn.XLOOKUP(B1006,'Sets Progress'!I:I,'Sets Progress'!I:I,"NOT YET")</f>
        <v>64</v>
      </c>
      <c r="O1006" s="26" t="str">
        <f t="array" ref="O1006">_xlfn.XLOOKUP(L:L,'Overall Progress'!L:L,'Overall Progress'!L:L,"NOT YET")</f>
        <v>NOT YET</v>
      </c>
      <c r="P1006" s="26"/>
      <c r="Q1006" s="26"/>
      <c r="R1006" s="26"/>
      <c r="S1006" s="26"/>
      <c r="T1006" s="26"/>
      <c r="U1006" s="26"/>
      <c r="V1006" s="26"/>
      <c r="W1006" s="26"/>
      <c r="X1006" s="26"/>
      <c r="Y1006" s="26"/>
      <c r="Z1006" s="26"/>
    </row>
    <row r="1007" hidden="1" customHeight="1" spans="1:26">
      <c r="A1007" s="27">
        <v>1117</v>
      </c>
      <c r="B1007" s="27">
        <v>64</v>
      </c>
      <c r="C1007" s="27" t="s">
        <v>1451</v>
      </c>
      <c r="D1007" s="27" t="s">
        <v>2717</v>
      </c>
      <c r="E1007" s="27" t="s">
        <v>2889</v>
      </c>
      <c r="F1007" s="27" t="str">
        <f t="shared" si="0"/>
        <v>Positive Traits Latin Origin</v>
      </c>
      <c r="G1007" s="27">
        <f t="shared" si="1"/>
        <v>8</v>
      </c>
      <c r="H1007" s="27" t="s">
        <v>3887</v>
      </c>
      <c r="I1007" s="27"/>
      <c r="J1007" s="27"/>
      <c r="K1007" s="27"/>
      <c r="L1007" s="27" t="str">
        <f t="shared" si="2"/>
        <v>P</v>
      </c>
      <c r="M1007" s="27" t="str">
        <f>IFERROR(__xludf.DUMMYFUNCTION("GOOGLETRANSLATE(C1007,""EN"",""KN"")"),"ಪ್ರಾಚೀನ")</f>
        <v>ಪ್ರಾಚೀನ</v>
      </c>
      <c r="N1007" s="27">
        <f t="array" ref="N1007">_xlfn.XLOOKUP(B1007,'Sets Progress'!I:I,'Sets Progress'!I:I,"NOT YET")</f>
        <v>64</v>
      </c>
      <c r="O1007" s="27" t="str">
        <f t="array" ref="O1007">_xlfn.XLOOKUP(L:L,'Overall Progress'!L:L,'Overall Progress'!L:L,"NOT YET")</f>
        <v>NOT YET</v>
      </c>
      <c r="P1007" s="27"/>
      <c r="Q1007" s="27"/>
      <c r="R1007" s="27"/>
      <c r="S1007" s="27"/>
      <c r="T1007" s="27"/>
      <c r="U1007" s="27"/>
      <c r="V1007" s="27"/>
      <c r="W1007" s="27"/>
      <c r="X1007" s="27"/>
      <c r="Y1007" s="27"/>
      <c r="Z1007" s="27"/>
    </row>
    <row r="1008" hidden="1" customHeight="1" spans="1:26">
      <c r="A1008" s="26">
        <v>1232</v>
      </c>
      <c r="B1008" s="26">
        <v>64</v>
      </c>
      <c r="C1008" s="26" t="s">
        <v>1563</v>
      </c>
      <c r="D1008" s="26" t="s">
        <v>1721</v>
      </c>
      <c r="E1008" s="26" t="s">
        <v>2893</v>
      </c>
      <c r="F1008" s="26" t="str">
        <f t="shared" si="0"/>
        <v>Temporal Greek Origin</v>
      </c>
      <c r="G1008" s="26">
        <f t="shared" si="1"/>
        <v>8</v>
      </c>
      <c r="H1008" s="26" t="s">
        <v>3888</v>
      </c>
      <c r="I1008" s="26"/>
      <c r="J1008" s="26"/>
      <c r="K1008" s="26"/>
      <c r="L1008" s="26" t="str">
        <f t="shared" si="2"/>
        <v>R</v>
      </c>
      <c r="M1008" s="26" t="str">
        <f>IFERROR(__xludf.DUMMYFUNCTION("GOOGLETRANSLATE(C1008,""EN"",""KN"")"),"ವಾಕ್ಚಾತುರ್ಯ")</f>
        <v>ವಾಕ್ಚಾತುರ್ಯ</v>
      </c>
      <c r="N1008" s="26">
        <f t="array" ref="N1008">_xlfn.XLOOKUP(B1008,'Sets Progress'!I:I,'Sets Progress'!I:I,"NOT YET")</f>
        <v>64</v>
      </c>
      <c r="O1008" s="26" t="str">
        <f t="array" ref="O1008">_xlfn.XLOOKUP(L:L,'Overall Progress'!L:L,'Overall Progress'!L:L,"NOT YET")</f>
        <v>NOT YET</v>
      </c>
      <c r="P1008" s="26"/>
      <c r="Q1008" s="26"/>
      <c r="R1008" s="26"/>
      <c r="S1008" s="26"/>
      <c r="T1008" s="26"/>
      <c r="U1008" s="26"/>
      <c r="V1008" s="26"/>
      <c r="W1008" s="26"/>
      <c r="X1008" s="26"/>
      <c r="Y1008" s="26"/>
      <c r="Z1008" s="26"/>
    </row>
    <row r="1009" hidden="1" customHeight="1" spans="1:26">
      <c r="A1009" s="27">
        <v>1236</v>
      </c>
      <c r="B1009" s="27">
        <v>64</v>
      </c>
      <c r="C1009" s="27" t="s">
        <v>1567</v>
      </c>
      <c r="D1009" s="27" t="s">
        <v>1721</v>
      </c>
      <c r="E1009" s="27" t="s">
        <v>2889</v>
      </c>
      <c r="F1009" s="27" t="str">
        <f t="shared" si="0"/>
        <v>Temporal Latin Origin</v>
      </c>
      <c r="G1009" s="27">
        <f t="shared" si="1"/>
        <v>6</v>
      </c>
      <c r="H1009" s="27" t="s">
        <v>3889</v>
      </c>
      <c r="I1009" s="27"/>
      <c r="J1009" s="27"/>
      <c r="K1009" s="27"/>
      <c r="L1009" s="27" t="str">
        <f t="shared" si="2"/>
        <v>R</v>
      </c>
      <c r="M1009" s="27" t="str">
        <f>IFERROR(__xludf.DUMMYFUNCTION("GOOGLETRANSLATE(C1009,""EN"",""KN"")"),"ಆಚರಣೆ")</f>
        <v>ಆಚರಣೆ</v>
      </c>
      <c r="N1009" s="27">
        <f t="array" ref="N1009">_xlfn.XLOOKUP(B1009,'Sets Progress'!I:I,'Sets Progress'!I:I,"NOT YET")</f>
        <v>64</v>
      </c>
      <c r="O1009" s="27" t="str">
        <f t="array" ref="O1009">_xlfn.XLOOKUP(L:L,'Overall Progress'!L:L,'Overall Progress'!L:L,"NOT YET")</f>
        <v>NOT YET</v>
      </c>
      <c r="P1009" s="27"/>
      <c r="Q1009" s="27"/>
      <c r="R1009" s="27"/>
      <c r="S1009" s="27"/>
      <c r="T1009" s="27"/>
      <c r="U1009" s="27"/>
      <c r="V1009" s="27"/>
      <c r="W1009" s="27"/>
      <c r="X1009" s="27"/>
      <c r="Y1009" s="27"/>
      <c r="Z1009" s="27"/>
    </row>
    <row r="1010" hidden="1" customHeight="1" spans="1:26">
      <c r="A1010" s="26">
        <v>1310</v>
      </c>
      <c r="B1010" s="26">
        <v>64</v>
      </c>
      <c r="C1010" s="26" t="s">
        <v>1641</v>
      </c>
      <c r="D1010" s="26" t="s">
        <v>2716</v>
      </c>
      <c r="E1010" s="26" t="s">
        <v>2889</v>
      </c>
      <c r="F1010" s="26" t="str">
        <f t="shared" si="0"/>
        <v>Negative Traits Latin Origin</v>
      </c>
      <c r="G1010" s="26">
        <f t="shared" si="1"/>
        <v>6</v>
      </c>
      <c r="H1010" s="26" t="s">
        <v>3890</v>
      </c>
      <c r="I1010" s="26"/>
      <c r="J1010" s="26"/>
      <c r="K1010" s="26"/>
      <c r="L1010" s="26" t="str">
        <f t="shared" si="2"/>
        <v>S</v>
      </c>
      <c r="M1010" s="26" t="str">
        <f>IFERROR(__xludf.DUMMYFUNCTION("GOOGLETRANSLATE(C1010,""EN"",""KN"")"),"ವಿರಳ")</f>
        <v>ವಿರಳ</v>
      </c>
      <c r="N1010" s="26">
        <f t="array" ref="N1010">_xlfn.XLOOKUP(B1010,'Sets Progress'!I:I,'Sets Progress'!I:I,"NOT YET")</f>
        <v>64</v>
      </c>
      <c r="O1010" s="26" t="str">
        <f t="array" ref="O1010">_xlfn.XLOOKUP(L:L,'Overall Progress'!L:L,'Overall Progress'!L:L,"NOT YET")</f>
        <v>NOT YET</v>
      </c>
      <c r="P1010" s="26"/>
      <c r="Q1010" s="26"/>
      <c r="R1010" s="26"/>
      <c r="S1010" s="26"/>
      <c r="T1010" s="26"/>
      <c r="U1010" s="26"/>
      <c r="V1010" s="26"/>
      <c r="W1010" s="26"/>
      <c r="X1010" s="26"/>
      <c r="Y1010" s="26"/>
      <c r="Z1010" s="26"/>
    </row>
    <row r="1011" hidden="1" customHeight="1" spans="1:26">
      <c r="A1011" s="27">
        <v>1416</v>
      </c>
      <c r="B1011" s="27">
        <v>64</v>
      </c>
      <c r="C1011" s="27" t="s">
        <v>1747</v>
      </c>
      <c r="D1011" s="27" t="s">
        <v>2717</v>
      </c>
      <c r="E1011" s="27" t="s">
        <v>2889</v>
      </c>
      <c r="F1011" s="27" t="str">
        <f t="shared" si="0"/>
        <v>Positive Traits Latin Origin</v>
      </c>
      <c r="G1011" s="27">
        <f t="shared" si="1"/>
        <v>8</v>
      </c>
      <c r="H1011" s="27" t="s">
        <v>3891</v>
      </c>
      <c r="I1011" s="27"/>
      <c r="J1011" s="27"/>
      <c r="K1011" s="27"/>
      <c r="L1011" s="27" t="str">
        <f t="shared" si="2"/>
        <v>T</v>
      </c>
      <c r="M1011" s="27" t="str">
        <f>IFERROR(__xludf.DUMMYFUNCTION("GOOGLETRANSLATE(C1011,""EN"",""KN"")"),"ಪ್ರಶಾಂತ")</f>
        <v>ಪ್ರಶಾಂತ</v>
      </c>
      <c r="N1011" s="27">
        <f t="array" ref="N1011">_xlfn.XLOOKUP(B1011,'Sets Progress'!I:I,'Sets Progress'!I:I,"NOT YET")</f>
        <v>64</v>
      </c>
      <c r="O1011" s="27" t="str">
        <f t="array" ref="O1011">_xlfn.XLOOKUP(L:L,'Overall Progress'!L:L,'Overall Progress'!L:L,"NOT YET")</f>
        <v>NOT YET</v>
      </c>
      <c r="P1011" s="27"/>
      <c r="Q1011" s="27"/>
      <c r="R1011" s="27"/>
      <c r="S1011" s="27"/>
      <c r="T1011" s="27"/>
      <c r="U1011" s="27"/>
      <c r="V1011" s="27"/>
      <c r="W1011" s="27"/>
      <c r="X1011" s="27"/>
      <c r="Y1011" s="27"/>
      <c r="Z1011" s="27"/>
    </row>
    <row r="1012" hidden="1" customHeight="1" spans="1:26">
      <c r="A1012" s="26">
        <v>1425</v>
      </c>
      <c r="B1012" s="26">
        <v>64</v>
      </c>
      <c r="C1012" s="26" t="s">
        <v>271</v>
      </c>
      <c r="D1012" s="26" t="s">
        <v>2716</v>
      </c>
      <c r="E1012" s="26" t="s">
        <v>2889</v>
      </c>
      <c r="F1012" s="26" t="str">
        <f t="shared" si="0"/>
        <v>Negative Traits Latin Origin</v>
      </c>
      <c r="G1012" s="26">
        <f t="shared" si="1"/>
        <v>5</v>
      </c>
      <c r="H1012" s="26" t="s">
        <v>3892</v>
      </c>
      <c r="I1012" s="26"/>
      <c r="J1012" s="26"/>
      <c r="K1012" s="26"/>
      <c r="L1012" s="26" t="str">
        <f t="shared" si="2"/>
        <v>T</v>
      </c>
      <c r="M1012" s="26" t="str">
        <f>IFERROR(__xludf.DUMMYFUNCTION("GOOGLETRANSLATE(C1012,""EN"",""KN"")"),"ಟ್ರಿಟ್")</f>
        <v>ಟ್ರಿಟ್</v>
      </c>
      <c r="N1012" s="26">
        <f t="array" ref="N1012">_xlfn.XLOOKUP(B1012,'Sets Progress'!I:I,'Sets Progress'!I:I,"NOT YET")</f>
        <v>64</v>
      </c>
      <c r="O1012" s="26" t="str">
        <f t="array" ref="O1012">_xlfn.XLOOKUP(L:L,'Overall Progress'!L:L,'Overall Progress'!L:L,"NOT YET")</f>
        <v>NOT YET</v>
      </c>
      <c r="P1012" s="26"/>
      <c r="Q1012" s="26"/>
      <c r="R1012" s="26"/>
      <c r="S1012" s="26"/>
      <c r="T1012" s="26"/>
      <c r="U1012" s="26"/>
      <c r="V1012" s="26"/>
      <c r="W1012" s="26"/>
      <c r="X1012" s="26"/>
      <c r="Y1012" s="26"/>
      <c r="Z1012" s="26"/>
    </row>
    <row r="1013" hidden="1" customHeight="1" spans="1:26">
      <c r="A1013" s="27">
        <v>62</v>
      </c>
      <c r="B1013" s="27">
        <v>65</v>
      </c>
      <c r="C1013" s="27" t="s">
        <v>415</v>
      </c>
      <c r="D1013" s="27" t="s">
        <v>2892</v>
      </c>
      <c r="E1013" s="27" t="s">
        <v>2889</v>
      </c>
      <c r="F1013" s="27" t="str">
        <f t="shared" si="0"/>
        <v>Spatial Latin Origin</v>
      </c>
      <c r="G1013" s="27">
        <f t="shared" si="1"/>
        <v>10</v>
      </c>
      <c r="H1013" s="27" t="s">
        <v>3893</v>
      </c>
      <c r="I1013" s="27"/>
      <c r="J1013" s="27"/>
      <c r="K1013" s="27"/>
      <c r="L1013" s="27" t="str">
        <f t="shared" si="2"/>
        <v>A</v>
      </c>
      <c r="M1013" s="27" t="str">
        <f>IFERROR(__xludf.DUMMYFUNCTION("GOOGLETRANSLATE(C1013,""EN"",""KN"")"),"ಸಮ್ಮಿಲನ")</f>
        <v>ಸಮ್ಮಿಲನ</v>
      </c>
      <c r="N1013" s="27">
        <f t="array" ref="N1013">_xlfn.XLOOKUP(B1013,'Sets Progress'!I:I,'Sets Progress'!I:I,"NOT YET")</f>
        <v>65</v>
      </c>
      <c r="O1013" s="27" t="str">
        <f t="array" ref="O1013">_xlfn.XLOOKUP(L:L,'Overall Progress'!L:L,'Overall Progress'!L:L,"NOT YET")</f>
        <v>NOT YET</v>
      </c>
      <c r="P1013" s="27"/>
      <c r="Q1013" s="27"/>
      <c r="R1013" s="27"/>
      <c r="S1013" s="27"/>
      <c r="T1013" s="27"/>
      <c r="U1013" s="27"/>
      <c r="V1013" s="27"/>
      <c r="W1013" s="27"/>
      <c r="X1013" s="27"/>
      <c r="Y1013" s="27"/>
      <c r="Z1013" s="27"/>
    </row>
    <row r="1014" hidden="1" customHeight="1" spans="1:26">
      <c r="A1014" s="26">
        <v>235</v>
      </c>
      <c r="B1014" s="26">
        <v>65</v>
      </c>
      <c r="C1014" s="26" t="s">
        <v>586</v>
      </c>
      <c r="D1014" s="26" t="s">
        <v>1721</v>
      </c>
      <c r="E1014" s="26" t="s">
        <v>2889</v>
      </c>
      <c r="F1014" s="26" t="str">
        <f t="shared" si="0"/>
        <v>Temporal Latin Origin</v>
      </c>
      <c r="G1014" s="26">
        <f t="shared" si="1"/>
        <v>14</v>
      </c>
      <c r="H1014" s="26" t="s">
        <v>3894</v>
      </c>
      <c r="I1014" s="26"/>
      <c r="J1014" s="26"/>
      <c r="K1014" s="26"/>
      <c r="L1014" s="26" t="str">
        <f t="shared" si="2"/>
        <v>C</v>
      </c>
      <c r="M1014" s="26" t="str">
        <f>IFERROR(__xludf.DUMMYFUNCTION("GOOGLETRANSLATE(C1014,""EN"",""KN"")"),"ಸಾಂದರ್ಭಿಕ")</f>
        <v>ಸಾಂದರ್ಭಿಕ</v>
      </c>
      <c r="N1014" s="26">
        <f t="array" ref="N1014">_xlfn.XLOOKUP(B1014,'Sets Progress'!I:I,'Sets Progress'!I:I,"NOT YET")</f>
        <v>65</v>
      </c>
      <c r="O1014" s="26" t="str">
        <f t="array" ref="O1014">_xlfn.XLOOKUP(L:L,'Overall Progress'!L:L,'Overall Progress'!L:L,"NOT YET")</f>
        <v>NOT YET</v>
      </c>
      <c r="P1014" s="26"/>
      <c r="Q1014" s="26"/>
      <c r="R1014" s="26"/>
      <c r="S1014" s="26"/>
      <c r="T1014" s="26"/>
      <c r="U1014" s="26"/>
      <c r="V1014" s="26"/>
      <c r="W1014" s="26"/>
      <c r="X1014" s="26"/>
      <c r="Y1014" s="26"/>
      <c r="Z1014" s="26"/>
    </row>
    <row r="1015" hidden="1" customHeight="1" spans="1:26">
      <c r="A1015" s="27">
        <v>265</v>
      </c>
      <c r="B1015" s="27">
        <v>65</v>
      </c>
      <c r="C1015" s="27" t="s">
        <v>618</v>
      </c>
      <c r="D1015" s="27" t="s">
        <v>2716</v>
      </c>
      <c r="E1015" s="27" t="s">
        <v>2889</v>
      </c>
      <c r="F1015" s="27" t="str">
        <f t="shared" si="0"/>
        <v>Negative Traits Latin Origin</v>
      </c>
      <c r="G1015" s="27">
        <f t="shared" si="1"/>
        <v>10</v>
      </c>
      <c r="H1015" s="27" t="s">
        <v>3895</v>
      </c>
      <c r="I1015" s="27"/>
      <c r="J1015" s="27"/>
      <c r="K1015" s="27"/>
      <c r="L1015" s="27" t="str">
        <f t="shared" si="2"/>
        <v>C</v>
      </c>
      <c r="M1015" s="27" t="str">
        <f>IFERROR(__xludf.DUMMYFUNCTION("GOOGLETRANSLATE(C1015,""EN"",""KN"")"),"ಆತ್ಮತೃಪ್ತಿ")</f>
        <v>ಆತ್ಮತೃಪ್ತಿ</v>
      </c>
      <c r="N1015" s="27">
        <f t="array" ref="N1015">_xlfn.XLOOKUP(B1015,'Sets Progress'!I:I,'Sets Progress'!I:I,"NOT YET")</f>
        <v>65</v>
      </c>
      <c r="O1015" s="27" t="str">
        <f t="array" ref="O1015">_xlfn.XLOOKUP(L:L,'Overall Progress'!L:L,'Overall Progress'!L:L,"NOT YET")</f>
        <v>NOT YET</v>
      </c>
      <c r="P1015" s="27"/>
      <c r="Q1015" s="27"/>
      <c r="R1015" s="27"/>
      <c r="S1015" s="27"/>
      <c r="T1015" s="27"/>
      <c r="U1015" s="27"/>
      <c r="V1015" s="27"/>
      <c r="W1015" s="27"/>
      <c r="X1015" s="27"/>
      <c r="Y1015" s="27"/>
      <c r="Z1015" s="27"/>
    </row>
    <row r="1016" hidden="1" customHeight="1" spans="1:26">
      <c r="A1016" s="26">
        <v>307</v>
      </c>
      <c r="B1016" s="26">
        <v>65</v>
      </c>
      <c r="C1016" s="26" t="s">
        <v>659</v>
      </c>
      <c r="D1016" s="26" t="s">
        <v>2717</v>
      </c>
      <c r="E1016" s="26" t="s">
        <v>2889</v>
      </c>
      <c r="F1016" s="26" t="str">
        <f t="shared" si="0"/>
        <v>Positive Traits Latin Origin</v>
      </c>
      <c r="G1016" s="26">
        <f t="shared" si="1"/>
        <v>9</v>
      </c>
      <c r="H1016" s="26" t="s">
        <v>3896</v>
      </c>
      <c r="I1016" s="26"/>
      <c r="J1016" s="26"/>
      <c r="K1016" s="26"/>
      <c r="L1016" s="26" t="str">
        <f t="shared" si="2"/>
        <v>C</v>
      </c>
      <c r="M1016" s="26" t="str">
        <f>IFERROR(__xludf.DUMMYFUNCTION("GOOGLETRANSLATE(C1016,""EN"",""KN"")"),"ಸಮಾಧಾನಕರ")</f>
        <v>ಸಮಾಧಾನಕರ</v>
      </c>
      <c r="N1016" s="26">
        <f t="array" ref="N1016">_xlfn.XLOOKUP(B1016,'Sets Progress'!I:I,'Sets Progress'!I:I,"NOT YET")</f>
        <v>65</v>
      </c>
      <c r="O1016" s="26" t="str">
        <f t="array" ref="O1016">_xlfn.XLOOKUP(L:L,'Overall Progress'!L:L,'Overall Progress'!L:L,"NOT YET")</f>
        <v>NOT YET</v>
      </c>
      <c r="P1016" s="26"/>
      <c r="Q1016" s="26"/>
      <c r="R1016" s="26"/>
      <c r="S1016" s="26"/>
      <c r="T1016" s="26"/>
      <c r="U1016" s="26"/>
      <c r="V1016" s="26"/>
      <c r="W1016" s="26"/>
      <c r="X1016" s="26"/>
      <c r="Y1016" s="26"/>
      <c r="Z1016" s="26"/>
    </row>
    <row r="1017" hidden="1" customHeight="1" spans="1:26">
      <c r="A1017" s="27">
        <v>319</v>
      </c>
      <c r="B1017" s="27">
        <v>65</v>
      </c>
      <c r="C1017" s="27" t="s">
        <v>669</v>
      </c>
      <c r="D1017" s="27" t="s">
        <v>2928</v>
      </c>
      <c r="E1017" s="27" t="s">
        <v>2889</v>
      </c>
      <c r="F1017" s="27" t="str">
        <f t="shared" si="0"/>
        <v>Philosophical Latin Origin</v>
      </c>
      <c r="G1017" s="27">
        <f t="shared" si="1"/>
        <v>16</v>
      </c>
      <c r="H1017" s="27" t="s">
        <v>3897</v>
      </c>
      <c r="I1017" s="27"/>
      <c r="J1017" s="27"/>
      <c r="K1017" s="27"/>
      <c r="L1017" s="27" t="str">
        <f t="shared" si="2"/>
        <v>C</v>
      </c>
      <c r="M1017" s="27" t="str">
        <f>IFERROR(__xludf.DUMMYFUNCTION("GOOGLETRANSLATE(C1017,""EN"",""KN"")"),"ವಿರುದ್ಧಾರ್ಥಕ")</f>
        <v>ವಿರುದ್ಧಾರ್ಥಕ</v>
      </c>
      <c r="N1017" s="27">
        <f t="array" ref="N1017">_xlfn.XLOOKUP(B1017,'Sets Progress'!I:I,'Sets Progress'!I:I,"NOT YET")</f>
        <v>65</v>
      </c>
      <c r="O1017" s="27" t="str">
        <f t="array" ref="O1017">_xlfn.XLOOKUP(L:L,'Overall Progress'!L:L,'Overall Progress'!L:L,"NOT YET")</f>
        <v>NOT YET</v>
      </c>
      <c r="P1017" s="27"/>
      <c r="Q1017" s="27"/>
      <c r="R1017" s="27"/>
      <c r="S1017" s="27"/>
      <c r="T1017" s="27"/>
      <c r="U1017" s="27"/>
      <c r="V1017" s="27"/>
      <c r="W1017" s="27"/>
      <c r="X1017" s="27"/>
      <c r="Y1017" s="27"/>
      <c r="Z1017" s="27"/>
    </row>
    <row r="1018" hidden="1" customHeight="1" spans="1:26">
      <c r="A1018" s="26">
        <v>659</v>
      </c>
      <c r="B1018" s="26">
        <v>65</v>
      </c>
      <c r="C1018" s="26" t="s">
        <v>1002</v>
      </c>
      <c r="D1018" s="26" t="s">
        <v>2946</v>
      </c>
      <c r="E1018" s="26" t="s">
        <v>2899</v>
      </c>
      <c r="F1018" s="26" t="str">
        <f t="shared" si="0"/>
        <v>Emotional Middle English Origin</v>
      </c>
      <c r="G1018" s="26">
        <f t="shared" si="1"/>
        <v>4</v>
      </c>
      <c r="H1018" s="26" t="s">
        <v>3898</v>
      </c>
      <c r="I1018" s="26"/>
      <c r="J1018" s="26"/>
      <c r="K1018" s="26"/>
      <c r="L1018" s="26" t="str">
        <f t="shared" si="2"/>
        <v>G</v>
      </c>
      <c r="M1018" s="26" t="str">
        <f>IFERROR(__xludf.DUMMYFUNCTION("GOOGLETRANSLATE(C1018,""EN"",""KN"")"),"ಗ್ಲುಮ್")</f>
        <v>ಗ್ಲುಮ್</v>
      </c>
      <c r="N1018" s="26">
        <f t="array" ref="N1018">_xlfn.XLOOKUP(B1018,'Sets Progress'!I:I,'Sets Progress'!I:I,"NOT YET")</f>
        <v>65</v>
      </c>
      <c r="O1018" s="26" t="str">
        <f t="array" ref="O1018">_xlfn.XLOOKUP(L:L,'Overall Progress'!L:L,'Overall Progress'!L:L,"NOT YET")</f>
        <v>NOT YET</v>
      </c>
      <c r="P1018" s="26"/>
      <c r="Q1018" s="26"/>
      <c r="R1018" s="26"/>
      <c r="S1018" s="26"/>
      <c r="T1018" s="26"/>
      <c r="U1018" s="26"/>
      <c r="V1018" s="26"/>
      <c r="W1018" s="26"/>
      <c r="X1018" s="26"/>
      <c r="Y1018" s="26"/>
      <c r="Z1018" s="26"/>
    </row>
    <row r="1019" hidden="1" customHeight="1" spans="1:26">
      <c r="A1019" s="27">
        <v>712</v>
      </c>
      <c r="B1019" s="27">
        <v>65</v>
      </c>
      <c r="C1019" s="27" t="s">
        <v>1054</v>
      </c>
      <c r="D1019" s="27" t="s">
        <v>1721</v>
      </c>
      <c r="E1019" s="27" t="s">
        <v>2889</v>
      </c>
      <c r="F1019" s="27" t="str">
        <f t="shared" si="0"/>
        <v>Temporal Latin Origin</v>
      </c>
      <c r="G1019" s="27">
        <f t="shared" si="1"/>
        <v>10</v>
      </c>
      <c r="H1019" s="27" t="s">
        <v>3899</v>
      </c>
      <c r="I1019" s="27"/>
      <c r="J1019" s="27"/>
      <c r="K1019" s="27"/>
      <c r="L1019" s="27" t="str">
        <f t="shared" si="2"/>
        <v>I</v>
      </c>
      <c r="M1019" s="27" t="str">
        <f>IFERROR(__xludf.DUMMYFUNCTION("GOOGLETRANSLATE(C1019,""EN"",""KN"")"),"ನಿರ್ಮಲ")</f>
        <v>ನಿರ್ಮಲ</v>
      </c>
      <c r="N1019" s="27">
        <f t="array" ref="N1019">_xlfn.XLOOKUP(B1019,'Sets Progress'!I:I,'Sets Progress'!I:I,"NOT YET")</f>
        <v>65</v>
      </c>
      <c r="O1019" s="27" t="str">
        <f t="array" ref="O1019">_xlfn.XLOOKUP(L:L,'Overall Progress'!L:L,'Overall Progress'!L:L,"NOT YET")</f>
        <v>NOT YET</v>
      </c>
      <c r="P1019" s="27"/>
      <c r="Q1019" s="27"/>
      <c r="R1019" s="27"/>
      <c r="S1019" s="27"/>
      <c r="T1019" s="27"/>
      <c r="U1019" s="27"/>
      <c r="V1019" s="27"/>
      <c r="W1019" s="27"/>
      <c r="X1019" s="27"/>
      <c r="Y1019" s="27"/>
      <c r="Z1019" s="27"/>
    </row>
    <row r="1020" hidden="1" customHeight="1" spans="1:26">
      <c r="A1020" s="26">
        <v>818</v>
      </c>
      <c r="B1020" s="26">
        <v>65</v>
      </c>
      <c r="C1020" s="26" t="s">
        <v>1158</v>
      </c>
      <c r="D1020" s="26" t="s">
        <v>1721</v>
      </c>
      <c r="E1020" s="26" t="s">
        <v>2889</v>
      </c>
      <c r="F1020" s="26" t="str">
        <f t="shared" si="0"/>
        <v>Temporal Latin Origin</v>
      </c>
      <c r="G1020" s="26">
        <f t="shared" si="1"/>
        <v>8</v>
      </c>
      <c r="H1020" s="26" t="s">
        <v>3900</v>
      </c>
      <c r="I1020" s="26"/>
      <c r="J1020" s="26"/>
      <c r="K1020" s="26"/>
      <c r="L1020" s="26" t="str">
        <f t="shared" si="2"/>
        <v>I</v>
      </c>
      <c r="M1020" s="26" t="str">
        <f>IFERROR(__xludf.DUMMYFUNCTION("GOOGLETRANSLATE(C1020,""EN"",""KN"")"),"ಆಕ್ರಮಣಕಾರಿ")</f>
        <v>ಆಕ್ರಮಣಕಾರಿ</v>
      </c>
      <c r="N1020" s="26">
        <f t="array" ref="N1020">_xlfn.XLOOKUP(B1020,'Sets Progress'!I:I,'Sets Progress'!I:I,"NOT YET")</f>
        <v>65</v>
      </c>
      <c r="O1020" s="26" t="str">
        <f t="array" ref="O1020">_xlfn.XLOOKUP(L:L,'Overall Progress'!L:L,'Overall Progress'!L:L,"NOT YET")</f>
        <v>NOT YET</v>
      </c>
      <c r="P1020" s="26"/>
      <c r="Q1020" s="26"/>
      <c r="R1020" s="26"/>
      <c r="S1020" s="26"/>
      <c r="T1020" s="26"/>
      <c r="U1020" s="26"/>
      <c r="V1020" s="26"/>
      <c r="W1020" s="26"/>
      <c r="X1020" s="26"/>
      <c r="Y1020" s="26"/>
      <c r="Z1020" s="26"/>
    </row>
    <row r="1021" hidden="1" customHeight="1" spans="1:26">
      <c r="A1021" s="27">
        <v>844</v>
      </c>
      <c r="B1021" s="27">
        <v>65</v>
      </c>
      <c r="C1021" s="27" t="s">
        <v>1184</v>
      </c>
      <c r="D1021" s="27" t="s">
        <v>1721</v>
      </c>
      <c r="E1021" s="27" t="s">
        <v>2889</v>
      </c>
      <c r="F1021" s="27" t="str">
        <f t="shared" si="0"/>
        <v>Temporal Latin Origin</v>
      </c>
      <c r="G1021" s="27">
        <f t="shared" si="1"/>
        <v>9</v>
      </c>
      <c r="H1021" s="27" t="s">
        <v>3901</v>
      </c>
      <c r="I1021" s="27"/>
      <c r="J1021" s="27"/>
      <c r="K1021" s="27"/>
      <c r="L1021" s="27" t="str">
        <f t="shared" si="2"/>
        <v>L</v>
      </c>
      <c r="M1021" s="27" t="str">
        <f>IFERROR(__xludf.DUMMYFUNCTION("GOOGLETRANSLATE(C1021,""EN"",""KN"")"),"ಶ್ರಮದಾಯಕ")</f>
        <v>ಶ್ರಮದಾಯಕ</v>
      </c>
      <c r="N1021" s="27">
        <f t="array" ref="N1021">_xlfn.XLOOKUP(B1021,'Sets Progress'!I:I,'Sets Progress'!I:I,"NOT YET")</f>
        <v>65</v>
      </c>
      <c r="O1021" s="27" t="str">
        <f t="array" ref="O1021">_xlfn.XLOOKUP(L:L,'Overall Progress'!L:L,'Overall Progress'!L:L,"NOT YET")</f>
        <v>NOT YET</v>
      </c>
      <c r="P1021" s="27"/>
      <c r="Q1021" s="27"/>
      <c r="R1021" s="27"/>
      <c r="S1021" s="27"/>
      <c r="T1021" s="27"/>
      <c r="U1021" s="27"/>
      <c r="V1021" s="27"/>
      <c r="W1021" s="27"/>
      <c r="X1021" s="27"/>
      <c r="Y1021" s="27"/>
      <c r="Z1021" s="27"/>
    </row>
    <row r="1022" hidden="1" customHeight="1" spans="1:26">
      <c r="A1022" s="26">
        <v>1031</v>
      </c>
      <c r="B1022" s="26">
        <v>65</v>
      </c>
      <c r="C1022" s="26" t="s">
        <v>1366</v>
      </c>
      <c r="D1022" s="26" t="s">
        <v>2716</v>
      </c>
      <c r="E1022" s="26" t="s">
        <v>2889</v>
      </c>
      <c r="F1022" s="26" t="str">
        <f t="shared" si="0"/>
        <v>Negative Traits Latin Origin</v>
      </c>
      <c r="G1022" s="26">
        <f t="shared" si="1"/>
        <v>8</v>
      </c>
      <c r="H1022" s="26" t="s">
        <v>3902</v>
      </c>
      <c r="I1022" s="26"/>
      <c r="J1022" s="26"/>
      <c r="K1022" s="26"/>
      <c r="L1022" s="26" t="str">
        <f t="shared" si="2"/>
        <v>P</v>
      </c>
      <c r="M1022" s="26" t="str">
        <f>IFERROR(__xludf.DUMMYFUNCTION("GOOGLETRANSLATE(C1022,""EN"",""KN"")"),"ಪೆಡಾಂಟಿಕ್")</f>
        <v>ಪೆಡಾಂಟಿಕ್</v>
      </c>
      <c r="N1022" s="26">
        <f t="array" ref="N1022">_xlfn.XLOOKUP(B1022,'Sets Progress'!I:I,'Sets Progress'!I:I,"NOT YET")</f>
        <v>65</v>
      </c>
      <c r="O1022" s="26" t="str">
        <f t="array" ref="O1022">_xlfn.XLOOKUP(L:L,'Overall Progress'!L:L,'Overall Progress'!L:L,"NOT YET")</f>
        <v>NOT YET</v>
      </c>
      <c r="P1022" s="26"/>
      <c r="Q1022" s="26"/>
      <c r="R1022" s="26"/>
      <c r="S1022" s="26"/>
      <c r="T1022" s="26"/>
      <c r="U1022" s="26"/>
      <c r="V1022" s="26"/>
      <c r="W1022" s="26"/>
      <c r="X1022" s="26"/>
      <c r="Y1022" s="26"/>
      <c r="Z1022" s="26"/>
    </row>
    <row r="1023" hidden="1" customHeight="1" spans="1:26">
      <c r="A1023" s="27">
        <v>1048</v>
      </c>
      <c r="B1023" s="27">
        <v>65</v>
      </c>
      <c r="C1023" s="27" t="s">
        <v>1383</v>
      </c>
      <c r="D1023" s="27" t="s">
        <v>1721</v>
      </c>
      <c r="E1023" s="27" t="s">
        <v>2889</v>
      </c>
      <c r="F1023" s="27" t="str">
        <f t="shared" si="0"/>
        <v>Temporal Latin Origin</v>
      </c>
      <c r="G1023" s="27">
        <f t="shared" si="1"/>
        <v>10</v>
      </c>
      <c r="H1023" s="27" t="s">
        <v>3903</v>
      </c>
      <c r="I1023" s="27"/>
      <c r="J1023" s="27"/>
      <c r="K1023" s="27"/>
      <c r="L1023" s="27" t="str">
        <f t="shared" si="2"/>
        <v>P</v>
      </c>
      <c r="M1023" s="27" t="str">
        <f>IFERROR(__xludf.DUMMYFUNCTION("GOOGLETRANSLATE(C1023,""EN"",""KN"")"),"ಶಾಶ್ವತಗೊಳಿಸು")</f>
        <v>ಶಾಶ್ವತಗೊಳಿಸು</v>
      </c>
      <c r="N1023" s="27">
        <f t="array" ref="N1023">_xlfn.XLOOKUP(B1023,'Sets Progress'!I:I,'Sets Progress'!I:I,"NOT YET")</f>
        <v>65</v>
      </c>
      <c r="O1023" s="27" t="str">
        <f t="array" ref="O1023">_xlfn.XLOOKUP(L:L,'Overall Progress'!L:L,'Overall Progress'!L:L,"NOT YET")</f>
        <v>NOT YET</v>
      </c>
      <c r="P1023" s="27"/>
      <c r="Q1023" s="27"/>
      <c r="R1023" s="27"/>
      <c r="S1023" s="27"/>
      <c r="T1023" s="27"/>
      <c r="U1023" s="27"/>
      <c r="V1023" s="27"/>
      <c r="W1023" s="27"/>
      <c r="X1023" s="27"/>
      <c r="Y1023" s="27"/>
      <c r="Z1023" s="27"/>
    </row>
    <row r="1024" hidden="1" customHeight="1" spans="1:26">
      <c r="A1024" s="26">
        <v>1099</v>
      </c>
      <c r="B1024" s="26">
        <v>65</v>
      </c>
      <c r="C1024" s="26" t="s">
        <v>1433</v>
      </c>
      <c r="D1024" s="26" t="s">
        <v>2716</v>
      </c>
      <c r="E1024" s="26" t="s">
        <v>2889</v>
      </c>
      <c r="F1024" s="26" t="str">
        <f t="shared" si="0"/>
        <v>Negative Traits Latin Origin</v>
      </c>
      <c r="G1024" s="26">
        <f t="shared" si="1"/>
        <v>11</v>
      </c>
      <c r="H1024" s="26" t="s">
        <v>3904</v>
      </c>
      <c r="I1024" s="26"/>
      <c r="J1024" s="26"/>
      <c r="K1024" s="26"/>
      <c r="L1024" s="26" t="str">
        <f t="shared" si="2"/>
        <v>P</v>
      </c>
      <c r="M1024" s="26" t="str">
        <f>IFERROR(__xludf.DUMMYFUNCTION("GOOGLETRANSLATE(C1024,""EN"",""KN"")"),"ಇಕ್ಕಟ್ಟು")</f>
        <v>ಇಕ್ಕಟ್ಟು</v>
      </c>
      <c r="N1024" s="26">
        <f t="array" ref="N1024">_xlfn.XLOOKUP(B1024,'Sets Progress'!I:I,'Sets Progress'!I:I,"NOT YET")</f>
        <v>65</v>
      </c>
      <c r="O1024" s="26" t="str">
        <f t="array" ref="O1024">_xlfn.XLOOKUP(L:L,'Overall Progress'!L:L,'Overall Progress'!L:L,"NOT YET")</f>
        <v>NOT YET</v>
      </c>
      <c r="P1024" s="26"/>
      <c r="Q1024" s="26"/>
      <c r="R1024" s="26"/>
      <c r="S1024" s="26"/>
      <c r="T1024" s="26"/>
      <c r="U1024" s="26"/>
      <c r="V1024" s="26"/>
      <c r="W1024" s="26"/>
      <c r="X1024" s="26"/>
      <c r="Y1024" s="26"/>
      <c r="Z1024" s="26"/>
    </row>
    <row r="1025" hidden="1" customHeight="1" spans="1:26">
      <c r="A1025" s="27">
        <v>1163</v>
      </c>
      <c r="B1025" s="27">
        <v>65</v>
      </c>
      <c r="C1025" s="27" t="s">
        <v>1494</v>
      </c>
      <c r="D1025" s="27" t="s">
        <v>2717</v>
      </c>
      <c r="E1025" s="27" t="s">
        <v>2889</v>
      </c>
      <c r="F1025" s="27" t="str">
        <f t="shared" si="0"/>
        <v>Positive Traits Latin Origin</v>
      </c>
      <c r="G1025" s="27">
        <f t="shared" si="1"/>
        <v>7</v>
      </c>
      <c r="H1025" s="27" t="s">
        <v>3905</v>
      </c>
      <c r="I1025" s="27"/>
      <c r="J1025" s="27"/>
      <c r="K1025" s="27"/>
      <c r="L1025" s="27" t="str">
        <f t="shared" si="2"/>
        <v>R</v>
      </c>
      <c r="M1025" s="27" t="str">
        <f>IFERROR(__xludf.DUMMYFUNCTION("GOOGLETRANSLATE(C1025,""EN"",""KN"")"),"ಆಮೂಲಾಗ್ರ")</f>
        <v>ಆಮೂಲಾಗ್ರ</v>
      </c>
      <c r="N1025" s="27">
        <f t="array" ref="N1025">_xlfn.XLOOKUP(B1025,'Sets Progress'!I:I,'Sets Progress'!I:I,"NOT YET")</f>
        <v>65</v>
      </c>
      <c r="O1025" s="27" t="str">
        <f t="array" ref="O1025">_xlfn.XLOOKUP(L:L,'Overall Progress'!L:L,'Overall Progress'!L:L,"NOT YET")</f>
        <v>NOT YET</v>
      </c>
      <c r="P1025" s="27"/>
      <c r="Q1025" s="27"/>
      <c r="R1025" s="27"/>
      <c r="S1025" s="27"/>
      <c r="T1025" s="27"/>
      <c r="U1025" s="27"/>
      <c r="V1025" s="27"/>
      <c r="W1025" s="27"/>
      <c r="X1025" s="27"/>
      <c r="Y1025" s="27"/>
      <c r="Z1025" s="27"/>
    </row>
    <row r="1026" hidden="1" customHeight="1" spans="1:26">
      <c r="A1026" s="26">
        <v>1173</v>
      </c>
      <c r="B1026" s="26">
        <v>65</v>
      </c>
      <c r="C1026" s="26" t="s">
        <v>1504</v>
      </c>
      <c r="D1026" s="26" t="s">
        <v>2716</v>
      </c>
      <c r="E1026" s="26" t="s">
        <v>2911</v>
      </c>
      <c r="F1026" s="26" t="str">
        <f t="shared" si="0"/>
        <v>Negative Traits French Origin</v>
      </c>
      <c r="G1026" s="26">
        <f t="shared" si="1"/>
        <v>6</v>
      </c>
      <c r="H1026" s="26" t="s">
        <v>3906</v>
      </c>
      <c r="I1026" s="26"/>
      <c r="J1026" s="26"/>
      <c r="K1026" s="26"/>
      <c r="L1026" s="26" t="str">
        <f t="shared" si="2"/>
        <v>R</v>
      </c>
      <c r="M1026" s="26" t="str">
        <f>IFERROR(__xludf.DUMMYFUNCTION("GOOGLETRANSLATE(C1026,""EN"",""KN"")"),"ರಾವೇಜ್")</f>
        <v>ರಾವೇಜ್</v>
      </c>
      <c r="N1026" s="26">
        <f t="array" ref="N1026">_xlfn.XLOOKUP(B1026,'Sets Progress'!I:I,'Sets Progress'!I:I,"NOT YET")</f>
        <v>65</v>
      </c>
      <c r="O1026" s="26" t="str">
        <f t="array" ref="O1026">_xlfn.XLOOKUP(L:L,'Overall Progress'!L:L,'Overall Progress'!L:L,"NOT YET")</f>
        <v>NOT YET</v>
      </c>
      <c r="P1026" s="26"/>
      <c r="Q1026" s="26"/>
      <c r="R1026" s="26"/>
      <c r="S1026" s="26"/>
      <c r="T1026" s="26"/>
      <c r="U1026" s="26"/>
      <c r="V1026" s="26"/>
      <c r="W1026" s="26"/>
      <c r="X1026" s="26"/>
      <c r="Y1026" s="26"/>
      <c r="Z1026" s="26"/>
    </row>
    <row r="1027" hidden="1" customHeight="1" spans="1:26">
      <c r="A1027" s="27">
        <v>1209</v>
      </c>
      <c r="B1027" s="27">
        <v>65</v>
      </c>
      <c r="C1027" s="27" t="s">
        <v>1540</v>
      </c>
      <c r="D1027" s="27" t="s">
        <v>2717</v>
      </c>
      <c r="E1027" s="27" t="s">
        <v>2889</v>
      </c>
      <c r="F1027" s="27" t="str">
        <f t="shared" si="0"/>
        <v>Positive Traits Latin Origin</v>
      </c>
      <c r="G1027" s="27">
        <f t="shared" si="1"/>
        <v>9</v>
      </c>
      <c r="H1027" s="27" t="s">
        <v>3907</v>
      </c>
      <c r="I1027" s="27"/>
      <c r="J1027" s="27"/>
      <c r="K1027" s="27"/>
      <c r="L1027" s="27" t="str">
        <f t="shared" si="2"/>
        <v>R</v>
      </c>
      <c r="M1027" s="27" t="str">
        <f>IFERROR(__xludf.DUMMYFUNCTION("GOOGLETRANSLATE(C1027,""EN"",""KN"")"),"ಮರುಪೂರಣ")</f>
        <v>ಮರುಪೂರಣ</v>
      </c>
      <c r="N1027" s="27">
        <f t="array" ref="N1027">_xlfn.XLOOKUP(B1027,'Sets Progress'!I:I,'Sets Progress'!I:I,"NOT YET")</f>
        <v>65</v>
      </c>
      <c r="O1027" s="27" t="str">
        <f t="array" ref="O1027">_xlfn.XLOOKUP(L:L,'Overall Progress'!L:L,'Overall Progress'!L:L,"NOT YET")</f>
        <v>NOT YET</v>
      </c>
      <c r="P1027" s="27"/>
      <c r="Q1027" s="27"/>
      <c r="R1027" s="27"/>
      <c r="S1027" s="27"/>
      <c r="T1027" s="27"/>
      <c r="U1027" s="27"/>
      <c r="V1027" s="27"/>
      <c r="W1027" s="27"/>
      <c r="X1027" s="27"/>
      <c r="Y1027" s="27"/>
      <c r="Z1027" s="27"/>
    </row>
    <row r="1028" hidden="1" customHeight="1" spans="1:26">
      <c r="A1028" s="26">
        <v>1342</v>
      </c>
      <c r="B1028" s="26">
        <v>65</v>
      </c>
      <c r="C1028" s="26" t="s">
        <v>1673</v>
      </c>
      <c r="D1028" s="26" t="s">
        <v>1721</v>
      </c>
      <c r="E1028" s="26" t="s">
        <v>2889</v>
      </c>
      <c r="F1028" s="26" t="str">
        <f t="shared" si="0"/>
        <v>Temporal Latin Origin</v>
      </c>
      <c r="G1028" s="26">
        <f t="shared" si="1"/>
        <v>12</v>
      </c>
      <c r="H1028" s="26" t="s">
        <v>3908</v>
      </c>
      <c r="I1028" s="26"/>
      <c r="J1028" s="26"/>
      <c r="K1028" s="26"/>
      <c r="L1028" s="26" t="str">
        <f t="shared" si="2"/>
        <v>S</v>
      </c>
      <c r="M1028" s="26" t="str">
        <f>IFERROR(__xludf.DUMMYFUNCTION("GOOGLETRANSLATE(C1028,""EN"",""KN"")"),"ಸಮರ್ಥಿಸಿ")</f>
        <v>ಸಮರ್ಥಿಸಿ</v>
      </c>
      <c r="N1028" s="26">
        <f t="array" ref="N1028">_xlfn.XLOOKUP(B1028,'Sets Progress'!I:I,'Sets Progress'!I:I,"NOT YET")</f>
        <v>65</v>
      </c>
      <c r="O1028" s="26" t="str">
        <f t="array" ref="O1028">_xlfn.XLOOKUP(L:L,'Overall Progress'!L:L,'Overall Progress'!L:L,"NOT YET")</f>
        <v>NOT YET</v>
      </c>
      <c r="P1028" s="26"/>
      <c r="Q1028" s="26"/>
      <c r="R1028" s="26"/>
      <c r="S1028" s="26"/>
      <c r="T1028" s="26"/>
      <c r="U1028" s="26"/>
      <c r="V1028" s="26"/>
      <c r="W1028" s="26"/>
      <c r="X1028" s="26"/>
      <c r="Y1028" s="26"/>
      <c r="Z1028" s="26"/>
    </row>
    <row r="1029" hidden="1" customHeight="1" spans="1:26">
      <c r="A1029" s="27">
        <v>1464</v>
      </c>
      <c r="B1029" s="27">
        <v>65</v>
      </c>
      <c r="C1029" s="27" t="s">
        <v>1792</v>
      </c>
      <c r="D1029" s="27" t="s">
        <v>2716</v>
      </c>
      <c r="E1029" s="27" t="s">
        <v>2908</v>
      </c>
      <c r="F1029" s="27" t="str">
        <f t="shared" si="0"/>
        <v>Negative Traits Old English Origin</v>
      </c>
      <c r="G1029" s="27">
        <f t="shared" si="1"/>
        <v>9</v>
      </c>
      <c r="H1029" s="27" t="s">
        <v>3909</v>
      </c>
      <c r="I1029" s="27"/>
      <c r="J1029" s="27"/>
      <c r="K1029" s="27"/>
      <c r="L1029" s="27" t="str">
        <f t="shared" si="2"/>
        <v>U</v>
      </c>
      <c r="M1029" s="27" t="str">
        <f>IFERROR(__xludf.DUMMYFUNCTION("GOOGLETRANSLATE(C1029,""EN"",""KN"")"),"ಆಧಾರರಹಿತ")</f>
        <v>ಆಧಾರರಹಿತ</v>
      </c>
      <c r="N1029" s="27">
        <f t="array" ref="N1029">_xlfn.XLOOKUP(B1029,'Sets Progress'!I:I,'Sets Progress'!I:I,"NOT YET")</f>
        <v>65</v>
      </c>
      <c r="O1029" s="27" t="str">
        <f t="array" ref="O1029">_xlfn.XLOOKUP(L:L,'Overall Progress'!L:L,'Overall Progress'!L:L,"NOT YET")</f>
        <v>NOT YET</v>
      </c>
      <c r="P1029" s="27"/>
      <c r="Q1029" s="27"/>
      <c r="R1029" s="27"/>
      <c r="S1029" s="27"/>
      <c r="T1029" s="27"/>
      <c r="U1029" s="27"/>
      <c r="V1029" s="27"/>
      <c r="W1029" s="27"/>
      <c r="X1029" s="27"/>
      <c r="Y1029" s="27"/>
      <c r="Z1029" s="27"/>
    </row>
    <row r="1030" hidden="1" customHeight="1" spans="1:26">
      <c r="A1030" s="26">
        <v>313</v>
      </c>
      <c r="B1030" s="26">
        <v>66</v>
      </c>
      <c r="C1030" s="26" t="s">
        <v>664</v>
      </c>
      <c r="D1030" s="26" t="s">
        <v>2928</v>
      </c>
      <c r="E1030" s="26" t="s">
        <v>2889</v>
      </c>
      <c r="F1030" s="26" t="str">
        <f t="shared" si="0"/>
        <v>Philosophical Latin Origin</v>
      </c>
      <c r="G1030" s="26">
        <f t="shared" si="1"/>
        <v>9</v>
      </c>
      <c r="H1030" s="26" t="s">
        <v>3910</v>
      </c>
      <c r="I1030" s="26"/>
      <c r="J1030" s="26"/>
      <c r="K1030" s="26"/>
      <c r="L1030" s="26" t="str">
        <f t="shared" si="2"/>
        <v>C</v>
      </c>
      <c r="M1030" s="26" t="str">
        <f>IFERROR(__xludf.DUMMYFUNCTION("GOOGLETRANSLATE(C1030,""EN"",""KN"")"),"ಪರಸ್ಪರ ಸಂಬಂಧ")</f>
        <v>ಪರಸ್ಪರ ಸಂಬಂಧ</v>
      </c>
      <c r="N1030" s="26" t="str">
        <f t="array" ref="N1030">_xlfn.XLOOKUP(B1030,'Sets Progress'!I:I,'Sets Progress'!I:I,"NOT YET")</f>
        <v>NOT YET</v>
      </c>
      <c r="O1030" s="26" t="str">
        <f t="array" ref="O1030">_xlfn.XLOOKUP(L:L,'Overall Progress'!L:L,'Overall Progress'!L:L,"NOT YET")</f>
        <v>NOT YET</v>
      </c>
      <c r="P1030" s="26"/>
      <c r="Q1030" s="26"/>
      <c r="R1030" s="26"/>
      <c r="S1030" s="26"/>
      <c r="T1030" s="26"/>
      <c r="U1030" s="26"/>
      <c r="V1030" s="26"/>
      <c r="W1030" s="26"/>
      <c r="X1030" s="26"/>
      <c r="Y1030" s="26"/>
      <c r="Z1030" s="26"/>
    </row>
    <row r="1031" customHeight="1" spans="1:26">
      <c r="A1031" s="27">
        <v>421</v>
      </c>
      <c r="B1031" s="27">
        <v>66</v>
      </c>
      <c r="C1031" s="27" t="s">
        <v>770</v>
      </c>
      <c r="D1031" s="27" t="s">
        <v>1721</v>
      </c>
      <c r="E1031" s="27" t="s">
        <v>2896</v>
      </c>
      <c r="F1031" s="27" t="str">
        <f t="shared" si="0"/>
        <v>Temporal Old French Origin</v>
      </c>
      <c r="G1031" s="27">
        <f t="shared" si="1"/>
        <v>8</v>
      </c>
      <c r="H1031" s="27"/>
      <c r="I1031" s="27"/>
      <c r="J1031" s="27"/>
      <c r="K1031" s="27"/>
      <c r="L1031" s="27" t="str">
        <f t="shared" si="2"/>
        <v>D</v>
      </c>
      <c r="M1031" s="27" t="str">
        <f>IFERROR(__xludf.DUMMYFUNCTION("GOOGLETRANSLATE(C1031,""EN"",""KN"")"),"ಡಿಸ್ಗರ್ಜ್")</f>
        <v>ಡಿಸ್ಗರ್ಜ್</v>
      </c>
      <c r="N1031" s="27" t="str">
        <f t="array" ref="N1031">_xlfn.XLOOKUP(B1031,'Sets Progress'!I:I,'Sets Progress'!I:I,"NOT YET")</f>
        <v>NOT YET</v>
      </c>
      <c r="O1031" s="27" t="str">
        <f t="array" ref="O1031">_xlfn.XLOOKUP(L:L,'Overall Progress'!L:L,'Overall Progress'!L:L,"NOT YET")</f>
        <v>NOT YET</v>
      </c>
      <c r="P1031" s="27"/>
      <c r="Q1031" s="27"/>
      <c r="R1031" s="27"/>
      <c r="S1031" s="27"/>
      <c r="T1031" s="27"/>
      <c r="U1031" s="27"/>
      <c r="V1031" s="27"/>
      <c r="W1031" s="27"/>
      <c r="X1031" s="27"/>
      <c r="Y1031" s="27"/>
      <c r="Z1031" s="27"/>
    </row>
    <row r="1032" hidden="1" customHeight="1" spans="1:26">
      <c r="A1032" s="26">
        <v>508</v>
      </c>
      <c r="B1032" s="26">
        <v>66</v>
      </c>
      <c r="C1032" s="26" t="s">
        <v>857</v>
      </c>
      <c r="D1032" s="26" t="s">
        <v>3022</v>
      </c>
      <c r="E1032" s="26" t="s">
        <v>2893</v>
      </c>
      <c r="F1032" s="26" t="str">
        <f t="shared" si="0"/>
        <v>Intellectual Greek Origin</v>
      </c>
      <c r="G1032" s="26">
        <f t="shared" si="1"/>
        <v>9</v>
      </c>
      <c r="H1032" s="26" t="s">
        <v>3911</v>
      </c>
      <c r="I1032" s="26"/>
      <c r="J1032" s="26"/>
      <c r="K1032" s="26"/>
      <c r="L1032" s="26" t="str">
        <f t="shared" si="2"/>
        <v>E</v>
      </c>
      <c r="M1032" s="26" t="str">
        <f>IFERROR(__xludf.DUMMYFUNCTION("GOOGLETRANSLATE(C1032,""EN"",""KN"")"),"ನಿಗೂಢ")</f>
        <v>ನಿಗೂಢ</v>
      </c>
      <c r="N1032" s="26" t="str">
        <f t="array" ref="N1032">_xlfn.XLOOKUP(B1032,'Sets Progress'!I:I,'Sets Progress'!I:I,"NOT YET")</f>
        <v>NOT YET</v>
      </c>
      <c r="O1032" s="26" t="str">
        <f t="array" ref="O1032">_xlfn.XLOOKUP(L:L,'Overall Progress'!L:L,'Overall Progress'!L:L,"NOT YET")</f>
        <v>NOT YET</v>
      </c>
      <c r="P1032" s="26"/>
      <c r="Q1032" s="26"/>
      <c r="R1032" s="26"/>
      <c r="S1032" s="26"/>
      <c r="T1032" s="26"/>
      <c r="U1032" s="26"/>
      <c r="V1032" s="26"/>
      <c r="W1032" s="26"/>
      <c r="X1032" s="26"/>
      <c r="Y1032" s="26"/>
      <c r="Z1032" s="26"/>
    </row>
    <row r="1033" customHeight="1" spans="1:26">
      <c r="A1033" s="27">
        <v>543</v>
      </c>
      <c r="B1033" s="27">
        <v>66</v>
      </c>
      <c r="C1033" s="27" t="s">
        <v>889</v>
      </c>
      <c r="D1033" s="27" t="s">
        <v>1721</v>
      </c>
      <c r="E1033" s="27" t="s">
        <v>2889</v>
      </c>
      <c r="F1033" s="27" t="str">
        <f t="shared" si="0"/>
        <v>Temporal Latin Origin</v>
      </c>
      <c r="G1033" s="27">
        <f t="shared" si="1"/>
        <v>9</v>
      </c>
      <c r="H1033" s="27"/>
      <c r="I1033" s="27"/>
      <c r="J1033" s="27"/>
      <c r="K1033" s="27"/>
      <c r="L1033" s="27" t="str">
        <f t="shared" si="2"/>
        <v>E</v>
      </c>
      <c r="M1033" s="27" t="str">
        <f>IFERROR(__xludf.DUMMYFUNCTION("GOOGLETRANSLATE(C1033,""EN"",""KN"")"),"ಘಟನೆ")</f>
        <v>ಘಟನೆ</v>
      </c>
      <c r="N1033" s="27" t="str">
        <f t="array" ref="N1033">_xlfn.XLOOKUP(B1033,'Sets Progress'!I:I,'Sets Progress'!I:I,"NOT YET")</f>
        <v>NOT YET</v>
      </c>
      <c r="O1033" s="27" t="str">
        <f t="array" ref="O1033">_xlfn.XLOOKUP(L:L,'Overall Progress'!L:L,'Overall Progress'!L:L,"NOT YET")</f>
        <v>NOT YET</v>
      </c>
      <c r="P1033" s="27"/>
      <c r="Q1033" s="27"/>
      <c r="R1033" s="27"/>
      <c r="S1033" s="27"/>
      <c r="T1033" s="27"/>
      <c r="U1033" s="27"/>
      <c r="V1033" s="27"/>
      <c r="W1033" s="27"/>
      <c r="X1033" s="27"/>
      <c r="Y1033" s="27"/>
      <c r="Z1033" s="27"/>
    </row>
    <row r="1034" hidden="1" customHeight="1" spans="1:26">
      <c r="A1034" s="26">
        <v>716</v>
      </c>
      <c r="B1034" s="26">
        <v>66</v>
      </c>
      <c r="C1034" s="26" t="s">
        <v>1058</v>
      </c>
      <c r="D1034" s="26" t="s">
        <v>1721</v>
      </c>
      <c r="E1034" s="26" t="s">
        <v>2889</v>
      </c>
      <c r="F1034" s="26" t="str">
        <f t="shared" si="0"/>
        <v>Temporal Latin Origin</v>
      </c>
      <c r="G1034" s="26">
        <f t="shared" si="1"/>
        <v>9</v>
      </c>
      <c r="H1034" s="26" t="s">
        <v>3912</v>
      </c>
      <c r="I1034" s="26"/>
      <c r="J1034" s="26"/>
      <c r="K1034" s="26"/>
      <c r="L1034" s="26" t="str">
        <f t="shared" si="2"/>
        <v>I</v>
      </c>
      <c r="M1034" s="26" t="str">
        <f>IFERROR(__xludf.DUMMYFUNCTION("GOOGLETRANSLATE(C1034,""EN"",""KN"")"),"ಬದಲಾಗದ")</f>
        <v>ಬದಲಾಗದ</v>
      </c>
      <c r="N1034" s="26" t="str">
        <f t="array" ref="N1034">_xlfn.XLOOKUP(B1034,'Sets Progress'!I:I,'Sets Progress'!I:I,"NOT YET")</f>
        <v>NOT YET</v>
      </c>
      <c r="O1034" s="26" t="str">
        <f t="array" ref="O1034">_xlfn.XLOOKUP(L:L,'Overall Progress'!L:L,'Overall Progress'!L:L,"NOT YET")</f>
        <v>NOT YET</v>
      </c>
      <c r="P1034" s="26"/>
      <c r="Q1034" s="26"/>
      <c r="R1034" s="26"/>
      <c r="S1034" s="26"/>
      <c r="T1034" s="26"/>
      <c r="U1034" s="26"/>
      <c r="V1034" s="26"/>
      <c r="W1034" s="26"/>
      <c r="X1034" s="26"/>
      <c r="Y1034" s="26"/>
      <c r="Z1034" s="26"/>
    </row>
    <row r="1035" hidden="1" customHeight="1" spans="1:26">
      <c r="A1035" s="27">
        <v>736</v>
      </c>
      <c r="B1035" s="27">
        <v>66</v>
      </c>
      <c r="C1035" s="27" t="s">
        <v>1077</v>
      </c>
      <c r="D1035" s="27" t="s">
        <v>2716</v>
      </c>
      <c r="E1035" s="27" t="s">
        <v>2889</v>
      </c>
      <c r="F1035" s="27" t="str">
        <f t="shared" si="0"/>
        <v>Negative Traits Latin Origin</v>
      </c>
      <c r="G1035" s="27">
        <f t="shared" si="1"/>
        <v>9</v>
      </c>
      <c r="H1035" s="27" t="s">
        <v>3913</v>
      </c>
      <c r="I1035" s="27"/>
      <c r="J1035" s="27"/>
      <c r="K1035" s="27"/>
      <c r="L1035" s="27" t="str">
        <f t="shared" si="2"/>
        <v>I</v>
      </c>
      <c r="M1035" s="27" t="str">
        <f>IFERROR(__xludf.DUMMYFUNCTION("GOOGLETRANSLATE(C1035,""EN"",""KN"")"),"ಅವಿವೇಕದ")</f>
        <v>ಅವಿವೇಕದ</v>
      </c>
      <c r="N1035" s="27" t="str">
        <f t="array" ref="N1035">_xlfn.XLOOKUP(B1035,'Sets Progress'!I:I,'Sets Progress'!I:I,"NOT YET")</f>
        <v>NOT YET</v>
      </c>
      <c r="O1035" s="27" t="str">
        <f t="array" ref="O1035">_xlfn.XLOOKUP(L:L,'Overall Progress'!L:L,'Overall Progress'!L:L,"NOT YET")</f>
        <v>NOT YET</v>
      </c>
      <c r="P1035" s="27"/>
      <c r="Q1035" s="27"/>
      <c r="R1035" s="27"/>
      <c r="S1035" s="27"/>
      <c r="T1035" s="27"/>
      <c r="U1035" s="27"/>
      <c r="V1035" s="27"/>
      <c r="W1035" s="27"/>
      <c r="X1035" s="27"/>
      <c r="Y1035" s="27"/>
      <c r="Z1035" s="27"/>
    </row>
    <row r="1036" customHeight="1" spans="1:26">
      <c r="A1036" s="26">
        <v>812</v>
      </c>
      <c r="B1036" s="26">
        <v>66</v>
      </c>
      <c r="C1036" s="26" t="s">
        <v>1152</v>
      </c>
      <c r="D1036" s="26" t="s">
        <v>1721</v>
      </c>
      <c r="E1036" s="26" t="s">
        <v>2889</v>
      </c>
      <c r="F1036" s="26" t="str">
        <f t="shared" si="0"/>
        <v>Temporal Latin Origin</v>
      </c>
      <c r="G1036" s="26">
        <f t="shared" si="1"/>
        <v>12</v>
      </c>
      <c r="H1036" s="26"/>
      <c r="I1036" s="26"/>
      <c r="J1036" s="26"/>
      <c r="K1036" s="26"/>
      <c r="L1036" s="26" t="str">
        <f t="shared" si="2"/>
        <v>I</v>
      </c>
      <c r="M1036" s="26" t="str">
        <f>IFERROR(__xludf.DUMMYFUNCTION("GOOGLETRANSLATE(C1036,""EN"",""KN"")"),"ನಿಷ್ಠುರ")</f>
        <v>ನಿಷ್ಠುರ</v>
      </c>
      <c r="N1036" s="26" t="str">
        <f t="array" ref="N1036">_xlfn.XLOOKUP(B1036,'Sets Progress'!I:I,'Sets Progress'!I:I,"NOT YET")</f>
        <v>NOT YET</v>
      </c>
      <c r="O1036" s="26" t="str">
        <f t="array" ref="O1036">_xlfn.XLOOKUP(L:L,'Overall Progress'!L:L,'Overall Progress'!L:L,"NOT YET")</f>
        <v>NOT YET</v>
      </c>
      <c r="P1036" s="26"/>
      <c r="Q1036" s="26"/>
      <c r="R1036" s="26"/>
      <c r="S1036" s="26"/>
      <c r="T1036" s="26"/>
      <c r="U1036" s="26"/>
      <c r="V1036" s="26"/>
      <c r="W1036" s="26"/>
      <c r="X1036" s="26"/>
      <c r="Y1036" s="26"/>
      <c r="Z1036" s="26"/>
    </row>
    <row r="1037" hidden="1" customHeight="1" spans="1:26">
      <c r="A1037" s="27">
        <v>900</v>
      </c>
      <c r="B1037" s="27">
        <v>66</v>
      </c>
      <c r="C1037" s="27" t="s">
        <v>1237</v>
      </c>
      <c r="D1037" s="27" t="s">
        <v>1721</v>
      </c>
      <c r="E1037" s="27" t="s">
        <v>2889</v>
      </c>
      <c r="F1037" s="27" t="str">
        <f t="shared" si="0"/>
        <v>Temporal Latin Origin</v>
      </c>
      <c r="G1037" s="27">
        <f t="shared" si="1"/>
        <v>7</v>
      </c>
      <c r="H1037" s="27" t="s">
        <v>3914</v>
      </c>
      <c r="I1037" s="27"/>
      <c r="J1037" s="27"/>
      <c r="K1037" s="27"/>
      <c r="L1037" s="27" t="str">
        <f t="shared" si="2"/>
        <v>M</v>
      </c>
      <c r="M1037" s="27" t="str">
        <f>IFERROR(__xludf.DUMMYFUNCTION("GOOGLETRANSLATE(C1037,""EN"",""KN"")"),"ಮಧ್ಯಸ್ಥಿಕೆ ವಹಿಸಿ")</f>
        <v>ಮಧ್ಯಸ್ಥಿಕೆ ವಹಿಸಿ</v>
      </c>
      <c r="N1037" s="27" t="str">
        <f t="array" ref="N1037">_xlfn.XLOOKUP(B1037,'Sets Progress'!I:I,'Sets Progress'!I:I,"NOT YET")</f>
        <v>NOT YET</v>
      </c>
      <c r="O1037" s="27" t="str">
        <f t="array" ref="O1037">_xlfn.XLOOKUP(L:L,'Overall Progress'!L:L,'Overall Progress'!L:L,"NOT YET")</f>
        <v>NOT YET</v>
      </c>
      <c r="P1037" s="27"/>
      <c r="Q1037" s="27"/>
      <c r="R1037" s="27"/>
      <c r="S1037" s="27"/>
      <c r="T1037" s="27"/>
      <c r="U1037" s="27"/>
      <c r="V1037" s="27"/>
      <c r="W1037" s="27"/>
      <c r="X1037" s="27"/>
      <c r="Y1037" s="27"/>
      <c r="Z1037" s="27"/>
    </row>
    <row r="1038" hidden="1" customHeight="1" spans="1:26">
      <c r="A1038" s="26">
        <v>986</v>
      </c>
      <c r="B1038" s="26">
        <v>66</v>
      </c>
      <c r="C1038" s="26" t="s">
        <v>1321</v>
      </c>
      <c r="D1038" s="26" t="s">
        <v>1721</v>
      </c>
      <c r="E1038" s="26" t="s">
        <v>2908</v>
      </c>
      <c r="F1038" s="26" t="str">
        <f t="shared" si="0"/>
        <v>Temporal Old English Origin</v>
      </c>
      <c r="G1038" s="26">
        <f t="shared" si="1"/>
        <v>10</v>
      </c>
      <c r="H1038" s="26" t="s">
        <v>3915</v>
      </c>
      <c r="I1038" s="26"/>
      <c r="J1038" s="26"/>
      <c r="K1038" s="26"/>
      <c r="L1038" s="26" t="str">
        <f t="shared" si="2"/>
        <v>O</v>
      </c>
      <c r="M1038" s="26" t="str">
        <f>IFERROR(__xludf.DUMMYFUNCTION("GOOGLETRANSLATE(C1038,""EN"",""KN"")"),"ಓಪನ್-ಎಂಡೆಡ್")</f>
        <v>ಓಪನ್-ಎಂಡೆಡ್</v>
      </c>
      <c r="N1038" s="26" t="str">
        <f t="array" ref="N1038">_xlfn.XLOOKUP(B1038,'Sets Progress'!I:I,'Sets Progress'!I:I,"NOT YET")</f>
        <v>NOT YET</v>
      </c>
      <c r="O1038" s="26" t="str">
        <f t="array" ref="O1038">_xlfn.XLOOKUP(L:L,'Overall Progress'!L:L,'Overall Progress'!L:L,"NOT YET")</f>
        <v>NOT YET</v>
      </c>
      <c r="P1038" s="26"/>
      <c r="Q1038" s="26"/>
      <c r="R1038" s="26"/>
      <c r="S1038" s="26"/>
      <c r="T1038" s="26"/>
      <c r="U1038" s="26"/>
      <c r="V1038" s="26"/>
      <c r="W1038" s="26"/>
      <c r="X1038" s="26"/>
      <c r="Y1038" s="26"/>
      <c r="Z1038" s="26"/>
    </row>
    <row r="1039" hidden="1" customHeight="1" spans="1:26">
      <c r="A1039" s="27">
        <v>1179</v>
      </c>
      <c r="B1039" s="27">
        <v>66</v>
      </c>
      <c r="C1039" s="27" t="s">
        <v>1510</v>
      </c>
      <c r="D1039" s="27" t="s">
        <v>2717</v>
      </c>
      <c r="E1039" s="27" t="s">
        <v>2889</v>
      </c>
      <c r="F1039" s="27" t="str">
        <f t="shared" si="0"/>
        <v>Positive Traits Latin Origin</v>
      </c>
      <c r="G1039" s="27">
        <f t="shared" si="1"/>
        <v>9</v>
      </c>
      <c r="H1039" s="27" t="s">
        <v>3916</v>
      </c>
      <c r="I1039" s="27"/>
      <c r="J1039" s="27"/>
      <c r="K1039" s="27"/>
      <c r="L1039" s="27" t="str">
        <f t="shared" si="2"/>
        <v>R</v>
      </c>
      <c r="M1039" s="27" t="str">
        <f>IFERROR(__xludf.DUMMYFUNCTION("GOOGLETRANSLATE(C1039,""EN"",""KN"")"),"ಮರುಪರಿಶೀಲಿಸಿ")</f>
        <v>ಮರುಪರಿಶೀಲಿಸಿ</v>
      </c>
      <c r="N1039" s="27" t="str">
        <f t="array" ref="N1039">_xlfn.XLOOKUP(B1039,'Sets Progress'!I:I,'Sets Progress'!I:I,"NOT YET")</f>
        <v>NOT YET</v>
      </c>
      <c r="O1039" s="27" t="str">
        <f t="array" ref="O1039">_xlfn.XLOOKUP(L:L,'Overall Progress'!L:L,'Overall Progress'!L:L,"NOT YET")</f>
        <v>NOT YET</v>
      </c>
      <c r="P1039" s="27"/>
      <c r="Q1039" s="27"/>
      <c r="R1039" s="27"/>
      <c r="S1039" s="27"/>
      <c r="T1039" s="27"/>
      <c r="U1039" s="27"/>
      <c r="V1039" s="27"/>
      <c r="W1039" s="27"/>
      <c r="X1039" s="27"/>
      <c r="Y1039" s="27"/>
      <c r="Z1039" s="27"/>
    </row>
    <row r="1040" customHeight="1" spans="1:26">
      <c r="A1040" s="26">
        <v>1205</v>
      </c>
      <c r="B1040" s="26">
        <v>66</v>
      </c>
      <c r="C1040" s="26" t="s">
        <v>1536</v>
      </c>
      <c r="D1040" s="26" t="s">
        <v>1721</v>
      </c>
      <c r="E1040" s="26" t="s">
        <v>2896</v>
      </c>
      <c r="F1040" s="26" t="str">
        <f t="shared" si="0"/>
        <v>Temporal Old French Origin</v>
      </c>
      <c r="G1040" s="26">
        <f t="shared" si="1"/>
        <v>6</v>
      </c>
      <c r="H1040" s="26"/>
      <c r="I1040" s="26"/>
      <c r="J1040" s="26"/>
      <c r="K1040" s="26"/>
      <c r="L1040" s="26" t="str">
        <f t="shared" si="2"/>
        <v>R</v>
      </c>
      <c r="M1040" s="26" t="str">
        <f>IFERROR(__xludf.DUMMYFUNCTION("GOOGLETRANSLATE(C1040,""EN"",""KN"")"),"ರೆನೆಜ್")</f>
        <v>ರೆನೆಜ್</v>
      </c>
      <c r="N1040" s="26" t="str">
        <f t="array" ref="N1040">_xlfn.XLOOKUP(B1040,'Sets Progress'!I:I,'Sets Progress'!I:I,"NOT YET")</f>
        <v>NOT YET</v>
      </c>
      <c r="O1040" s="26" t="str">
        <f t="array" ref="O1040">_xlfn.XLOOKUP(L:L,'Overall Progress'!L:L,'Overall Progress'!L:L,"NOT YET")</f>
        <v>NOT YET</v>
      </c>
      <c r="P1040" s="26"/>
      <c r="Q1040" s="26"/>
      <c r="R1040" s="26"/>
      <c r="S1040" s="26"/>
      <c r="T1040" s="26"/>
      <c r="U1040" s="26"/>
      <c r="V1040" s="26"/>
      <c r="W1040" s="26"/>
      <c r="X1040" s="26"/>
      <c r="Y1040" s="26"/>
      <c r="Z1040" s="26"/>
    </row>
    <row r="1041" hidden="1" customHeight="1" spans="1:26">
      <c r="A1041" s="27">
        <v>1483</v>
      </c>
      <c r="B1041" s="27">
        <v>66</v>
      </c>
      <c r="C1041" s="27" t="s">
        <v>1811</v>
      </c>
      <c r="D1041" s="27" t="s">
        <v>1721</v>
      </c>
      <c r="E1041" s="27" t="s">
        <v>2908</v>
      </c>
      <c r="F1041" s="27" t="str">
        <f t="shared" si="0"/>
        <v>Temporal Old English Origin</v>
      </c>
      <c r="G1041" s="27">
        <f t="shared" si="1"/>
        <v>8</v>
      </c>
      <c r="H1041" s="27" t="s">
        <v>3917</v>
      </c>
      <c r="I1041" s="27"/>
      <c r="J1041" s="27"/>
      <c r="K1041" s="27"/>
      <c r="L1041" s="27" t="str">
        <f t="shared" si="2"/>
        <v>U</v>
      </c>
      <c r="M1041" s="27" t="str">
        <f>IFERROR(__xludf.DUMMYFUNCTION("GOOGLETRANSLATE(C1041,""EN"",""KN"")"),"ಟ್ಯಾಪ್ ಮಾಡದ")</f>
        <v>ಟ್ಯಾಪ್ ಮಾಡದ</v>
      </c>
      <c r="N1041" s="27" t="str">
        <f t="array" ref="N1041">_xlfn.XLOOKUP(B1041,'Sets Progress'!I:I,'Sets Progress'!I:I,"NOT YET")</f>
        <v>NOT YET</v>
      </c>
      <c r="O1041" s="27" t="str">
        <f t="array" ref="O1041">_xlfn.XLOOKUP(L:L,'Overall Progress'!L:L,'Overall Progress'!L:L,"NOT YET")</f>
        <v>NOT YET</v>
      </c>
      <c r="P1041" s="27"/>
      <c r="Q1041" s="27"/>
      <c r="R1041" s="27"/>
      <c r="S1041" s="27"/>
      <c r="T1041" s="27"/>
      <c r="U1041" s="27"/>
      <c r="V1041" s="27"/>
      <c r="W1041" s="27"/>
      <c r="X1041" s="27"/>
      <c r="Y1041" s="27"/>
      <c r="Z1041" s="27"/>
    </row>
    <row r="1042" hidden="1" customHeight="1" spans="1:26">
      <c r="A1042" s="26">
        <v>1501</v>
      </c>
      <c r="B1042" s="26">
        <v>66</v>
      </c>
      <c r="C1042" s="26" t="s">
        <v>1829</v>
      </c>
      <c r="D1042" s="26" t="s">
        <v>1721</v>
      </c>
      <c r="E1042" s="26" t="s">
        <v>2896</v>
      </c>
      <c r="F1042" s="26" t="str">
        <f t="shared" si="0"/>
        <v>Temporal Old French Origin</v>
      </c>
      <c r="G1042" s="26">
        <f t="shared" si="1"/>
        <v>9</v>
      </c>
      <c r="H1042" s="26" t="s">
        <v>3918</v>
      </c>
      <c r="I1042" s="26"/>
      <c r="J1042" s="26"/>
      <c r="K1042" s="26"/>
      <c r="L1042" s="26" t="str">
        <f t="shared" si="2"/>
        <v>V</v>
      </c>
      <c r="M1042" s="26" t="str">
        <f>IFERROR(__xludf.DUMMYFUNCTION("GOOGLETRANSLATE(C1042,""EN"",""KN"")"),"ವಾಸ್ತವಿಕ")</f>
        <v>ವಾಸ್ತವಿಕ</v>
      </c>
      <c r="N1042" s="26" t="str">
        <f t="array" ref="N1042">_xlfn.XLOOKUP(B1042,'Sets Progress'!I:I,'Sets Progress'!I:I,"NOT YET")</f>
        <v>NOT YET</v>
      </c>
      <c r="O1042" s="26" t="str">
        <f t="array" ref="O1042">_xlfn.XLOOKUP(L:L,'Overall Progress'!L:L,'Overall Progress'!L:L,"NOT YET")</f>
        <v>NOT YET</v>
      </c>
      <c r="P1042" s="26"/>
      <c r="Q1042" s="26"/>
      <c r="R1042" s="26"/>
      <c r="S1042" s="26"/>
      <c r="T1042" s="26"/>
      <c r="U1042" s="26"/>
      <c r="V1042" s="26"/>
      <c r="W1042" s="26"/>
      <c r="X1042" s="26"/>
      <c r="Y1042" s="26"/>
      <c r="Z1042" s="26"/>
    </row>
    <row r="1043" hidden="1" customHeight="1" spans="1:26">
      <c r="A1043" s="27">
        <v>20</v>
      </c>
      <c r="B1043" s="27">
        <v>67</v>
      </c>
      <c r="C1043" s="27" t="s">
        <v>46</v>
      </c>
      <c r="D1043" s="27" t="s">
        <v>1638</v>
      </c>
      <c r="E1043" s="27" t="s">
        <v>2889</v>
      </c>
      <c r="F1043" s="27" t="str">
        <f t="shared" si="0"/>
        <v>Sound Latin Origin</v>
      </c>
      <c r="G1043" s="27">
        <f t="shared" si="1"/>
        <v>10</v>
      </c>
      <c r="H1043" s="27" t="s">
        <v>3919</v>
      </c>
      <c r="I1043" s="27"/>
      <c r="J1043" s="27"/>
      <c r="K1043" s="27"/>
      <c r="L1043" s="27" t="str">
        <f t="shared" si="2"/>
        <v>A</v>
      </c>
      <c r="M1043" s="27" t="str">
        <f>IFERROR(__xludf.DUMMYFUNCTION("GOOGLETRANSLATE(C1043,""EN"",""KN"")"),"ಒತ್ತು ನೀಡಿ")</f>
        <v>ಒತ್ತು ನೀಡಿ</v>
      </c>
      <c r="N1043" s="27">
        <f t="array" ref="N1043">_xlfn.XLOOKUP(B1043,'Sets Progress'!I:I,'Sets Progress'!I:I,"NOT YET")</f>
        <v>67</v>
      </c>
      <c r="O1043" s="27" t="str">
        <f t="array" ref="O1043">_xlfn.XLOOKUP(L:L,'Overall Progress'!L:L,'Overall Progress'!L:L,"NOT YET")</f>
        <v>NOT YET</v>
      </c>
      <c r="P1043" s="27"/>
      <c r="Q1043" s="27"/>
      <c r="R1043" s="27"/>
      <c r="S1043" s="27"/>
      <c r="T1043" s="27"/>
      <c r="U1043" s="27"/>
      <c r="V1043" s="27"/>
      <c r="W1043" s="27"/>
      <c r="X1043" s="27"/>
      <c r="Y1043" s="27"/>
      <c r="Z1043" s="27"/>
    </row>
    <row r="1044" hidden="1" customHeight="1" spans="1:26">
      <c r="A1044" s="26">
        <v>32</v>
      </c>
      <c r="B1044" s="26">
        <v>67</v>
      </c>
      <c r="C1044" s="26" t="s">
        <v>334</v>
      </c>
      <c r="D1044" s="26" t="s">
        <v>2898</v>
      </c>
      <c r="E1044" s="26" t="s">
        <v>2889</v>
      </c>
      <c r="F1044" s="26" t="str">
        <f t="shared" si="0"/>
        <v>Physical Sensation Latin Origin</v>
      </c>
      <c r="G1044" s="26">
        <f t="shared" si="1"/>
        <v>5</v>
      </c>
      <c r="H1044" s="26" t="s">
        <v>3920</v>
      </c>
      <c r="I1044" s="26"/>
      <c r="J1044" s="26"/>
      <c r="K1044" s="26"/>
      <c r="L1044" s="26" t="str">
        <f t="shared" si="2"/>
        <v>A</v>
      </c>
      <c r="M1044" s="26" t="str">
        <f>IFERROR(__xludf.DUMMYFUNCTION("GOOGLETRANSLATE(C1044,""EN"",""KN"")"),"ತೀವ್ರ")</f>
        <v>ತೀವ್ರ</v>
      </c>
      <c r="N1044" s="26">
        <f t="array" ref="N1044">_xlfn.XLOOKUP(B1044,'Sets Progress'!I:I,'Sets Progress'!I:I,"NOT YET")</f>
        <v>67</v>
      </c>
      <c r="O1044" s="26" t="str">
        <f t="array" ref="O1044">_xlfn.XLOOKUP(L:L,'Overall Progress'!L:L,'Overall Progress'!L:L,"NOT YET")</f>
        <v>NOT YET</v>
      </c>
      <c r="P1044" s="26"/>
      <c r="Q1044" s="26"/>
      <c r="R1044" s="26"/>
      <c r="S1044" s="26"/>
      <c r="T1044" s="26"/>
      <c r="U1044" s="26"/>
      <c r="V1044" s="26"/>
      <c r="W1044" s="26"/>
      <c r="X1044" s="26"/>
      <c r="Y1044" s="26"/>
      <c r="Z1044" s="26"/>
    </row>
    <row r="1045" hidden="1" customHeight="1" spans="1:26">
      <c r="A1045" s="27">
        <v>112</v>
      </c>
      <c r="B1045" s="27">
        <v>67</v>
      </c>
      <c r="C1045" s="27" t="s">
        <v>462</v>
      </c>
      <c r="D1045" s="27" t="s">
        <v>2928</v>
      </c>
      <c r="E1045" s="27" t="s">
        <v>2889</v>
      </c>
      <c r="F1045" s="27" t="str">
        <f t="shared" si="0"/>
        <v>Philosophical Latin Origin</v>
      </c>
      <c r="G1045" s="27">
        <f t="shared" si="1"/>
        <v>7</v>
      </c>
      <c r="H1045" s="27" t="s">
        <v>3921</v>
      </c>
      <c r="I1045" s="27"/>
      <c r="J1045" s="27"/>
      <c r="K1045" s="27"/>
      <c r="L1045" s="27" t="str">
        <f t="shared" si="2"/>
        <v>A</v>
      </c>
      <c r="M1045" s="27" t="str">
        <f>IFERROR(__xludf.DUMMYFUNCTION("GOOGLETRANSLATE(C1045,""EN"",""KN"")"),"ಆಪಾದಿಸಿ")</f>
        <v>ಆಪಾದಿಸಿ</v>
      </c>
      <c r="N1045" s="27">
        <f t="array" ref="N1045">_xlfn.XLOOKUP(B1045,'Sets Progress'!I:I,'Sets Progress'!I:I,"NOT YET")</f>
        <v>67</v>
      </c>
      <c r="O1045" s="27" t="str">
        <f t="array" ref="O1045">_xlfn.XLOOKUP(L:L,'Overall Progress'!L:L,'Overall Progress'!L:L,"NOT YET")</f>
        <v>NOT YET</v>
      </c>
      <c r="P1045" s="27"/>
      <c r="Q1045" s="27"/>
      <c r="R1045" s="27"/>
      <c r="S1045" s="27"/>
      <c r="T1045" s="27"/>
      <c r="U1045" s="27"/>
      <c r="V1045" s="27"/>
      <c r="W1045" s="27"/>
      <c r="X1045" s="27"/>
      <c r="Y1045" s="27"/>
      <c r="Z1045" s="27"/>
    </row>
    <row r="1046" hidden="1" customHeight="1" spans="1:26">
      <c r="A1046" s="26">
        <v>116</v>
      </c>
      <c r="B1046" s="26">
        <v>67</v>
      </c>
      <c r="C1046" s="26" t="s">
        <v>466</v>
      </c>
      <c r="D1046" s="26" t="s">
        <v>2717</v>
      </c>
      <c r="E1046" s="26" t="s">
        <v>2889</v>
      </c>
      <c r="F1046" s="26" t="str">
        <f t="shared" si="0"/>
        <v>Positive Traits Latin Origin</v>
      </c>
      <c r="G1046" s="26">
        <f t="shared" si="1"/>
        <v>9</v>
      </c>
      <c r="H1046" s="26" t="s">
        <v>3922</v>
      </c>
      <c r="I1046" s="26"/>
      <c r="J1046" s="26"/>
      <c r="K1046" s="26"/>
      <c r="L1046" s="26" t="str">
        <f t="shared" si="2"/>
        <v>A</v>
      </c>
      <c r="M1046" s="26" t="str">
        <f>IFERROR(__xludf.DUMMYFUNCTION("GOOGLETRANSLATE(C1046,""EN"",""KN"")"),"ಪರಿಶ್ರಮಿ")</f>
        <v>ಪರಿಶ್ರಮಿ</v>
      </c>
      <c r="N1046" s="26">
        <f t="array" ref="N1046">_xlfn.XLOOKUP(B1046,'Sets Progress'!I:I,'Sets Progress'!I:I,"NOT YET")</f>
        <v>67</v>
      </c>
      <c r="O1046" s="26" t="str">
        <f t="array" ref="O1046">_xlfn.XLOOKUP(L:L,'Overall Progress'!L:L,'Overall Progress'!L:L,"NOT YET")</f>
        <v>NOT YET</v>
      </c>
      <c r="P1046" s="26"/>
      <c r="Q1046" s="26"/>
      <c r="R1046" s="26"/>
      <c r="S1046" s="26"/>
      <c r="T1046" s="26"/>
      <c r="U1046" s="26"/>
      <c r="V1046" s="26"/>
      <c r="W1046" s="26"/>
      <c r="X1046" s="26"/>
      <c r="Y1046" s="26"/>
      <c r="Z1046" s="26"/>
    </row>
    <row r="1047" hidden="1" customHeight="1" spans="1:26">
      <c r="A1047" s="27">
        <v>239</v>
      </c>
      <c r="B1047" s="27">
        <v>67</v>
      </c>
      <c r="C1047" s="27" t="s">
        <v>590</v>
      </c>
      <c r="D1047" s="27" t="s">
        <v>1638</v>
      </c>
      <c r="E1047" s="27" t="s">
        <v>2889</v>
      </c>
      <c r="F1047" s="27" t="str">
        <f t="shared" si="0"/>
        <v>Sound Latin Origin</v>
      </c>
      <c r="G1047" s="27">
        <f t="shared" si="1"/>
        <v>7</v>
      </c>
      <c r="H1047" s="27" t="s">
        <v>3923</v>
      </c>
      <c r="I1047" s="27"/>
      <c r="J1047" s="27"/>
      <c r="K1047" s="27"/>
      <c r="L1047" s="27" t="str">
        <f t="shared" si="2"/>
        <v>C</v>
      </c>
      <c r="M1047" s="27" t="str">
        <f>IFERROR(__xludf.DUMMYFUNCTION("GOOGLETRANSLATE(C1047,""EN"",""KN"")"),"ಕ್ಲಾಂಗರ್")</f>
        <v>ಕ್ಲಾಂಗರ್</v>
      </c>
      <c r="N1047" s="27">
        <f t="array" ref="N1047">_xlfn.XLOOKUP(B1047,'Sets Progress'!I:I,'Sets Progress'!I:I,"NOT YET")</f>
        <v>67</v>
      </c>
      <c r="O1047" s="27" t="str">
        <f t="array" ref="O1047">_xlfn.XLOOKUP(L:L,'Overall Progress'!L:L,'Overall Progress'!L:L,"NOT YET")</f>
        <v>NOT YET</v>
      </c>
      <c r="P1047" s="27"/>
      <c r="Q1047" s="27"/>
      <c r="R1047" s="27"/>
      <c r="S1047" s="27"/>
      <c r="T1047" s="27"/>
      <c r="U1047" s="27"/>
      <c r="V1047" s="27"/>
      <c r="W1047" s="27"/>
      <c r="X1047" s="27"/>
      <c r="Y1047" s="27"/>
      <c r="Z1047" s="27"/>
    </row>
    <row r="1048" hidden="1" customHeight="1" spans="1:26">
      <c r="A1048" s="26">
        <v>328</v>
      </c>
      <c r="B1048" s="26">
        <v>67</v>
      </c>
      <c r="C1048" s="26" t="s">
        <v>678</v>
      </c>
      <c r="D1048" s="26" t="s">
        <v>2928</v>
      </c>
      <c r="E1048" s="26" t="s">
        <v>2889</v>
      </c>
      <c r="F1048" s="26" t="str">
        <f t="shared" si="0"/>
        <v>Philosophical Latin Origin</v>
      </c>
      <c r="G1048" s="26">
        <f t="shared" si="1"/>
        <v>8</v>
      </c>
      <c r="H1048" s="26" t="s">
        <v>3924</v>
      </c>
      <c r="I1048" s="26"/>
      <c r="J1048" s="26"/>
      <c r="K1048" s="26"/>
      <c r="L1048" s="26" t="str">
        <f t="shared" si="2"/>
        <v>C</v>
      </c>
      <c r="M1048" s="26" t="str">
        <f>IFERROR(__xludf.DUMMYFUNCTION("GOOGLETRANSLATE(C1048,""EN"",""KN"")"),"ನಂಬಲರ್ಹ")</f>
        <v>ನಂಬಲರ್ಹ</v>
      </c>
      <c r="N1048" s="26">
        <f t="array" ref="N1048">_xlfn.XLOOKUP(B1048,'Sets Progress'!I:I,'Sets Progress'!I:I,"NOT YET")</f>
        <v>67</v>
      </c>
      <c r="O1048" s="26" t="str">
        <f t="array" ref="O1048">_xlfn.XLOOKUP(L:L,'Overall Progress'!L:L,'Overall Progress'!L:L,"NOT YET")</f>
        <v>NOT YET</v>
      </c>
      <c r="P1048" s="26"/>
      <c r="Q1048" s="26"/>
      <c r="R1048" s="26"/>
      <c r="S1048" s="26"/>
      <c r="T1048" s="26"/>
      <c r="U1048" s="26"/>
      <c r="V1048" s="26"/>
      <c r="W1048" s="26"/>
      <c r="X1048" s="26"/>
      <c r="Y1048" s="26"/>
      <c r="Z1048" s="26"/>
    </row>
    <row r="1049" hidden="1" customHeight="1" spans="1:26">
      <c r="A1049" s="27">
        <v>415</v>
      </c>
      <c r="B1049" s="27">
        <v>67</v>
      </c>
      <c r="C1049" s="27" t="s">
        <v>764</v>
      </c>
      <c r="D1049" s="27" t="s">
        <v>2716</v>
      </c>
      <c r="E1049" s="27" t="s">
        <v>2889</v>
      </c>
      <c r="F1049" s="27" t="str">
        <f t="shared" si="0"/>
        <v>Negative Traits Latin Origin</v>
      </c>
      <c r="G1049" s="27">
        <f t="shared" si="1"/>
        <v>9</v>
      </c>
      <c r="H1049" s="27" t="s">
        <v>3925</v>
      </c>
      <c r="I1049" s="27"/>
      <c r="J1049" s="27"/>
      <c r="K1049" s="27"/>
      <c r="L1049" s="27" t="str">
        <f t="shared" si="2"/>
        <v>D</v>
      </c>
      <c r="M1049" s="27" t="str">
        <f>IFERROR(__xludf.DUMMYFUNCTION("GOOGLETRANSLATE(C1049,""EN"",""KN"")"),"ಅಪಖ್ಯಾತಿ")</f>
        <v>ಅಪಖ್ಯಾತಿ</v>
      </c>
      <c r="N1049" s="27">
        <f t="array" ref="N1049">_xlfn.XLOOKUP(B1049,'Sets Progress'!I:I,'Sets Progress'!I:I,"NOT YET")</f>
        <v>67</v>
      </c>
      <c r="O1049" s="27" t="str">
        <f t="array" ref="O1049">_xlfn.XLOOKUP(L:L,'Overall Progress'!L:L,'Overall Progress'!L:L,"NOT YET")</f>
        <v>NOT YET</v>
      </c>
      <c r="P1049" s="27"/>
      <c r="Q1049" s="27"/>
      <c r="R1049" s="27"/>
      <c r="S1049" s="27"/>
      <c r="T1049" s="27"/>
      <c r="U1049" s="27"/>
      <c r="V1049" s="27"/>
      <c r="W1049" s="27"/>
      <c r="X1049" s="27"/>
      <c r="Y1049" s="27"/>
      <c r="Z1049" s="27"/>
    </row>
    <row r="1050" hidden="1" customHeight="1" spans="1:26">
      <c r="A1050" s="26">
        <v>591</v>
      </c>
      <c r="B1050" s="26">
        <v>67</v>
      </c>
      <c r="C1050" s="26" t="s">
        <v>935</v>
      </c>
      <c r="D1050" s="26" t="s">
        <v>2898</v>
      </c>
      <c r="E1050" s="26" t="s">
        <v>2908</v>
      </c>
      <c r="F1050" s="26" t="str">
        <f t="shared" si="0"/>
        <v>Physical Sensation Old English Origin</v>
      </c>
      <c r="G1050" s="26">
        <f t="shared" si="1"/>
        <v>6</v>
      </c>
      <c r="H1050" s="26" t="s">
        <v>3926</v>
      </c>
      <c r="I1050" s="26"/>
      <c r="J1050" s="26"/>
      <c r="K1050" s="26"/>
      <c r="L1050" s="26" t="str">
        <f t="shared" si="2"/>
        <v>F</v>
      </c>
      <c r="M1050" s="26" t="str">
        <f>IFERROR(__xludf.DUMMYFUNCTION("GOOGLETRANSLATE(C1050,""EN"",""KN"")"),"ದುರ್ಬಲ")</f>
        <v>ದುರ್ಬಲ</v>
      </c>
      <c r="N1050" s="26">
        <f t="array" ref="N1050">_xlfn.XLOOKUP(B1050,'Sets Progress'!I:I,'Sets Progress'!I:I,"NOT YET")</f>
        <v>67</v>
      </c>
      <c r="O1050" s="26" t="str">
        <f t="array" ref="O1050">_xlfn.XLOOKUP(L:L,'Overall Progress'!L:L,'Overall Progress'!L:L,"NOT YET")</f>
        <v>NOT YET</v>
      </c>
      <c r="P1050" s="26"/>
      <c r="Q1050" s="26"/>
      <c r="R1050" s="26"/>
      <c r="S1050" s="26"/>
      <c r="T1050" s="26"/>
      <c r="U1050" s="26"/>
      <c r="V1050" s="26"/>
      <c r="W1050" s="26"/>
      <c r="X1050" s="26"/>
      <c r="Y1050" s="26"/>
      <c r="Z1050" s="26"/>
    </row>
    <row r="1051" hidden="1" customHeight="1" spans="1:26">
      <c r="A1051" s="27">
        <v>652</v>
      </c>
      <c r="B1051" s="27">
        <v>67</v>
      </c>
      <c r="C1051" s="27" t="s">
        <v>995</v>
      </c>
      <c r="D1051" s="27" t="s">
        <v>1721</v>
      </c>
      <c r="E1051" s="27" t="s">
        <v>2889</v>
      </c>
      <c r="F1051" s="27" t="str">
        <f t="shared" si="0"/>
        <v>Temporal Latin Origin</v>
      </c>
      <c r="G1051" s="27">
        <f t="shared" si="1"/>
        <v>7</v>
      </c>
      <c r="H1051" s="27" t="s">
        <v>3927</v>
      </c>
      <c r="I1051" s="27"/>
      <c r="J1051" s="27"/>
      <c r="K1051" s="27"/>
      <c r="L1051" s="27" t="str">
        <f t="shared" si="2"/>
        <v>G</v>
      </c>
      <c r="M1051" s="27" t="str">
        <f>IFERROR(__xludf.DUMMYFUNCTION("GOOGLETRANSLATE(C1051,""EN"",""KN"")"),"ಜರ್ಮನಿ")</f>
        <v>ಜರ್ಮನಿ</v>
      </c>
      <c r="N1051" s="27">
        <f t="array" ref="N1051">_xlfn.XLOOKUP(B1051,'Sets Progress'!I:I,'Sets Progress'!I:I,"NOT YET")</f>
        <v>67</v>
      </c>
      <c r="O1051" s="27" t="str">
        <f t="array" ref="O1051">_xlfn.XLOOKUP(L:L,'Overall Progress'!L:L,'Overall Progress'!L:L,"NOT YET")</f>
        <v>NOT YET</v>
      </c>
      <c r="P1051" s="27"/>
      <c r="Q1051" s="27"/>
      <c r="R1051" s="27"/>
      <c r="S1051" s="27"/>
      <c r="T1051" s="27"/>
      <c r="U1051" s="27"/>
      <c r="V1051" s="27"/>
      <c r="W1051" s="27"/>
      <c r="X1051" s="27"/>
      <c r="Y1051" s="27"/>
      <c r="Z1051" s="27"/>
    </row>
    <row r="1052" hidden="1" customHeight="1" spans="1:26">
      <c r="A1052" s="26">
        <v>788</v>
      </c>
      <c r="B1052" s="26">
        <v>67</v>
      </c>
      <c r="C1052" s="26" t="s">
        <v>1129</v>
      </c>
      <c r="D1052" s="26" t="s">
        <v>1721</v>
      </c>
      <c r="E1052" s="26" t="s">
        <v>2889</v>
      </c>
      <c r="F1052" s="26" t="str">
        <f t="shared" si="0"/>
        <v>Temporal Latin Origin</v>
      </c>
      <c r="G1052" s="26">
        <f t="shared" si="1"/>
        <v>11</v>
      </c>
      <c r="H1052" s="26" t="s">
        <v>3928</v>
      </c>
      <c r="I1052" s="26"/>
      <c r="J1052" s="26"/>
      <c r="K1052" s="26"/>
      <c r="L1052" s="26" t="str">
        <f t="shared" si="2"/>
        <v>I</v>
      </c>
      <c r="M1052" s="26" t="str">
        <f>IFERROR(__xludf.DUMMYFUNCTION("GOOGLETRANSLATE(C1052,""EN"",""KN"")"),"ಜಿಜ್ಞಾಸೆ")</f>
        <v>ಜಿಜ್ಞಾಸೆ</v>
      </c>
      <c r="N1052" s="26">
        <f t="array" ref="N1052">_xlfn.XLOOKUP(B1052,'Sets Progress'!I:I,'Sets Progress'!I:I,"NOT YET")</f>
        <v>67</v>
      </c>
      <c r="O1052" s="26" t="str">
        <f t="array" ref="O1052">_xlfn.XLOOKUP(L:L,'Overall Progress'!L:L,'Overall Progress'!L:L,"NOT YET")</f>
        <v>NOT YET</v>
      </c>
      <c r="P1052" s="26"/>
      <c r="Q1052" s="26"/>
      <c r="R1052" s="26"/>
      <c r="S1052" s="26"/>
      <c r="T1052" s="26"/>
      <c r="U1052" s="26"/>
      <c r="V1052" s="26"/>
      <c r="W1052" s="26"/>
      <c r="X1052" s="26"/>
      <c r="Y1052" s="26"/>
      <c r="Z1052" s="26"/>
    </row>
    <row r="1053" hidden="1" customHeight="1" spans="1:26">
      <c r="A1053" s="27">
        <v>856</v>
      </c>
      <c r="B1053" s="27">
        <v>67</v>
      </c>
      <c r="C1053" s="27" t="s">
        <v>1196</v>
      </c>
      <c r="D1053" s="27" t="s">
        <v>2716</v>
      </c>
      <c r="E1053" s="27" t="s">
        <v>2889</v>
      </c>
      <c r="F1053" s="27" t="str">
        <f t="shared" si="0"/>
        <v>Negative Traits Latin Origin</v>
      </c>
      <c r="G1053" s="27">
        <f t="shared" si="1"/>
        <v>3</v>
      </c>
      <c r="H1053" s="27" t="s">
        <v>3929</v>
      </c>
      <c r="I1053" s="27"/>
      <c r="J1053" s="27"/>
      <c r="K1053" s="27"/>
      <c r="L1053" s="27" t="str">
        <f t="shared" si="2"/>
        <v>L</v>
      </c>
      <c r="M1053" s="27" t="str">
        <f>IFERROR(__xludf.DUMMYFUNCTION("GOOGLETRANSLATE(C1053,""EN"",""KN"")"),"ಲ್ಯಾಕ್ಸ್")</f>
        <v>ಲ್ಯಾಕ್ಸ್</v>
      </c>
      <c r="N1053" s="27">
        <f t="array" ref="N1053">_xlfn.XLOOKUP(B1053,'Sets Progress'!I:I,'Sets Progress'!I:I,"NOT YET")</f>
        <v>67</v>
      </c>
      <c r="O1053" s="27" t="str">
        <f t="array" ref="O1053">_xlfn.XLOOKUP(L:L,'Overall Progress'!L:L,'Overall Progress'!L:L,"NOT YET")</f>
        <v>NOT YET</v>
      </c>
      <c r="P1053" s="27"/>
      <c r="Q1053" s="27"/>
      <c r="R1053" s="27"/>
      <c r="S1053" s="27"/>
      <c r="T1053" s="27"/>
      <c r="U1053" s="27"/>
      <c r="V1053" s="27"/>
      <c r="W1053" s="27"/>
      <c r="X1053" s="27"/>
      <c r="Y1053" s="27"/>
      <c r="Z1053" s="27"/>
    </row>
    <row r="1054" hidden="1" customHeight="1" spans="1:26">
      <c r="A1054" s="26">
        <v>1081</v>
      </c>
      <c r="B1054" s="26">
        <v>67</v>
      </c>
      <c r="C1054" s="26" t="s">
        <v>1416</v>
      </c>
      <c r="D1054" s="26" t="s">
        <v>1721</v>
      </c>
      <c r="E1054" s="26" t="s">
        <v>2893</v>
      </c>
      <c r="F1054" s="26" t="str">
        <f t="shared" si="0"/>
        <v>Temporal Greek Origin</v>
      </c>
      <c r="G1054" s="26">
        <f t="shared" si="1"/>
        <v>8</v>
      </c>
      <c r="H1054" s="26" t="s">
        <v>3930</v>
      </c>
      <c r="I1054" s="26"/>
      <c r="J1054" s="26"/>
      <c r="K1054" s="26"/>
      <c r="L1054" s="26" t="str">
        <f t="shared" si="2"/>
        <v>P</v>
      </c>
      <c r="M1054" s="26" t="str">
        <f>IFERROR(__xludf.DUMMYFUNCTION("GOOGLETRANSLATE(C1054,""EN"",""KN"")"),"ಧ್ರುವೀಕರಿಸು")</f>
        <v>ಧ್ರುವೀಕರಿಸು</v>
      </c>
      <c r="N1054" s="26">
        <f t="array" ref="N1054">_xlfn.XLOOKUP(B1054,'Sets Progress'!I:I,'Sets Progress'!I:I,"NOT YET")</f>
        <v>67</v>
      </c>
      <c r="O1054" s="26" t="str">
        <f t="array" ref="O1054">_xlfn.XLOOKUP(L:L,'Overall Progress'!L:L,'Overall Progress'!L:L,"NOT YET")</f>
        <v>NOT YET</v>
      </c>
      <c r="P1054" s="26"/>
      <c r="Q1054" s="26"/>
      <c r="R1054" s="26"/>
      <c r="S1054" s="26"/>
      <c r="T1054" s="26"/>
      <c r="U1054" s="26"/>
      <c r="V1054" s="26"/>
      <c r="W1054" s="26"/>
      <c r="X1054" s="26"/>
      <c r="Y1054" s="26"/>
      <c r="Z1054" s="26"/>
    </row>
    <row r="1055" hidden="1" customHeight="1" spans="1:26">
      <c r="A1055" s="27">
        <v>1235</v>
      </c>
      <c r="B1055" s="27">
        <v>67</v>
      </c>
      <c r="C1055" s="27" t="s">
        <v>1566</v>
      </c>
      <c r="D1055" s="27" t="s">
        <v>2717</v>
      </c>
      <c r="E1055" s="27" t="s">
        <v>2889</v>
      </c>
      <c r="F1055" s="27" t="str">
        <f t="shared" si="0"/>
        <v>Positive Traits Latin Origin</v>
      </c>
      <c r="G1055" s="27">
        <f t="shared" si="1"/>
        <v>7</v>
      </c>
      <c r="H1055" s="27" t="s">
        <v>3931</v>
      </c>
      <c r="I1055" s="27"/>
      <c r="J1055" s="27"/>
      <c r="K1055" s="27"/>
      <c r="L1055" s="27" t="str">
        <f t="shared" si="2"/>
        <v>R</v>
      </c>
      <c r="M1055" s="27" t="str">
        <f>IFERROR(__xludf.DUMMYFUNCTION("GOOGLETRANSLATE(C1055,""EN"",""KN"")"),"ರಿಸಿಬಲ್")</f>
        <v>ರಿಸಿಬಲ್</v>
      </c>
      <c r="N1055" s="27">
        <f t="array" ref="N1055">_xlfn.XLOOKUP(B1055,'Sets Progress'!I:I,'Sets Progress'!I:I,"NOT YET")</f>
        <v>67</v>
      </c>
      <c r="O1055" s="27" t="str">
        <f t="array" ref="O1055">_xlfn.XLOOKUP(L:L,'Overall Progress'!L:L,'Overall Progress'!L:L,"NOT YET")</f>
        <v>NOT YET</v>
      </c>
      <c r="P1055" s="27"/>
      <c r="Q1055" s="27"/>
      <c r="R1055" s="27"/>
      <c r="S1055" s="27"/>
      <c r="T1055" s="27"/>
      <c r="U1055" s="27"/>
      <c r="V1055" s="27"/>
      <c r="W1055" s="27"/>
      <c r="X1055" s="27"/>
      <c r="Y1055" s="27"/>
      <c r="Z1055" s="27"/>
    </row>
    <row r="1056" hidden="1" customHeight="1" spans="1:26">
      <c r="A1056" s="26">
        <v>1271</v>
      </c>
      <c r="B1056" s="26">
        <v>67</v>
      </c>
      <c r="C1056" s="26" t="s">
        <v>1602</v>
      </c>
      <c r="D1056" s="26" t="s">
        <v>2717</v>
      </c>
      <c r="E1056" s="26" t="s">
        <v>2889</v>
      </c>
      <c r="F1056" s="26" t="str">
        <f t="shared" si="0"/>
        <v>Positive Traits Latin Origin</v>
      </c>
      <c r="G1056" s="26">
        <f t="shared" si="1"/>
        <v>6</v>
      </c>
      <c r="H1056" s="26" t="s">
        <v>3932</v>
      </c>
      <c r="I1056" s="26"/>
      <c r="J1056" s="26"/>
      <c r="K1056" s="26"/>
      <c r="L1056" s="26" t="str">
        <f t="shared" si="2"/>
        <v>S</v>
      </c>
      <c r="M1056" s="26" t="str">
        <f>IFERROR(__xludf.DUMMYFUNCTION("GOOGLETRANSLATE(C1056,""EN"",""KN"")"),"ಪ್ರಶಾಂತ")</f>
        <v>ಪ್ರಶಾಂತ</v>
      </c>
      <c r="N1056" s="26">
        <f t="array" ref="N1056">_xlfn.XLOOKUP(B1056,'Sets Progress'!I:I,'Sets Progress'!I:I,"NOT YET")</f>
        <v>67</v>
      </c>
      <c r="O1056" s="26" t="str">
        <f t="array" ref="O1056">_xlfn.XLOOKUP(L:L,'Overall Progress'!L:L,'Overall Progress'!L:L,"NOT YET")</f>
        <v>NOT YET</v>
      </c>
      <c r="P1056" s="26"/>
      <c r="Q1056" s="26"/>
      <c r="R1056" s="26"/>
      <c r="S1056" s="26"/>
      <c r="T1056" s="26"/>
      <c r="U1056" s="26"/>
      <c r="V1056" s="26"/>
      <c r="W1056" s="26"/>
      <c r="X1056" s="26"/>
      <c r="Y1056" s="26"/>
      <c r="Z1056" s="26"/>
    </row>
    <row r="1057" hidden="1" customHeight="1" spans="1:26">
      <c r="A1057" s="27">
        <v>1324</v>
      </c>
      <c r="B1057" s="27">
        <v>67</v>
      </c>
      <c r="C1057" s="27" t="s">
        <v>1655</v>
      </c>
      <c r="D1057" s="27" t="s">
        <v>2716</v>
      </c>
      <c r="E1057" s="27" t="s">
        <v>2908</v>
      </c>
      <c r="F1057" s="27" t="str">
        <f t="shared" si="0"/>
        <v>Negative Traits Old English Origin</v>
      </c>
      <c r="G1057" s="27">
        <f t="shared" si="1"/>
        <v>10</v>
      </c>
      <c r="H1057" s="27" t="s">
        <v>3933</v>
      </c>
      <c r="I1057" s="27"/>
      <c r="J1057" s="27"/>
      <c r="K1057" s="27"/>
      <c r="L1057" s="27" t="str">
        <f t="shared" si="2"/>
        <v>S</v>
      </c>
      <c r="M1057" s="27" t="str">
        <f>IFERROR(__xludf.DUMMYFUNCTION("GOOGLETRANSLATE(C1057,""EN"",""KN"")"),"ಹಸಿವು")</f>
        <v>ಹಸಿವು</v>
      </c>
      <c r="N1057" s="27">
        <f t="array" ref="N1057">_xlfn.XLOOKUP(B1057,'Sets Progress'!I:I,'Sets Progress'!I:I,"NOT YET")</f>
        <v>67</v>
      </c>
      <c r="O1057" s="27" t="str">
        <f t="array" ref="O1057">_xlfn.XLOOKUP(L:L,'Overall Progress'!L:L,'Overall Progress'!L:L,"NOT YET")</f>
        <v>NOT YET</v>
      </c>
      <c r="P1057" s="27"/>
      <c r="Q1057" s="27"/>
      <c r="R1057" s="27"/>
      <c r="S1057" s="27"/>
      <c r="T1057" s="27"/>
      <c r="U1057" s="27"/>
      <c r="V1057" s="27"/>
      <c r="W1057" s="27"/>
      <c r="X1057" s="27"/>
      <c r="Y1057" s="27"/>
      <c r="Z1057" s="27"/>
    </row>
    <row r="1058" hidden="1" customHeight="1" spans="1:26">
      <c r="A1058" s="26">
        <v>1480</v>
      </c>
      <c r="B1058" s="26">
        <v>67</v>
      </c>
      <c r="C1058" s="26" t="s">
        <v>1808</v>
      </c>
      <c r="D1058" s="26" t="s">
        <v>2716</v>
      </c>
      <c r="E1058" s="26" t="s">
        <v>2908</v>
      </c>
      <c r="F1058" s="26" t="str">
        <f t="shared" si="0"/>
        <v>Negative Traits Old English Origin</v>
      </c>
      <c r="G1058" s="26">
        <f t="shared" si="1"/>
        <v>8</v>
      </c>
      <c r="H1058" s="26" t="s">
        <v>3934</v>
      </c>
      <c r="I1058" s="26"/>
      <c r="J1058" s="26"/>
      <c r="K1058" s="26"/>
      <c r="L1058" s="26" t="str">
        <f t="shared" si="2"/>
        <v>U</v>
      </c>
      <c r="M1058" s="26" t="str">
        <f>IFERROR(__xludf.DUMMYFUNCTION("GOOGLETRANSLATE(C1058,""EN"",""KN"")"),"ಅನಪೇಕ್ಷಿತ")</f>
        <v>ಅನಪೇಕ್ಷಿತ</v>
      </c>
      <c r="N1058" s="26">
        <f t="array" ref="N1058">_xlfn.XLOOKUP(B1058,'Sets Progress'!I:I,'Sets Progress'!I:I,"NOT YET")</f>
        <v>67</v>
      </c>
      <c r="O1058" s="26" t="str">
        <f t="array" ref="O1058">_xlfn.XLOOKUP(L:L,'Overall Progress'!L:L,'Overall Progress'!L:L,"NOT YET")</f>
        <v>NOT YET</v>
      </c>
      <c r="P1058" s="26"/>
      <c r="Q1058" s="26"/>
      <c r="R1058" s="26"/>
      <c r="S1058" s="26"/>
      <c r="T1058" s="26"/>
      <c r="U1058" s="26"/>
      <c r="V1058" s="26"/>
      <c r="W1058" s="26"/>
      <c r="X1058" s="26"/>
      <c r="Y1058" s="26"/>
      <c r="Z1058" s="26"/>
    </row>
    <row r="1059" hidden="1" customHeight="1" spans="1:26">
      <c r="A1059" s="27">
        <v>127</v>
      </c>
      <c r="B1059" s="27">
        <v>68</v>
      </c>
      <c r="C1059" s="27" t="s">
        <v>476</v>
      </c>
      <c r="D1059" s="27" t="s">
        <v>2717</v>
      </c>
      <c r="E1059" s="27" t="s">
        <v>2889</v>
      </c>
      <c r="F1059" s="27" t="str">
        <f t="shared" si="0"/>
        <v>Positive Traits Latin Origin</v>
      </c>
      <c r="G1059" s="27">
        <f t="shared" si="1"/>
        <v>8</v>
      </c>
      <c r="H1059" s="27" t="s">
        <v>3935</v>
      </c>
      <c r="I1059" s="27"/>
      <c r="J1059" s="27"/>
      <c r="K1059" s="27"/>
      <c r="L1059" s="27" t="str">
        <f t="shared" si="2"/>
        <v>A</v>
      </c>
      <c r="M1059" s="27" t="str">
        <f>IFERROR(__xludf.DUMMYFUNCTION("GOOGLETRANSLATE(C1059,""EN"",""KN"")"),"ದಿಟ್ಟತನ")</f>
        <v>ದಿಟ್ಟತನ</v>
      </c>
      <c r="N1059" s="27" t="str">
        <f t="array" ref="N1059">_xlfn.XLOOKUP(B1059,'Sets Progress'!I:I,'Sets Progress'!I:I,"NOT YET")</f>
        <v>NOT YET</v>
      </c>
      <c r="O1059" s="27" t="str">
        <f t="array" ref="O1059">_xlfn.XLOOKUP(L:L,'Overall Progress'!L:L,'Overall Progress'!L:L,"NOT YET")</f>
        <v>NOT YET</v>
      </c>
      <c r="P1059" s="27"/>
      <c r="Q1059" s="27"/>
      <c r="R1059" s="27"/>
      <c r="S1059" s="27"/>
      <c r="T1059" s="27"/>
      <c r="U1059" s="27"/>
      <c r="V1059" s="27"/>
      <c r="W1059" s="27"/>
      <c r="X1059" s="27"/>
      <c r="Y1059" s="27"/>
      <c r="Z1059" s="27"/>
    </row>
    <row r="1060" hidden="1" customHeight="1" spans="1:26">
      <c r="A1060" s="26">
        <v>212</v>
      </c>
      <c r="B1060" s="26">
        <v>68</v>
      </c>
      <c r="C1060" s="26" t="s">
        <v>561</v>
      </c>
      <c r="D1060" s="26" t="s">
        <v>1721</v>
      </c>
      <c r="E1060" s="26" t="s">
        <v>2893</v>
      </c>
      <c r="F1060" s="26" t="str">
        <f t="shared" si="0"/>
        <v>Temporal Greek Origin</v>
      </c>
      <c r="G1060" s="26">
        <f t="shared" si="1"/>
        <v>11</v>
      </c>
      <c r="H1060" s="26" t="s">
        <v>3936</v>
      </c>
      <c r="I1060" s="26"/>
      <c r="J1060" s="26"/>
      <c r="K1060" s="26"/>
      <c r="L1060" s="26" t="str">
        <f t="shared" si="2"/>
        <v>C</v>
      </c>
      <c r="M1060" s="26" t="str">
        <f>IFERROR(__xludf.DUMMYFUNCTION("GOOGLETRANSLATE(C1060,""EN"",""KN"")"),"ಪ್ರಳಯಕಾರಿ")</f>
        <v>ಪ್ರಳಯಕಾರಿ</v>
      </c>
      <c r="N1060" s="26" t="str">
        <f t="array" ref="N1060">_xlfn.XLOOKUP(B1060,'Sets Progress'!I:I,'Sets Progress'!I:I,"NOT YET")</f>
        <v>NOT YET</v>
      </c>
      <c r="O1060" s="26" t="str">
        <f t="array" ref="O1060">_xlfn.XLOOKUP(L:L,'Overall Progress'!L:L,'Overall Progress'!L:L,"NOT YET")</f>
        <v>NOT YET</v>
      </c>
      <c r="P1060" s="26"/>
      <c r="Q1060" s="26"/>
      <c r="R1060" s="26"/>
      <c r="S1060" s="26"/>
      <c r="T1060" s="26"/>
      <c r="U1060" s="26"/>
      <c r="V1060" s="26"/>
      <c r="W1060" s="26"/>
      <c r="X1060" s="26"/>
      <c r="Y1060" s="26"/>
      <c r="Z1060" s="26"/>
    </row>
    <row r="1061" hidden="1" customHeight="1" spans="1:26">
      <c r="A1061" s="27">
        <v>338</v>
      </c>
      <c r="B1061" s="27">
        <v>68</v>
      </c>
      <c r="C1061" s="27" t="s">
        <v>688</v>
      </c>
      <c r="D1061" s="27" t="s">
        <v>2716</v>
      </c>
      <c r="E1061" s="27" t="s">
        <v>2911</v>
      </c>
      <c r="F1061" s="27" t="str">
        <f t="shared" si="0"/>
        <v>Negative Traits French Origin</v>
      </c>
      <c r="G1061" s="27">
        <f t="shared" si="1"/>
        <v>10</v>
      </c>
      <c r="H1061" s="27" t="s">
        <v>3937</v>
      </c>
      <c r="I1061" s="27"/>
      <c r="J1061" s="27"/>
      <c r="K1061" s="27"/>
      <c r="L1061" s="27" t="str">
        <f t="shared" si="2"/>
        <v>C</v>
      </c>
      <c r="M1061" s="27" t="str">
        <f>IFERROR(__xludf.DUMMYFUNCTION("GOOGLETRANSLATE(C1061,""EN"",""KN"")"),"ಕರ್ಮುಡ್ಜನ್")</f>
        <v>ಕರ್ಮುಡ್ಜನ್</v>
      </c>
      <c r="N1061" s="27" t="str">
        <f t="array" ref="N1061">_xlfn.XLOOKUP(B1061,'Sets Progress'!I:I,'Sets Progress'!I:I,"NOT YET")</f>
        <v>NOT YET</v>
      </c>
      <c r="O1061" s="27" t="str">
        <f t="array" ref="O1061">_xlfn.XLOOKUP(L:L,'Overall Progress'!L:L,'Overall Progress'!L:L,"NOT YET")</f>
        <v>NOT YET</v>
      </c>
      <c r="P1061" s="27"/>
      <c r="Q1061" s="27"/>
      <c r="R1061" s="27"/>
      <c r="S1061" s="27"/>
      <c r="T1061" s="27"/>
      <c r="U1061" s="27"/>
      <c r="V1061" s="27"/>
      <c r="W1061" s="27"/>
      <c r="X1061" s="27"/>
      <c r="Y1061" s="27"/>
      <c r="Z1061" s="27"/>
    </row>
    <row r="1062" hidden="1" customHeight="1" spans="1:26">
      <c r="A1062" s="26">
        <v>445</v>
      </c>
      <c r="B1062" s="26">
        <v>68</v>
      </c>
      <c r="C1062" s="26" t="s">
        <v>794</v>
      </c>
      <c r="D1062" s="26" t="s">
        <v>2946</v>
      </c>
      <c r="E1062" s="26" t="s">
        <v>2896</v>
      </c>
      <c r="F1062" s="26" t="str">
        <f t="shared" si="0"/>
        <v>Emotional Old French Origin</v>
      </c>
      <c r="G1062" s="26">
        <f t="shared" si="1"/>
        <v>10</v>
      </c>
      <c r="H1062" s="26" t="s">
        <v>3938</v>
      </c>
      <c r="I1062" s="26"/>
      <c r="J1062" s="26"/>
      <c r="K1062" s="26"/>
      <c r="L1062" s="26" t="str">
        <f t="shared" si="2"/>
        <v>D</v>
      </c>
      <c r="M1062" s="26" t="str">
        <f>IFERROR(__xludf.DUMMYFUNCTION("GOOGLETRANSLATE(C1062,""EN"",""KN"")"),"ಸಂಕಟಪಡುತ್ತಾರೆ")</f>
        <v>ಸಂಕಟಪಡುತ್ತಾರೆ</v>
      </c>
      <c r="N1062" s="26" t="str">
        <f t="array" ref="N1062">_xlfn.XLOOKUP(B1062,'Sets Progress'!I:I,'Sets Progress'!I:I,"NOT YET")</f>
        <v>NOT YET</v>
      </c>
      <c r="O1062" s="26" t="str">
        <f t="array" ref="O1062">_xlfn.XLOOKUP(L:L,'Overall Progress'!L:L,'Overall Progress'!L:L,"NOT YET")</f>
        <v>NOT YET</v>
      </c>
      <c r="P1062" s="26"/>
      <c r="Q1062" s="26"/>
      <c r="R1062" s="26"/>
      <c r="S1062" s="26"/>
      <c r="T1062" s="26"/>
      <c r="U1062" s="26"/>
      <c r="V1062" s="26"/>
      <c r="W1062" s="26"/>
      <c r="X1062" s="26"/>
      <c r="Y1062" s="26"/>
      <c r="Z1062" s="26"/>
    </row>
    <row r="1063" hidden="1" customHeight="1" spans="1:26">
      <c r="A1063" s="27">
        <v>457</v>
      </c>
      <c r="B1063" s="27">
        <v>68</v>
      </c>
      <c r="C1063" s="27" t="s">
        <v>806</v>
      </c>
      <c r="D1063" s="27" t="s">
        <v>2716</v>
      </c>
      <c r="E1063" s="27" t="s">
        <v>2889</v>
      </c>
      <c r="F1063" s="27" t="str">
        <f t="shared" si="0"/>
        <v>Negative Traits Latin Origin</v>
      </c>
      <c r="G1063" s="27">
        <f t="shared" si="1"/>
        <v>7</v>
      </c>
      <c r="H1063" s="27" t="s">
        <v>3939</v>
      </c>
      <c r="I1063" s="27"/>
      <c r="J1063" s="27"/>
      <c r="K1063" s="27"/>
      <c r="L1063" s="27" t="str">
        <f t="shared" si="2"/>
        <v>D</v>
      </c>
      <c r="M1063" s="27" t="str">
        <f>IFERROR(__xludf.DUMMYFUNCTION("GOOGLETRANSLATE(C1063,""EN"",""KN"")"),"ಸಂಶಯಾಸ್ಪದ")</f>
        <v>ಸಂಶಯಾಸ್ಪದ</v>
      </c>
      <c r="N1063" s="27" t="str">
        <f t="array" ref="N1063">_xlfn.XLOOKUP(B1063,'Sets Progress'!I:I,'Sets Progress'!I:I,"NOT YET")</f>
        <v>NOT YET</v>
      </c>
      <c r="O1063" s="27" t="str">
        <f t="array" ref="O1063">_xlfn.XLOOKUP(L:L,'Overall Progress'!L:L,'Overall Progress'!L:L,"NOT YET")</f>
        <v>NOT YET</v>
      </c>
      <c r="P1063" s="27"/>
      <c r="Q1063" s="27"/>
      <c r="R1063" s="27"/>
      <c r="S1063" s="27"/>
      <c r="T1063" s="27"/>
      <c r="U1063" s="27"/>
      <c r="V1063" s="27"/>
      <c r="W1063" s="27"/>
      <c r="X1063" s="27"/>
      <c r="Y1063" s="27"/>
      <c r="Z1063" s="27"/>
    </row>
    <row r="1064" customHeight="1" spans="1:26">
      <c r="A1064" s="26">
        <v>710</v>
      </c>
      <c r="B1064" s="26">
        <v>68</v>
      </c>
      <c r="C1064" s="26" t="s">
        <v>1052</v>
      </c>
      <c r="D1064" s="26" t="s">
        <v>1721</v>
      </c>
      <c r="E1064" s="26" t="s">
        <v>3019</v>
      </c>
      <c r="F1064" s="26" t="str">
        <f t="shared" si="0"/>
        <v>Temporal Italian Origin</v>
      </c>
      <c r="G1064" s="26">
        <f t="shared" si="1"/>
        <v>9</v>
      </c>
      <c r="H1064" s="26"/>
      <c r="I1064" s="26"/>
      <c r="J1064" s="26"/>
      <c r="K1064" s="26"/>
      <c r="L1064" s="26" t="str">
        <f t="shared" si="2"/>
        <v>I</v>
      </c>
      <c r="M1064" s="26" t="str">
        <f>IFERROR(__xludf.DUMMYFUNCTION("GOOGLETRANSLATE(C1064,""EN"",""KN"")"),"ಇಂಬ್ರೊಗ್ಲಿಯೊ")</f>
        <v>ಇಂಬ್ರೊಗ್ಲಿಯೊ</v>
      </c>
      <c r="N1064" s="26" t="str">
        <f t="array" ref="N1064">_xlfn.XLOOKUP(B1064,'Sets Progress'!I:I,'Sets Progress'!I:I,"NOT YET")</f>
        <v>NOT YET</v>
      </c>
      <c r="O1064" s="26" t="str">
        <f t="array" ref="O1064">_xlfn.XLOOKUP(L:L,'Overall Progress'!L:L,'Overall Progress'!L:L,"NOT YET")</f>
        <v>NOT YET</v>
      </c>
      <c r="P1064" s="26"/>
      <c r="Q1064" s="26"/>
      <c r="R1064" s="26"/>
      <c r="S1064" s="26"/>
      <c r="T1064" s="26"/>
      <c r="U1064" s="26"/>
      <c r="V1064" s="26"/>
      <c r="W1064" s="26"/>
      <c r="X1064" s="26"/>
      <c r="Y1064" s="26"/>
      <c r="Z1064" s="26"/>
    </row>
    <row r="1065" hidden="1" customHeight="1" spans="1:26">
      <c r="A1065" s="27">
        <v>781</v>
      </c>
      <c r="B1065" s="27">
        <v>68</v>
      </c>
      <c r="C1065" s="27" t="s">
        <v>1122</v>
      </c>
      <c r="D1065" s="27" t="s">
        <v>2717</v>
      </c>
      <c r="E1065" s="27" t="s">
        <v>2889</v>
      </c>
      <c r="F1065" s="27" t="str">
        <f t="shared" si="0"/>
        <v>Positive Traits Latin Origin</v>
      </c>
      <c r="G1065" s="27">
        <f t="shared" si="1"/>
        <v>9</v>
      </c>
      <c r="H1065" s="27" t="s">
        <v>3940</v>
      </c>
      <c r="I1065" s="27"/>
      <c r="J1065" s="27"/>
      <c r="K1065" s="27"/>
      <c r="L1065" s="27" t="str">
        <f t="shared" si="2"/>
        <v>I</v>
      </c>
      <c r="M1065" s="27" t="str">
        <f>IFERROR(__xludf.DUMMYFUNCTION("GOOGLETRANSLATE(C1065,""EN"",""KN"")"),"ಚತುರ")</f>
        <v>ಚತುರ</v>
      </c>
      <c r="N1065" s="27" t="str">
        <f t="array" ref="N1065">_xlfn.XLOOKUP(B1065,'Sets Progress'!I:I,'Sets Progress'!I:I,"NOT YET")</f>
        <v>NOT YET</v>
      </c>
      <c r="O1065" s="27" t="str">
        <f t="array" ref="O1065">_xlfn.XLOOKUP(L:L,'Overall Progress'!L:L,'Overall Progress'!L:L,"NOT YET")</f>
        <v>NOT YET</v>
      </c>
      <c r="P1065" s="27"/>
      <c r="Q1065" s="27"/>
      <c r="R1065" s="27"/>
      <c r="S1065" s="27"/>
      <c r="T1065" s="27"/>
      <c r="U1065" s="27"/>
      <c r="V1065" s="27"/>
      <c r="W1065" s="27"/>
      <c r="X1065" s="27"/>
      <c r="Y1065" s="27"/>
      <c r="Z1065" s="27"/>
    </row>
    <row r="1066" hidden="1" customHeight="1" spans="1:26">
      <c r="A1066" s="26">
        <v>1068</v>
      </c>
      <c r="B1066" s="26">
        <v>68</v>
      </c>
      <c r="C1066" s="26" t="s">
        <v>1403</v>
      </c>
      <c r="D1066" s="26" t="s">
        <v>1721</v>
      </c>
      <c r="E1066" s="26" t="s">
        <v>2911</v>
      </c>
      <c r="F1066" s="26" t="str">
        <f t="shared" si="0"/>
        <v>Temporal French Origin</v>
      </c>
      <c r="G1066" s="26">
        <f t="shared" si="1"/>
        <v>7</v>
      </c>
      <c r="H1066" s="26" t="s">
        <v>3941</v>
      </c>
      <c r="I1066" s="26"/>
      <c r="J1066" s="26"/>
      <c r="K1066" s="26"/>
      <c r="L1066" s="26" t="str">
        <f t="shared" si="2"/>
        <v>P</v>
      </c>
      <c r="M1066" s="26" t="str">
        <f>IFERROR(__xludf.DUMMYFUNCTION("GOOGLETRANSLATE(C1066,""EN"",""KN"")"),"ಪ್ರಮುಖ")</f>
        <v>ಪ್ರಮುಖ</v>
      </c>
      <c r="N1066" s="26" t="str">
        <f t="array" ref="N1066">_xlfn.XLOOKUP(B1066,'Sets Progress'!I:I,'Sets Progress'!I:I,"NOT YET")</f>
        <v>NOT YET</v>
      </c>
      <c r="O1066" s="26" t="str">
        <f t="array" ref="O1066">_xlfn.XLOOKUP(L:L,'Overall Progress'!L:L,'Overall Progress'!L:L,"NOT YET")</f>
        <v>NOT YET</v>
      </c>
      <c r="P1066" s="26"/>
      <c r="Q1066" s="26"/>
      <c r="R1066" s="26"/>
      <c r="S1066" s="26"/>
      <c r="T1066" s="26"/>
      <c r="U1066" s="26"/>
      <c r="V1066" s="26"/>
      <c r="W1066" s="26"/>
      <c r="X1066" s="26"/>
      <c r="Y1066" s="26"/>
      <c r="Z1066" s="26"/>
    </row>
    <row r="1067" hidden="1" customHeight="1" spans="1:26">
      <c r="A1067" s="27">
        <v>1314</v>
      </c>
      <c r="B1067" s="27">
        <v>68</v>
      </c>
      <c r="C1067" s="27" t="s">
        <v>1645</v>
      </c>
      <c r="D1067" s="27" t="s">
        <v>2716</v>
      </c>
      <c r="E1067" s="27" t="s">
        <v>2921</v>
      </c>
      <c r="F1067" s="27" t="str">
        <f t="shared" si="0"/>
        <v>Negative Traits Unknown Origin</v>
      </c>
      <c r="G1067" s="27">
        <f t="shared" si="1"/>
        <v>11</v>
      </c>
      <c r="H1067" s="27" t="s">
        <v>3942</v>
      </c>
      <c r="I1067" s="27"/>
      <c r="J1067" s="27"/>
      <c r="K1067" s="27"/>
      <c r="L1067" s="27" t="str">
        <f t="shared" si="2"/>
        <v>S</v>
      </c>
      <c r="M1067" s="27" t="str">
        <f>IFERROR(__xludf.DUMMYFUNCTION("GOOGLETRANSLATE(C1067,""EN"",""KN"")"),"ಖರ್ಚು ಮಿತವ್ಯಯ")</f>
        <v>ಖರ್ಚು ಮಿತವ್ಯಯ</v>
      </c>
      <c r="N1067" s="27" t="str">
        <f t="array" ref="N1067">_xlfn.XLOOKUP(B1067,'Sets Progress'!I:I,'Sets Progress'!I:I,"NOT YET")</f>
        <v>NOT YET</v>
      </c>
      <c r="O1067" s="27" t="str">
        <f t="array" ref="O1067">_xlfn.XLOOKUP(L:L,'Overall Progress'!L:L,'Overall Progress'!L:L,"NOT YET")</f>
        <v>NOT YET</v>
      </c>
      <c r="P1067" s="27"/>
      <c r="Q1067" s="27"/>
      <c r="R1067" s="27"/>
      <c r="S1067" s="27"/>
      <c r="T1067" s="27"/>
      <c r="U1067" s="27"/>
      <c r="V1067" s="27"/>
      <c r="W1067" s="27"/>
      <c r="X1067" s="27"/>
      <c r="Y1067" s="27"/>
      <c r="Z1067" s="27"/>
    </row>
    <row r="1068" hidden="1" customHeight="1" spans="1:26">
      <c r="A1068" s="26">
        <v>1352</v>
      </c>
      <c r="B1068" s="26">
        <v>68</v>
      </c>
      <c r="C1068" s="26" t="s">
        <v>1683</v>
      </c>
      <c r="D1068" s="26" t="s">
        <v>1721</v>
      </c>
      <c r="E1068" s="26" t="s">
        <v>2889</v>
      </c>
      <c r="F1068" s="26" t="str">
        <f t="shared" si="0"/>
        <v>Temporal Latin Origin</v>
      </c>
      <c r="G1068" s="26">
        <f t="shared" si="1"/>
        <v>9</v>
      </c>
      <c r="H1068" s="26" t="s">
        <v>3943</v>
      </c>
      <c r="I1068" s="26"/>
      <c r="J1068" s="26"/>
      <c r="K1068" s="26"/>
      <c r="L1068" s="26" t="str">
        <f t="shared" si="2"/>
        <v>S</v>
      </c>
      <c r="M1068" s="26" t="str">
        <f>IFERROR(__xludf.DUMMYFUNCTION("GOOGLETRANSLATE(C1068,""EN"",""KN"")"),"ಸೂಪರ್ಸೀಡ್")</f>
        <v>ಸೂಪರ್ಸೀಡ್</v>
      </c>
      <c r="N1068" s="26" t="str">
        <f t="array" ref="N1068">_xlfn.XLOOKUP(B1068,'Sets Progress'!I:I,'Sets Progress'!I:I,"NOT YET")</f>
        <v>NOT YET</v>
      </c>
      <c r="O1068" s="26" t="str">
        <f t="array" ref="O1068">_xlfn.XLOOKUP(L:L,'Overall Progress'!L:L,'Overall Progress'!L:L,"NOT YET")</f>
        <v>NOT YET</v>
      </c>
      <c r="P1068" s="26"/>
      <c r="Q1068" s="26"/>
      <c r="R1068" s="26"/>
      <c r="S1068" s="26"/>
      <c r="T1068" s="26"/>
      <c r="U1068" s="26"/>
      <c r="V1068" s="26"/>
      <c r="W1068" s="26"/>
      <c r="X1068" s="26"/>
      <c r="Y1068" s="26"/>
      <c r="Z1068" s="26"/>
    </row>
    <row r="1069" hidden="1" customHeight="1" spans="1:26">
      <c r="A1069" s="27">
        <v>1438</v>
      </c>
      <c r="B1069" s="27">
        <v>68</v>
      </c>
      <c r="C1069" s="27" t="s">
        <v>1766</v>
      </c>
      <c r="D1069" s="27" t="s">
        <v>2716</v>
      </c>
      <c r="E1069" s="27" t="s">
        <v>2908</v>
      </c>
      <c r="F1069" s="27" t="str">
        <f t="shared" si="0"/>
        <v>Negative Traits Old English Origin</v>
      </c>
      <c r="G1069" s="27">
        <f t="shared" si="1"/>
        <v>10</v>
      </c>
      <c r="H1069" s="27" t="s">
        <v>3944</v>
      </c>
      <c r="I1069" s="27"/>
      <c r="J1069" s="27"/>
      <c r="K1069" s="27"/>
      <c r="L1069" s="27" t="str">
        <f t="shared" si="2"/>
        <v>U</v>
      </c>
      <c r="M1069" s="27" t="str">
        <f>IFERROR(__xludf.DUMMYFUNCTION("GOOGLETRANSLATE(C1069,""EN"",""KN"")"),"ಪ್ರಭಾವಿತವಾಗಿಲ್ಲ")</f>
        <v>ಪ್ರಭಾವಿತವಾಗಿಲ್ಲ</v>
      </c>
      <c r="N1069" s="27" t="str">
        <f t="array" ref="N1069">_xlfn.XLOOKUP(B1069,'Sets Progress'!I:I,'Sets Progress'!I:I,"NOT YET")</f>
        <v>NOT YET</v>
      </c>
      <c r="O1069" s="27" t="str">
        <f t="array" ref="O1069">_xlfn.XLOOKUP(L:L,'Overall Progress'!L:L,'Overall Progress'!L:L,"NOT YET")</f>
        <v>NOT YET</v>
      </c>
      <c r="P1069" s="27"/>
      <c r="Q1069" s="27"/>
      <c r="R1069" s="27"/>
      <c r="S1069" s="27"/>
      <c r="T1069" s="27"/>
      <c r="U1069" s="27"/>
      <c r="V1069" s="27"/>
      <c r="W1069" s="27"/>
      <c r="X1069" s="27"/>
      <c r="Y1069" s="27"/>
      <c r="Z1069" s="27"/>
    </row>
    <row r="1070" hidden="1" customHeight="1" spans="1:26">
      <c r="A1070" s="26">
        <v>1442</v>
      </c>
      <c r="B1070" s="26">
        <v>68</v>
      </c>
      <c r="C1070" s="26" t="s">
        <v>1770</v>
      </c>
      <c r="D1070" s="26" t="s">
        <v>1721</v>
      </c>
      <c r="E1070" s="26" t="s">
        <v>2908</v>
      </c>
      <c r="F1070" s="26" t="str">
        <f t="shared" si="0"/>
        <v>Temporal Old English Origin</v>
      </c>
      <c r="G1070" s="26">
        <f t="shared" si="1"/>
        <v>12</v>
      </c>
      <c r="H1070" s="26" t="s">
        <v>3945</v>
      </c>
      <c r="I1070" s="26"/>
      <c r="J1070" s="26"/>
      <c r="K1070" s="26"/>
      <c r="L1070" s="26" t="str">
        <f t="shared" si="2"/>
        <v>U</v>
      </c>
      <c r="M1070" s="26" t="str">
        <f>IFERROR(__xludf.DUMMYFUNCTION("GOOGLETRANSLATE(C1070,""EN"",""KN"")"),"ಸಾಧಿಸಲಾಗದು")</f>
        <v>ಸಾಧಿಸಲಾಗದು</v>
      </c>
      <c r="N1070" s="26" t="str">
        <f t="array" ref="N1070">_xlfn.XLOOKUP(B1070,'Sets Progress'!I:I,'Sets Progress'!I:I,"NOT YET")</f>
        <v>NOT YET</v>
      </c>
      <c r="O1070" s="26" t="str">
        <f t="array" ref="O1070">_xlfn.XLOOKUP(L:L,'Overall Progress'!L:L,'Overall Progress'!L:L,"NOT YET")</f>
        <v>NOT YET</v>
      </c>
      <c r="P1070" s="26"/>
      <c r="Q1070" s="26"/>
      <c r="R1070" s="26"/>
      <c r="S1070" s="26"/>
      <c r="T1070" s="26"/>
      <c r="U1070" s="26"/>
      <c r="V1070" s="26"/>
      <c r="W1070" s="26"/>
      <c r="X1070" s="26"/>
      <c r="Y1070" s="26"/>
      <c r="Z1070" s="26"/>
    </row>
    <row r="1071" hidden="1" customHeight="1" spans="1:26">
      <c r="A1071" s="27">
        <v>1520</v>
      </c>
      <c r="B1071" s="27">
        <v>68</v>
      </c>
      <c r="C1071" s="27" t="s">
        <v>1848</v>
      </c>
      <c r="D1071" s="27" t="s">
        <v>2716</v>
      </c>
      <c r="E1071" s="27" t="s">
        <v>2889</v>
      </c>
      <c r="F1071" s="27" t="str">
        <f t="shared" si="0"/>
        <v>Negative Traits Latin Origin</v>
      </c>
      <c r="G1071" s="27">
        <f t="shared" si="1"/>
        <v>8</v>
      </c>
      <c r="H1071" s="27" t="s">
        <v>3946</v>
      </c>
      <c r="I1071" s="27"/>
      <c r="J1071" s="27"/>
      <c r="K1071" s="27"/>
      <c r="L1071" s="27" t="str">
        <f t="shared" si="2"/>
        <v>V</v>
      </c>
      <c r="M1071" s="27" t="str">
        <f>IFERROR(__xludf.DUMMYFUNCTION("GOOGLETRANSLATE(C1071,""EN"",""KN"")"),"ಬಾಷ್ಪಶೀಲ")</f>
        <v>ಬಾಷ್ಪಶೀಲ</v>
      </c>
      <c r="N1071" s="27" t="str">
        <f t="array" ref="N1071">_xlfn.XLOOKUP(B1071,'Sets Progress'!I:I,'Sets Progress'!I:I,"NOT YET")</f>
        <v>NOT YET</v>
      </c>
      <c r="O1071" s="27" t="str">
        <f t="array" ref="O1071">_xlfn.XLOOKUP(L:L,'Overall Progress'!L:L,'Overall Progress'!L:L,"NOT YET")</f>
        <v>NOT YET</v>
      </c>
      <c r="P1071" s="27"/>
      <c r="Q1071" s="27"/>
      <c r="R1071" s="27"/>
      <c r="S1071" s="27"/>
      <c r="T1071" s="27"/>
      <c r="U1071" s="27"/>
      <c r="V1071" s="27"/>
      <c r="W1071" s="27"/>
      <c r="X1071" s="27"/>
      <c r="Y1071" s="27"/>
      <c r="Z1071" s="27"/>
    </row>
    <row r="1072" hidden="1" customHeight="1" spans="1:26">
      <c r="A1072" s="26">
        <v>1534</v>
      </c>
      <c r="B1072" s="26">
        <v>68</v>
      </c>
      <c r="C1072" s="26" t="s">
        <v>1862</v>
      </c>
      <c r="D1072" s="26" t="s">
        <v>2716</v>
      </c>
      <c r="E1072" s="26" t="s">
        <v>2908</v>
      </c>
      <c r="F1072" s="26" t="str">
        <f t="shared" si="0"/>
        <v>Negative Traits Old English Origin</v>
      </c>
      <c r="G1072" s="26">
        <f t="shared" si="1"/>
        <v>4</v>
      </c>
      <c r="H1072" s="26" t="s">
        <v>3947</v>
      </c>
      <c r="I1072" s="26"/>
      <c r="J1072" s="26"/>
      <c r="K1072" s="26"/>
      <c r="L1072" s="26" t="str">
        <f t="shared" si="2"/>
        <v>W</v>
      </c>
      <c r="M1072" s="26" t="str">
        <f>IFERROR(__xludf.DUMMYFUNCTION("GOOGLETRANSLATE(C1072,""EN"",""KN"")"),"ವಿಲಿ")</f>
        <v>ವಿಲಿ</v>
      </c>
      <c r="N1072" s="26" t="str">
        <f t="array" ref="N1072">_xlfn.XLOOKUP(B1072,'Sets Progress'!I:I,'Sets Progress'!I:I,"NOT YET")</f>
        <v>NOT YET</v>
      </c>
      <c r="O1072" s="26" t="str">
        <f t="array" ref="O1072">_xlfn.XLOOKUP(L:L,'Overall Progress'!L:L,'Overall Progress'!L:L,"NOT YET")</f>
        <v>NOT YET</v>
      </c>
      <c r="P1072" s="26"/>
      <c r="Q1072" s="26"/>
      <c r="R1072" s="26"/>
      <c r="S1072" s="26"/>
      <c r="T1072" s="26"/>
      <c r="U1072" s="26"/>
      <c r="V1072" s="26"/>
      <c r="W1072" s="26"/>
      <c r="X1072" s="26"/>
      <c r="Y1072" s="26"/>
      <c r="Z1072" s="26"/>
    </row>
    <row r="1073" hidden="1" customHeight="1" spans="1:26">
      <c r="A1073" s="27">
        <v>18</v>
      </c>
      <c r="B1073" s="27">
        <v>69</v>
      </c>
      <c r="C1073" s="27" t="s">
        <v>384</v>
      </c>
      <c r="D1073" s="27" t="s">
        <v>2928</v>
      </c>
      <c r="E1073" s="27" t="s">
        <v>2889</v>
      </c>
      <c r="F1073" s="27" t="str">
        <f t="shared" si="0"/>
        <v>Philosophical Latin Origin</v>
      </c>
      <c r="G1073" s="27">
        <f t="shared" si="1"/>
        <v>11</v>
      </c>
      <c r="H1073" s="27" t="s">
        <v>3948</v>
      </c>
      <c r="I1073" s="27"/>
      <c r="J1073" s="27"/>
      <c r="K1073" s="27"/>
      <c r="L1073" s="27" t="str">
        <f t="shared" si="2"/>
        <v>A</v>
      </c>
      <c r="M1073" s="27" t="str">
        <f>IFERROR(__xludf.DUMMYFUNCTION("GOOGLETRANSLATE(C1073,""EN"",""KN"")"),"ಅಮೂರ್ತತೆ")</f>
        <v>ಅಮೂರ್ತತೆ</v>
      </c>
      <c r="N1073" s="27" t="str">
        <f t="array" ref="N1073">_xlfn.XLOOKUP(B1073,'Sets Progress'!I:I,'Sets Progress'!I:I,"NOT YET")</f>
        <v>NOT YET</v>
      </c>
      <c r="O1073" s="27" t="str">
        <f t="array" ref="O1073">_xlfn.XLOOKUP(L:L,'Overall Progress'!L:L,'Overall Progress'!L:L,"NOT YET")</f>
        <v>NOT YET</v>
      </c>
      <c r="P1073" s="27"/>
      <c r="Q1073" s="27"/>
      <c r="R1073" s="27"/>
      <c r="S1073" s="27"/>
      <c r="T1073" s="27"/>
      <c r="U1073" s="27"/>
      <c r="V1073" s="27"/>
      <c r="W1073" s="27"/>
      <c r="X1073" s="27"/>
      <c r="Y1073" s="27"/>
      <c r="Z1073" s="27"/>
    </row>
    <row r="1074" hidden="1" customHeight="1" spans="1:26">
      <c r="A1074" s="26">
        <v>155</v>
      </c>
      <c r="B1074" s="26">
        <v>69</v>
      </c>
      <c r="C1074" s="26" t="s">
        <v>504</v>
      </c>
      <c r="D1074" s="26" t="s">
        <v>2946</v>
      </c>
      <c r="E1074" s="26" t="s">
        <v>2908</v>
      </c>
      <c r="F1074" s="26" t="str">
        <f t="shared" si="0"/>
        <v>Emotional Old English Origin</v>
      </c>
      <c r="G1074" s="26">
        <f t="shared" si="1"/>
        <v>9</v>
      </c>
      <c r="H1074" s="26" t="s">
        <v>3949</v>
      </c>
      <c r="I1074" s="26"/>
      <c r="J1074" s="26"/>
      <c r="K1074" s="26"/>
      <c r="L1074" s="26" t="str">
        <f t="shared" si="2"/>
        <v>B</v>
      </c>
      <c r="M1074" s="26" t="str">
        <f>IFERROR(__xludf.DUMMYFUNCTION("GOOGLETRANSLATE(C1074,""EN"",""KN"")"),"ಗೊಂದಲಕ್ಕೊಳಗಾದ")</f>
        <v>ಗೊಂದಲಕ್ಕೊಳಗಾದ</v>
      </c>
      <c r="N1074" s="26" t="str">
        <f t="array" ref="N1074">_xlfn.XLOOKUP(B1074,'Sets Progress'!I:I,'Sets Progress'!I:I,"NOT YET")</f>
        <v>NOT YET</v>
      </c>
      <c r="O1074" s="26" t="str">
        <f t="array" ref="O1074">_xlfn.XLOOKUP(L:L,'Overall Progress'!L:L,'Overall Progress'!L:L,"NOT YET")</f>
        <v>NOT YET</v>
      </c>
      <c r="P1074" s="26"/>
      <c r="Q1074" s="26"/>
      <c r="R1074" s="26"/>
      <c r="S1074" s="26"/>
      <c r="T1074" s="26"/>
      <c r="U1074" s="26"/>
      <c r="V1074" s="26"/>
      <c r="W1074" s="26"/>
      <c r="X1074" s="26"/>
      <c r="Y1074" s="26"/>
      <c r="Z1074" s="26"/>
    </row>
    <row r="1075" hidden="1" customHeight="1" spans="1:26">
      <c r="A1075" s="27">
        <v>327</v>
      </c>
      <c r="B1075" s="27">
        <v>69</v>
      </c>
      <c r="C1075" s="27" t="s">
        <v>677</v>
      </c>
      <c r="D1075" s="27" t="s">
        <v>2716</v>
      </c>
      <c r="E1075" s="27" t="s">
        <v>2899</v>
      </c>
      <c r="F1075" s="27" t="str">
        <f t="shared" si="0"/>
        <v>Negative Traits Middle English Origin</v>
      </c>
      <c r="G1075" s="27">
        <f t="shared" si="1"/>
        <v>6</v>
      </c>
      <c r="H1075" s="27" t="s">
        <v>3950</v>
      </c>
      <c r="I1075" s="27"/>
      <c r="J1075" s="27"/>
      <c r="K1075" s="27"/>
      <c r="L1075" s="27" t="str">
        <f t="shared" si="2"/>
        <v>C</v>
      </c>
      <c r="M1075" s="27" t="str">
        <f>IFERROR(__xludf.DUMMYFUNCTION("GOOGLETRANSLATE(C1075,""EN"",""KN"")"),"ಕ್ರಾವೆನ್")</f>
        <v>ಕ್ರಾವೆನ್</v>
      </c>
      <c r="N1075" s="27" t="str">
        <f t="array" ref="N1075">_xlfn.XLOOKUP(B1075,'Sets Progress'!I:I,'Sets Progress'!I:I,"NOT YET")</f>
        <v>NOT YET</v>
      </c>
      <c r="O1075" s="27" t="str">
        <f t="array" ref="O1075">_xlfn.XLOOKUP(L:L,'Overall Progress'!L:L,'Overall Progress'!L:L,"NOT YET")</f>
        <v>NOT YET</v>
      </c>
      <c r="P1075" s="27"/>
      <c r="Q1075" s="27"/>
      <c r="R1075" s="27"/>
      <c r="S1075" s="27"/>
      <c r="T1075" s="27"/>
      <c r="U1075" s="27"/>
      <c r="V1075" s="27"/>
      <c r="W1075" s="27"/>
      <c r="X1075" s="27"/>
      <c r="Y1075" s="27"/>
      <c r="Z1075" s="27"/>
    </row>
    <row r="1076" hidden="1" customHeight="1" spans="1:26">
      <c r="A1076" s="26">
        <v>701</v>
      </c>
      <c r="B1076" s="26">
        <v>69</v>
      </c>
      <c r="C1076" s="26" t="s">
        <v>1043</v>
      </c>
      <c r="D1076" s="26" t="s">
        <v>2717</v>
      </c>
      <c r="E1076" s="26" t="s">
        <v>3951</v>
      </c>
      <c r="F1076" s="26" t="str">
        <f t="shared" si="0"/>
        <v>Positive Traits German Origin</v>
      </c>
      <c r="G1076" s="26">
        <f t="shared" si="1"/>
        <v>10</v>
      </c>
      <c r="H1076" s="26" t="s">
        <v>3952</v>
      </c>
      <c r="I1076" s="26"/>
      <c r="J1076" s="26"/>
      <c r="K1076" s="26"/>
      <c r="L1076" s="26" t="str">
        <f t="shared" si="2"/>
        <v>I</v>
      </c>
      <c r="M1076" s="26" t="str">
        <f>IFERROR(__xludf.DUMMYFUNCTION("GOOGLETRANSLATE(C1076,""EN"",""KN"")"),"ಆದರ್ಶವಾದಿ")</f>
        <v>ಆದರ್ಶವಾದಿ</v>
      </c>
      <c r="N1076" s="26" t="str">
        <f t="array" ref="N1076">_xlfn.XLOOKUP(B1076,'Sets Progress'!I:I,'Sets Progress'!I:I,"NOT YET")</f>
        <v>NOT YET</v>
      </c>
      <c r="O1076" s="26" t="str">
        <f t="array" ref="O1076">_xlfn.XLOOKUP(L:L,'Overall Progress'!L:L,'Overall Progress'!L:L,"NOT YET")</f>
        <v>NOT YET</v>
      </c>
      <c r="P1076" s="26"/>
      <c r="Q1076" s="26"/>
      <c r="R1076" s="26"/>
      <c r="S1076" s="26"/>
      <c r="T1076" s="26"/>
      <c r="U1076" s="26"/>
      <c r="V1076" s="26"/>
      <c r="W1076" s="26"/>
      <c r="X1076" s="26"/>
      <c r="Y1076" s="26"/>
      <c r="Z1076" s="26"/>
    </row>
    <row r="1077" hidden="1" customHeight="1" spans="1:26">
      <c r="A1077" s="27">
        <v>784</v>
      </c>
      <c r="B1077" s="27">
        <v>69</v>
      </c>
      <c r="C1077" s="27" t="s">
        <v>1125</v>
      </c>
      <c r="D1077" s="27" t="s">
        <v>1721</v>
      </c>
      <c r="E1077" s="27" t="s">
        <v>2889</v>
      </c>
      <c r="F1077" s="27" t="str">
        <f t="shared" si="0"/>
        <v>Temporal Latin Origin</v>
      </c>
      <c r="G1077" s="27">
        <f t="shared" si="1"/>
        <v>7</v>
      </c>
      <c r="H1077" s="27" t="s">
        <v>3953</v>
      </c>
      <c r="I1077" s="27"/>
      <c r="J1077" s="27"/>
      <c r="K1077" s="27"/>
      <c r="L1077" s="27" t="str">
        <f t="shared" si="2"/>
        <v>I</v>
      </c>
      <c r="M1077" s="27" t="str">
        <f>IFERROR(__xludf.DUMMYFUNCTION("GOOGLETRANSLATE(C1077,""EN"",""KN"")"),"ತಡೆಯಿರಿ")</f>
        <v>ತಡೆಯಿರಿ</v>
      </c>
      <c r="N1077" s="27" t="str">
        <f t="array" ref="N1077">_xlfn.XLOOKUP(B1077,'Sets Progress'!I:I,'Sets Progress'!I:I,"NOT YET")</f>
        <v>NOT YET</v>
      </c>
      <c r="O1077" s="27" t="str">
        <f t="array" ref="O1077">_xlfn.XLOOKUP(L:L,'Overall Progress'!L:L,'Overall Progress'!L:L,"NOT YET")</f>
        <v>NOT YET</v>
      </c>
      <c r="P1077" s="27"/>
      <c r="Q1077" s="27"/>
      <c r="R1077" s="27"/>
      <c r="S1077" s="27"/>
      <c r="T1077" s="27"/>
      <c r="U1077" s="27"/>
      <c r="V1077" s="27"/>
      <c r="W1077" s="27"/>
      <c r="X1077" s="27"/>
      <c r="Y1077" s="27"/>
      <c r="Z1077" s="27"/>
    </row>
    <row r="1078" customHeight="1" spans="1:26">
      <c r="A1078" s="26">
        <v>835</v>
      </c>
      <c r="B1078" s="26">
        <v>69</v>
      </c>
      <c r="C1078" s="26" t="s">
        <v>1175</v>
      </c>
      <c r="D1078" s="26" t="s">
        <v>1721</v>
      </c>
      <c r="E1078" s="26" t="s">
        <v>2889</v>
      </c>
      <c r="F1078" s="26" t="str">
        <f t="shared" si="0"/>
        <v>Temporal Latin Origin</v>
      </c>
      <c r="G1078" s="26">
        <f t="shared" si="1"/>
        <v>10</v>
      </c>
      <c r="H1078" s="26"/>
      <c r="I1078" s="26"/>
      <c r="J1078" s="26"/>
      <c r="K1078" s="26"/>
      <c r="L1078" s="26" t="str">
        <f t="shared" si="2"/>
        <v>I</v>
      </c>
      <c r="M1078" s="26" t="str">
        <f>IFERROR(__xludf.DUMMYFUNCTION("GOOGLETRANSLATE(C1078,""EN"",""KN"")"),"ಅಪ್ರಸ್ತುತ")</f>
        <v>ಅಪ್ರಸ್ತುತ</v>
      </c>
      <c r="N1078" s="26" t="str">
        <f t="array" ref="N1078">_xlfn.XLOOKUP(B1078,'Sets Progress'!I:I,'Sets Progress'!I:I,"NOT YET")</f>
        <v>NOT YET</v>
      </c>
      <c r="O1078" s="26" t="str">
        <f t="array" ref="O1078">_xlfn.XLOOKUP(L:L,'Overall Progress'!L:L,'Overall Progress'!L:L,"NOT YET")</f>
        <v>NOT YET</v>
      </c>
      <c r="P1078" s="26"/>
      <c r="Q1078" s="26"/>
      <c r="R1078" s="26"/>
      <c r="S1078" s="26"/>
      <c r="T1078" s="26"/>
      <c r="U1078" s="26"/>
      <c r="V1078" s="26"/>
      <c r="W1078" s="26"/>
      <c r="X1078" s="26"/>
      <c r="Y1078" s="26"/>
      <c r="Z1078" s="26"/>
    </row>
    <row r="1079" hidden="1" customHeight="1" spans="1:26">
      <c r="A1079" s="27">
        <v>1017</v>
      </c>
      <c r="B1079" s="27">
        <v>69</v>
      </c>
      <c r="C1079" s="27" t="s">
        <v>1352</v>
      </c>
      <c r="D1079" s="27" t="s">
        <v>2716</v>
      </c>
      <c r="E1079" s="27" t="s">
        <v>2889</v>
      </c>
      <c r="F1079" s="27" t="str">
        <f t="shared" si="0"/>
        <v>Negative Traits Latin Origin</v>
      </c>
      <c r="G1079" s="27">
        <f t="shared" si="1"/>
        <v>9</v>
      </c>
      <c r="H1079" s="27" t="s">
        <v>3954</v>
      </c>
      <c r="I1079" s="27"/>
      <c r="J1079" s="27"/>
      <c r="K1079" s="27"/>
      <c r="L1079" s="27" t="str">
        <f t="shared" si="2"/>
        <v>P</v>
      </c>
      <c r="M1079" s="27" t="str">
        <f>IFERROR(__xludf.DUMMYFUNCTION("GOOGLETRANSLATE(C1079,""EN"",""KN"")"),"ಪ್ರಾಂತೀಯ")</f>
        <v>ಪ್ರಾಂತೀಯ</v>
      </c>
      <c r="N1079" s="27" t="str">
        <f t="array" ref="N1079">_xlfn.XLOOKUP(B1079,'Sets Progress'!I:I,'Sets Progress'!I:I,"NOT YET")</f>
        <v>NOT YET</v>
      </c>
      <c r="O1079" s="27" t="str">
        <f t="array" ref="O1079">_xlfn.XLOOKUP(L:L,'Overall Progress'!L:L,'Overall Progress'!L:L,"NOT YET")</f>
        <v>NOT YET</v>
      </c>
      <c r="P1079" s="27"/>
      <c r="Q1079" s="27"/>
      <c r="R1079" s="27"/>
      <c r="S1079" s="27"/>
      <c r="T1079" s="27"/>
      <c r="U1079" s="27"/>
      <c r="V1079" s="27"/>
      <c r="W1079" s="27"/>
      <c r="X1079" s="27"/>
      <c r="Y1079" s="27"/>
      <c r="Z1079" s="27"/>
    </row>
    <row r="1080" hidden="1" customHeight="1" spans="1:26">
      <c r="A1080" s="26">
        <v>1041</v>
      </c>
      <c r="B1080" s="26">
        <v>69</v>
      </c>
      <c r="C1080" s="26" t="s">
        <v>1376</v>
      </c>
      <c r="D1080" s="26" t="s">
        <v>1721</v>
      </c>
      <c r="E1080" s="26" t="s">
        <v>2889</v>
      </c>
      <c r="F1080" s="26" t="str">
        <f t="shared" si="0"/>
        <v>Temporal Latin Origin</v>
      </c>
      <c r="G1080" s="26">
        <f t="shared" si="1"/>
        <v>9</v>
      </c>
      <c r="H1080" s="26" t="s">
        <v>3955</v>
      </c>
      <c r="I1080" s="26"/>
      <c r="J1080" s="26"/>
      <c r="K1080" s="26"/>
      <c r="L1080" s="26" t="str">
        <f t="shared" si="2"/>
        <v>P</v>
      </c>
      <c r="M1080" s="26" t="str">
        <f>IFERROR(__xludf.DUMMYFUNCTION("GOOGLETRANSLATE(C1080,""EN"",""KN"")"),"ಬಹುವಾರ್ಷಿಕ")</f>
        <v>ಬಹುವಾರ್ಷಿಕ</v>
      </c>
      <c r="N1080" s="26" t="str">
        <f t="array" ref="N1080">_xlfn.XLOOKUP(B1080,'Sets Progress'!I:I,'Sets Progress'!I:I,"NOT YET")</f>
        <v>NOT YET</v>
      </c>
      <c r="O1080" s="26" t="str">
        <f t="array" ref="O1080">_xlfn.XLOOKUP(L:L,'Overall Progress'!L:L,'Overall Progress'!L:L,"NOT YET")</f>
        <v>NOT YET</v>
      </c>
      <c r="P1080" s="26"/>
      <c r="Q1080" s="26"/>
      <c r="R1080" s="26"/>
      <c r="S1080" s="26"/>
      <c r="T1080" s="26"/>
      <c r="U1080" s="26"/>
      <c r="V1080" s="26"/>
      <c r="W1080" s="26"/>
      <c r="X1080" s="26"/>
      <c r="Y1080" s="26"/>
      <c r="Z1080" s="26"/>
    </row>
    <row r="1081" hidden="1" customHeight="1" spans="1:26">
      <c r="A1081" s="27">
        <v>1359</v>
      </c>
      <c r="B1081" s="27">
        <v>69</v>
      </c>
      <c r="C1081" s="27" t="s">
        <v>1690</v>
      </c>
      <c r="D1081" s="27" t="s">
        <v>2716</v>
      </c>
      <c r="E1081" s="27" t="s">
        <v>2921</v>
      </c>
      <c r="F1081" s="27" t="str">
        <f t="shared" si="0"/>
        <v>Negative Traits Unknown Origin</v>
      </c>
      <c r="G1081" s="27">
        <f t="shared" si="1"/>
        <v>5</v>
      </c>
      <c r="H1081" s="27" t="s">
        <v>3956</v>
      </c>
      <c r="I1081" s="27"/>
      <c r="J1081" s="27"/>
      <c r="K1081" s="27"/>
      <c r="L1081" s="27" t="str">
        <f t="shared" si="2"/>
        <v>S</v>
      </c>
      <c r="M1081" s="27" t="str">
        <f>IFERROR(__xludf.DUMMYFUNCTION("GOOGLETRANSLATE(C1081,""EN"",""KN"")"),"ಸುರ್ಲಿ")</f>
        <v>ಸುರ್ಲಿ</v>
      </c>
      <c r="N1081" s="27" t="str">
        <f t="array" ref="N1081">_xlfn.XLOOKUP(B1081,'Sets Progress'!I:I,'Sets Progress'!I:I,"NOT YET")</f>
        <v>NOT YET</v>
      </c>
      <c r="O1081" s="27" t="str">
        <f t="array" ref="O1081">_xlfn.XLOOKUP(L:L,'Overall Progress'!L:L,'Overall Progress'!L:L,"NOT YET")</f>
        <v>NOT YET</v>
      </c>
      <c r="P1081" s="27"/>
      <c r="Q1081" s="27"/>
      <c r="R1081" s="27"/>
      <c r="S1081" s="27"/>
      <c r="T1081" s="27"/>
      <c r="U1081" s="27"/>
      <c r="V1081" s="27"/>
      <c r="W1081" s="27"/>
      <c r="X1081" s="27"/>
      <c r="Y1081" s="27"/>
      <c r="Z1081" s="27"/>
    </row>
    <row r="1082" hidden="1" customHeight="1" spans="1:26">
      <c r="A1082" s="26">
        <v>1405</v>
      </c>
      <c r="B1082" s="26">
        <v>69</v>
      </c>
      <c r="C1082" s="26" t="s">
        <v>1736</v>
      </c>
      <c r="D1082" s="26" t="s">
        <v>2717</v>
      </c>
      <c r="E1082" s="26" t="s">
        <v>2908</v>
      </c>
      <c r="F1082" s="26" t="str">
        <f t="shared" si="0"/>
        <v>Positive Traits Old English Origin</v>
      </c>
      <c r="G1082" s="26">
        <f t="shared" si="1"/>
        <v>6</v>
      </c>
      <c r="H1082" s="26" t="s">
        <v>3957</v>
      </c>
      <c r="I1082" s="26"/>
      <c r="J1082" s="26"/>
      <c r="K1082" s="26"/>
      <c r="L1082" s="26" t="str">
        <f t="shared" si="2"/>
        <v>T</v>
      </c>
      <c r="M1082" s="26" t="str">
        <f>IFERROR(__xludf.DUMMYFUNCTION("GOOGLETRANSLATE(C1082,""EN"",""KN"")"),"ಏಳಿಗೆ")</f>
        <v>ಏಳಿಗೆ</v>
      </c>
      <c r="N1082" s="26" t="str">
        <f t="array" ref="N1082">_xlfn.XLOOKUP(B1082,'Sets Progress'!I:I,'Sets Progress'!I:I,"NOT YET")</f>
        <v>NOT YET</v>
      </c>
      <c r="O1082" s="26" t="str">
        <f t="array" ref="O1082">_xlfn.XLOOKUP(L:L,'Overall Progress'!L:L,'Overall Progress'!L:L,"NOT YET")</f>
        <v>NOT YET</v>
      </c>
      <c r="P1082" s="26"/>
      <c r="Q1082" s="26"/>
      <c r="R1082" s="26"/>
      <c r="S1082" s="26"/>
      <c r="T1082" s="26"/>
      <c r="U1082" s="26"/>
      <c r="V1082" s="26"/>
      <c r="W1082" s="26"/>
      <c r="X1082" s="26"/>
      <c r="Y1082" s="26"/>
      <c r="Z1082" s="26"/>
    </row>
    <row r="1083" hidden="1" customHeight="1" spans="1:26">
      <c r="A1083" s="27">
        <v>6</v>
      </c>
      <c r="B1083" s="27">
        <v>70</v>
      </c>
      <c r="C1083" s="27" t="s">
        <v>375</v>
      </c>
      <c r="D1083" s="27" t="s">
        <v>2946</v>
      </c>
      <c r="E1083" s="27" t="s">
        <v>2889</v>
      </c>
      <c r="F1083" s="27" t="str">
        <f t="shared" si="0"/>
        <v>Emotional Latin Origin</v>
      </c>
      <c r="G1083" s="27">
        <f t="shared" si="1"/>
        <v>5</v>
      </c>
      <c r="H1083" s="27" t="s">
        <v>3958</v>
      </c>
      <c r="I1083" s="27"/>
      <c r="J1083" s="27"/>
      <c r="K1083" s="27"/>
      <c r="L1083" s="27" t="str">
        <f t="shared" si="2"/>
        <v>A</v>
      </c>
      <c r="M1083" s="27" t="str">
        <f>IFERROR(__xludf.DUMMYFUNCTION("GOOGLETRANSLATE(C1083,""EN"",""KN"")"),"ಅಸಹ್ಯ")</f>
        <v>ಅಸಹ್ಯ</v>
      </c>
      <c r="N1083" s="27" t="str">
        <f t="array" ref="N1083">_xlfn.XLOOKUP(B1083,'Sets Progress'!I:I,'Sets Progress'!I:I,"NOT YET")</f>
        <v>NOT YET</v>
      </c>
      <c r="O1083" s="27" t="str">
        <f t="array" ref="O1083">_xlfn.XLOOKUP(L:L,'Overall Progress'!L:L,'Overall Progress'!L:L,"NOT YET")</f>
        <v>NOT YET</v>
      </c>
      <c r="P1083" s="27"/>
      <c r="Q1083" s="27"/>
      <c r="R1083" s="27"/>
      <c r="S1083" s="27"/>
      <c r="T1083" s="27"/>
      <c r="U1083" s="27"/>
      <c r="V1083" s="27"/>
      <c r="W1083" s="27"/>
      <c r="X1083" s="27"/>
      <c r="Y1083" s="27"/>
      <c r="Z1083" s="27"/>
    </row>
    <row r="1084" hidden="1" customHeight="1" spans="1:26">
      <c r="A1084" s="26">
        <v>274</v>
      </c>
      <c r="B1084" s="26">
        <v>70</v>
      </c>
      <c r="C1084" s="26" t="s">
        <v>627</v>
      </c>
      <c r="D1084" s="26" t="s">
        <v>1721</v>
      </c>
      <c r="E1084" s="26" t="s">
        <v>2889</v>
      </c>
      <c r="F1084" s="26" t="str">
        <f t="shared" si="0"/>
        <v>Temporal Latin Origin</v>
      </c>
      <c r="G1084" s="26">
        <f t="shared" si="1"/>
        <v>10</v>
      </c>
      <c r="H1084" s="26" t="s">
        <v>3959</v>
      </c>
      <c r="I1084" s="26"/>
      <c r="J1084" s="26"/>
      <c r="K1084" s="26"/>
      <c r="L1084" s="26" t="str">
        <f t="shared" si="2"/>
        <v>C</v>
      </c>
      <c r="M1084" s="26" t="str">
        <f>IFERROR(__xludf.DUMMYFUNCTION("GOOGLETRANSLATE(C1084,""EN"",""KN"")"),"ರಾಜಿ ಮಾಡಿಕೊಳ್ಳಿ")</f>
        <v>ರಾಜಿ ಮಾಡಿಕೊಳ್ಳಿ</v>
      </c>
      <c r="N1084" s="26" t="str">
        <f t="array" ref="N1084">_xlfn.XLOOKUP(B1084,'Sets Progress'!I:I,'Sets Progress'!I:I,"NOT YET")</f>
        <v>NOT YET</v>
      </c>
      <c r="O1084" s="26" t="str">
        <f t="array" ref="O1084">_xlfn.XLOOKUP(L:L,'Overall Progress'!L:L,'Overall Progress'!L:L,"NOT YET")</f>
        <v>NOT YET</v>
      </c>
      <c r="P1084" s="26"/>
      <c r="Q1084" s="26"/>
      <c r="R1084" s="26"/>
      <c r="S1084" s="26"/>
      <c r="T1084" s="26"/>
      <c r="U1084" s="26"/>
      <c r="V1084" s="26"/>
      <c r="W1084" s="26"/>
      <c r="X1084" s="26"/>
      <c r="Y1084" s="26"/>
      <c r="Z1084" s="26"/>
    </row>
    <row r="1085" hidden="1" customHeight="1" spans="1:26">
      <c r="A1085" s="27">
        <v>303</v>
      </c>
      <c r="B1085" s="27">
        <v>70</v>
      </c>
      <c r="C1085" s="27" t="s">
        <v>103</v>
      </c>
      <c r="D1085" s="27" t="s">
        <v>1721</v>
      </c>
      <c r="E1085" s="27" t="s">
        <v>2889</v>
      </c>
      <c r="F1085" s="27" t="str">
        <f t="shared" si="0"/>
        <v>Temporal Latin Origin</v>
      </c>
      <c r="G1085" s="27">
        <f t="shared" si="1"/>
        <v>9</v>
      </c>
      <c r="H1085" s="27" t="s">
        <v>3960</v>
      </c>
      <c r="I1085" s="27"/>
      <c r="J1085" s="27"/>
      <c r="K1085" s="27"/>
      <c r="L1085" s="27" t="str">
        <f t="shared" si="2"/>
        <v>C</v>
      </c>
      <c r="M1085" s="27" t="str">
        <f>IFERROR(__xludf.DUMMYFUNCTION("GOOGLETRANSLATE(C1085,""EN"",""KN"")"),"ಕನ್ಂಡ್ರಮ್")</f>
        <v>ಕನ್ಂಡ್ರಮ್</v>
      </c>
      <c r="N1085" s="27" t="str">
        <f t="array" ref="N1085">_xlfn.XLOOKUP(B1085,'Sets Progress'!I:I,'Sets Progress'!I:I,"NOT YET")</f>
        <v>NOT YET</v>
      </c>
      <c r="O1085" s="27" t="str">
        <f t="array" ref="O1085">_xlfn.XLOOKUP(L:L,'Overall Progress'!L:L,'Overall Progress'!L:L,"NOT YET")</f>
        <v>NOT YET</v>
      </c>
      <c r="P1085" s="27"/>
      <c r="Q1085" s="27"/>
      <c r="R1085" s="27"/>
      <c r="S1085" s="27"/>
      <c r="T1085" s="27"/>
      <c r="U1085" s="27"/>
      <c r="V1085" s="27"/>
      <c r="W1085" s="27"/>
      <c r="X1085" s="27"/>
      <c r="Y1085" s="27"/>
      <c r="Z1085" s="27"/>
    </row>
    <row r="1086" hidden="1" customHeight="1" spans="1:26">
      <c r="A1086" s="26">
        <v>365</v>
      </c>
      <c r="B1086" s="26">
        <v>70</v>
      </c>
      <c r="C1086" s="26" t="s">
        <v>715</v>
      </c>
      <c r="D1086" s="26" t="s">
        <v>2717</v>
      </c>
      <c r="E1086" s="26" t="s">
        <v>2889</v>
      </c>
      <c r="F1086" s="26" t="str">
        <f t="shared" si="0"/>
        <v>Positive Traits Latin Origin</v>
      </c>
      <c r="G1086" s="26">
        <f t="shared" si="1"/>
        <v>8</v>
      </c>
      <c r="H1086" s="26" t="s">
        <v>3961</v>
      </c>
      <c r="I1086" s="26"/>
      <c r="J1086" s="26"/>
      <c r="K1086" s="26"/>
      <c r="L1086" s="26" t="str">
        <f t="shared" si="2"/>
        <v>D</v>
      </c>
      <c r="M1086" s="26" t="str">
        <f>IFERROR(__xludf.DUMMYFUNCTION("GOOGLETRANSLATE(C1086,""EN"",""KN"")"),"ಸವಿಯಾದ")</f>
        <v>ಸವಿಯಾದ</v>
      </c>
      <c r="N1086" s="26" t="str">
        <f t="array" ref="N1086">_xlfn.XLOOKUP(B1086,'Sets Progress'!I:I,'Sets Progress'!I:I,"NOT YET")</f>
        <v>NOT YET</v>
      </c>
      <c r="O1086" s="26" t="str">
        <f t="array" ref="O1086">_xlfn.XLOOKUP(L:L,'Overall Progress'!L:L,'Overall Progress'!L:L,"NOT YET")</f>
        <v>NOT YET</v>
      </c>
      <c r="P1086" s="26"/>
      <c r="Q1086" s="26"/>
      <c r="R1086" s="26"/>
      <c r="S1086" s="26"/>
      <c r="T1086" s="26"/>
      <c r="U1086" s="26"/>
      <c r="V1086" s="26"/>
      <c r="W1086" s="26"/>
      <c r="X1086" s="26"/>
      <c r="Y1086" s="26"/>
      <c r="Z1086" s="26"/>
    </row>
    <row r="1087" hidden="1" customHeight="1" spans="1:26">
      <c r="A1087" s="27">
        <v>395</v>
      </c>
      <c r="B1087" s="27">
        <v>70</v>
      </c>
      <c r="C1087" s="27" t="s">
        <v>745</v>
      </c>
      <c r="D1087" s="27" t="s">
        <v>3022</v>
      </c>
      <c r="E1087" s="27" t="s">
        <v>2889</v>
      </c>
      <c r="F1087" s="27" t="str">
        <f t="shared" si="0"/>
        <v>Intellectual Latin Origin</v>
      </c>
      <c r="G1087" s="27">
        <f t="shared" si="1"/>
        <v>6</v>
      </c>
      <c r="H1087" s="27" t="s">
        <v>3962</v>
      </c>
      <c r="I1087" s="27"/>
      <c r="J1087" s="27"/>
      <c r="K1087" s="27"/>
      <c r="L1087" s="27" t="str">
        <f t="shared" si="2"/>
        <v>D</v>
      </c>
      <c r="M1087" s="27" t="str">
        <f>IFERROR(__xludf.DUMMYFUNCTION("GOOGLETRANSLATE(C1087,""EN"",""KN"")"),"ಡಿಕ್ಟಮ್")</f>
        <v>ಡಿಕ್ಟಮ್</v>
      </c>
      <c r="N1087" s="27" t="str">
        <f t="array" ref="N1087">_xlfn.XLOOKUP(B1087,'Sets Progress'!I:I,'Sets Progress'!I:I,"NOT YET")</f>
        <v>NOT YET</v>
      </c>
      <c r="O1087" s="27" t="str">
        <f t="array" ref="O1087">_xlfn.XLOOKUP(L:L,'Overall Progress'!L:L,'Overall Progress'!L:L,"NOT YET")</f>
        <v>NOT YET</v>
      </c>
      <c r="P1087" s="27"/>
      <c r="Q1087" s="27"/>
      <c r="R1087" s="27"/>
      <c r="S1087" s="27"/>
      <c r="T1087" s="27"/>
      <c r="U1087" s="27"/>
      <c r="V1087" s="27"/>
      <c r="W1087" s="27"/>
      <c r="X1087" s="27"/>
      <c r="Y1087" s="27"/>
      <c r="Z1087" s="27"/>
    </row>
    <row r="1088" customHeight="1" spans="1:26">
      <c r="A1088" s="26">
        <v>434</v>
      </c>
      <c r="B1088" s="26">
        <v>70</v>
      </c>
      <c r="C1088" s="26" t="s">
        <v>783</v>
      </c>
      <c r="D1088" s="26" t="s">
        <v>2946</v>
      </c>
      <c r="E1088" s="26" t="s">
        <v>2896</v>
      </c>
      <c r="F1088" s="26" t="str">
        <f t="shared" si="0"/>
        <v>Emotional Old French Origin</v>
      </c>
      <c r="G1088" s="26">
        <f t="shared" si="1"/>
        <v>8</v>
      </c>
      <c r="H1088" s="26"/>
      <c r="I1088" s="26"/>
      <c r="J1088" s="26"/>
      <c r="K1088" s="26"/>
      <c r="L1088" s="26" t="str">
        <f t="shared" si="2"/>
        <v>D</v>
      </c>
      <c r="M1088" s="26" t="str">
        <f>IFERROR(__xludf.DUMMYFUNCTION("GOOGLETRANSLATE(C1088,""EN"",""KN"")"),"ಅಶಾಂತಿ")</f>
        <v>ಅಶಾಂತಿ</v>
      </c>
      <c r="N1088" s="26" t="str">
        <f t="array" ref="N1088">_xlfn.XLOOKUP(B1088,'Sets Progress'!I:I,'Sets Progress'!I:I,"NOT YET")</f>
        <v>NOT YET</v>
      </c>
      <c r="O1088" s="26" t="str">
        <f t="array" ref="O1088">_xlfn.XLOOKUP(L:L,'Overall Progress'!L:L,'Overall Progress'!L:L,"NOT YET")</f>
        <v>NOT YET</v>
      </c>
      <c r="P1088" s="26"/>
      <c r="Q1088" s="26"/>
      <c r="R1088" s="26"/>
      <c r="S1088" s="26"/>
      <c r="T1088" s="26"/>
      <c r="U1088" s="26"/>
      <c r="V1088" s="26"/>
      <c r="W1088" s="26"/>
      <c r="X1088" s="26"/>
      <c r="Y1088" s="26"/>
      <c r="Z1088" s="26"/>
    </row>
    <row r="1089" hidden="1" customHeight="1" spans="1:26">
      <c r="A1089" s="27">
        <v>472</v>
      </c>
      <c r="B1089" s="27">
        <v>70</v>
      </c>
      <c r="C1089" s="27" t="s">
        <v>821</v>
      </c>
      <c r="D1089" s="27" t="s">
        <v>1721</v>
      </c>
      <c r="E1089" s="27" t="s">
        <v>2893</v>
      </c>
      <c r="F1089" s="27" t="str">
        <f t="shared" si="0"/>
        <v>Temporal Greek Origin</v>
      </c>
      <c r="G1089" s="27">
        <f t="shared" si="1"/>
        <v>7</v>
      </c>
      <c r="H1089" s="27" t="s">
        <v>3963</v>
      </c>
      <c r="I1089" s="27"/>
      <c r="J1089" s="27"/>
      <c r="K1089" s="27"/>
      <c r="L1089" s="27" t="str">
        <f t="shared" si="2"/>
        <v>E</v>
      </c>
      <c r="M1089" s="27" t="str">
        <f>IFERROR(__xludf.DUMMYFUNCTION("GOOGLETRANSLATE(C1089,""EN"",""KN"")"),"ಆರ್ಥಿಕತೆ")</f>
        <v>ಆರ್ಥಿಕತೆ</v>
      </c>
      <c r="N1089" s="27" t="str">
        <f t="array" ref="N1089">_xlfn.XLOOKUP(B1089,'Sets Progress'!I:I,'Sets Progress'!I:I,"NOT YET")</f>
        <v>NOT YET</v>
      </c>
      <c r="O1089" s="27" t="str">
        <f t="array" ref="O1089">_xlfn.XLOOKUP(L:L,'Overall Progress'!L:L,'Overall Progress'!L:L,"NOT YET")</f>
        <v>NOT YET</v>
      </c>
      <c r="P1089" s="27"/>
      <c r="Q1089" s="27"/>
      <c r="R1089" s="27"/>
      <c r="S1089" s="27"/>
      <c r="T1089" s="27"/>
      <c r="U1089" s="27"/>
      <c r="V1089" s="27"/>
      <c r="W1089" s="27"/>
      <c r="X1089" s="27"/>
      <c r="Y1089" s="27"/>
      <c r="Z1089" s="27"/>
    </row>
    <row r="1090" hidden="1" customHeight="1" spans="1:26">
      <c r="A1090" s="26">
        <v>500</v>
      </c>
      <c r="B1090" s="26">
        <v>70</v>
      </c>
      <c r="C1090" s="26" t="s">
        <v>849</v>
      </c>
      <c r="D1090" s="26" t="s">
        <v>2716</v>
      </c>
      <c r="E1090" s="26" t="s">
        <v>2896</v>
      </c>
      <c r="F1090" s="26" t="str">
        <f t="shared" si="0"/>
        <v>Negative Traits Old French Origin</v>
      </c>
      <c r="G1090" s="26">
        <f t="shared" si="1"/>
        <v>8</v>
      </c>
      <c r="H1090" s="26" t="s">
        <v>3964</v>
      </c>
      <c r="I1090" s="26"/>
      <c r="J1090" s="26"/>
      <c r="K1090" s="26"/>
      <c r="L1090" s="26" t="str">
        <f t="shared" si="2"/>
        <v>E</v>
      </c>
      <c r="M1090" s="26" t="str">
        <f>IFERROR(__xludf.DUMMYFUNCTION("GOOGLETRANSLATE(C1090,""EN"",""KN"")"),"ಅಪಾಯ")</f>
        <v>ಅಪಾಯ</v>
      </c>
      <c r="N1090" s="26" t="str">
        <f t="array" ref="N1090">_xlfn.XLOOKUP(B1090,'Sets Progress'!I:I,'Sets Progress'!I:I,"NOT YET")</f>
        <v>NOT YET</v>
      </c>
      <c r="O1090" s="26" t="str">
        <f t="array" ref="O1090">_xlfn.XLOOKUP(L:L,'Overall Progress'!L:L,'Overall Progress'!L:L,"NOT YET")</f>
        <v>NOT YET</v>
      </c>
      <c r="P1090" s="26"/>
      <c r="Q1090" s="26"/>
      <c r="R1090" s="26"/>
      <c r="S1090" s="26"/>
      <c r="T1090" s="26"/>
      <c r="U1090" s="26"/>
      <c r="V1090" s="26"/>
      <c r="W1090" s="26"/>
      <c r="X1090" s="26"/>
      <c r="Y1090" s="26"/>
      <c r="Z1090" s="26"/>
    </row>
    <row r="1091" customHeight="1" spans="1:26">
      <c r="A1091" s="27">
        <v>628</v>
      </c>
      <c r="B1091" s="27">
        <v>70</v>
      </c>
      <c r="C1091" s="27" t="s">
        <v>972</v>
      </c>
      <c r="D1091" s="27" t="s">
        <v>1721</v>
      </c>
      <c r="E1091" s="27" t="s">
        <v>2889</v>
      </c>
      <c r="F1091" s="27" t="str">
        <f t="shared" si="0"/>
        <v>Temporal Latin Origin</v>
      </c>
      <c r="G1091" s="27">
        <f t="shared" si="1"/>
        <v>10</v>
      </c>
      <c r="H1091" s="27"/>
      <c r="I1091" s="27"/>
      <c r="J1091" s="27"/>
      <c r="K1091" s="27"/>
      <c r="L1091" s="27" t="str">
        <f t="shared" si="2"/>
        <v>F</v>
      </c>
      <c r="M1091" s="27" t="str">
        <f>IFERROR(__xludf.DUMMYFUNCTION("GOOGLETRANSLATE(C1091,""EN"",""KN"")"),"ಆಕಸ್ಮಿಕ")</f>
        <v>ಆಕಸ್ಮಿಕ</v>
      </c>
      <c r="N1091" s="27" t="str">
        <f t="array" ref="N1091">_xlfn.XLOOKUP(B1091,'Sets Progress'!I:I,'Sets Progress'!I:I,"NOT YET")</f>
        <v>NOT YET</v>
      </c>
      <c r="O1091" s="27" t="str">
        <f t="array" ref="O1091">_xlfn.XLOOKUP(L:L,'Overall Progress'!L:L,'Overall Progress'!L:L,"NOT YET")</f>
        <v>NOT YET</v>
      </c>
      <c r="P1091" s="27"/>
      <c r="Q1091" s="27"/>
      <c r="R1091" s="27"/>
      <c r="S1091" s="27"/>
      <c r="T1091" s="27"/>
      <c r="U1091" s="27"/>
      <c r="V1091" s="27"/>
      <c r="W1091" s="27"/>
      <c r="X1091" s="27"/>
      <c r="Y1091" s="27"/>
      <c r="Z1091" s="27"/>
    </row>
    <row r="1092" hidden="1" customHeight="1" spans="1:26">
      <c r="A1092" s="26">
        <v>686</v>
      </c>
      <c r="B1092" s="26">
        <v>70</v>
      </c>
      <c r="C1092" s="26" t="s">
        <v>1028</v>
      </c>
      <c r="D1092" s="26" t="s">
        <v>1721</v>
      </c>
      <c r="E1092" s="26" t="s">
        <v>2893</v>
      </c>
      <c r="F1092" s="26" t="str">
        <f t="shared" si="0"/>
        <v>Temporal Greek Origin</v>
      </c>
      <c r="G1092" s="26">
        <f t="shared" si="1"/>
        <v>13</v>
      </c>
      <c r="H1092" s="26" t="s">
        <v>3965</v>
      </c>
      <c r="I1092" s="26"/>
      <c r="J1092" s="26"/>
      <c r="K1092" s="26"/>
      <c r="L1092" s="26" t="str">
        <f t="shared" si="2"/>
        <v>H</v>
      </c>
      <c r="M1092" s="26" t="str">
        <f>IFERROR(__xludf.DUMMYFUNCTION("GOOGLETRANSLATE(C1092,""EN"",""KN"")"),"ಭಿನ್ನಜಾತಿ")</f>
        <v>ಭಿನ್ನಜಾತಿ</v>
      </c>
      <c r="N1092" s="26" t="str">
        <f t="array" ref="N1092">_xlfn.XLOOKUP(B1092,'Sets Progress'!I:I,'Sets Progress'!I:I,"NOT YET")</f>
        <v>NOT YET</v>
      </c>
      <c r="O1092" s="26" t="str">
        <f t="array" ref="O1092">_xlfn.XLOOKUP(L:L,'Overall Progress'!L:L,'Overall Progress'!L:L,"NOT YET")</f>
        <v>NOT YET</v>
      </c>
      <c r="P1092" s="26"/>
      <c r="Q1092" s="26"/>
      <c r="R1092" s="26"/>
      <c r="S1092" s="26"/>
      <c r="T1092" s="26"/>
      <c r="U1092" s="26"/>
      <c r="V1092" s="26"/>
      <c r="W1092" s="26"/>
      <c r="X1092" s="26"/>
      <c r="Y1092" s="26"/>
      <c r="Z1092" s="26"/>
    </row>
    <row r="1093" customHeight="1" spans="1:26">
      <c r="A1093" s="27">
        <v>761</v>
      </c>
      <c r="B1093" s="27">
        <v>70</v>
      </c>
      <c r="C1093" s="27" t="s">
        <v>1102</v>
      </c>
      <c r="D1093" s="27" t="s">
        <v>1721</v>
      </c>
      <c r="E1093" s="27" t="s">
        <v>2889</v>
      </c>
      <c r="F1093" s="27" t="str">
        <f t="shared" si="0"/>
        <v>Temporal Latin Origin</v>
      </c>
      <c r="G1093" s="27">
        <f t="shared" si="1"/>
        <v>10</v>
      </c>
      <c r="H1093" s="27"/>
      <c r="I1093" s="27"/>
      <c r="J1093" s="27"/>
      <c r="K1093" s="27"/>
      <c r="L1093" s="27" t="str">
        <f t="shared" si="2"/>
        <v>I</v>
      </c>
      <c r="M1093" s="27" t="str">
        <f>IFERROR(__xludf.DUMMYFUNCTION("GOOGLETRANSLATE(C1093,""EN"",""KN"")"),"ದೋಷಾರೋಪಣೆ")</f>
        <v>ದೋಷಾರೋಪಣೆ</v>
      </c>
      <c r="N1093" s="27" t="str">
        <f t="array" ref="N1093">_xlfn.XLOOKUP(B1093,'Sets Progress'!I:I,'Sets Progress'!I:I,"NOT YET")</f>
        <v>NOT YET</v>
      </c>
      <c r="O1093" s="27" t="str">
        <f t="array" ref="O1093">_xlfn.XLOOKUP(L:L,'Overall Progress'!L:L,'Overall Progress'!L:L,"NOT YET")</f>
        <v>NOT YET</v>
      </c>
      <c r="P1093" s="27"/>
      <c r="Q1093" s="27"/>
      <c r="R1093" s="27"/>
      <c r="S1093" s="27"/>
      <c r="T1093" s="27"/>
      <c r="U1093" s="27"/>
      <c r="V1093" s="27"/>
      <c r="W1093" s="27"/>
      <c r="X1093" s="27"/>
      <c r="Y1093" s="27"/>
      <c r="Z1093" s="27"/>
    </row>
    <row r="1094" hidden="1" customHeight="1" spans="1:26">
      <c r="A1094" s="26">
        <v>910</v>
      </c>
      <c r="B1094" s="26">
        <v>70</v>
      </c>
      <c r="C1094" s="26" t="s">
        <v>1247</v>
      </c>
      <c r="D1094" s="26" t="s">
        <v>1721</v>
      </c>
      <c r="E1094" s="26" t="s">
        <v>2893</v>
      </c>
      <c r="F1094" s="26" t="str">
        <f t="shared" si="0"/>
        <v>Temporal Greek Origin</v>
      </c>
      <c r="G1094" s="26">
        <f t="shared" si="1"/>
        <v>12</v>
      </c>
      <c r="H1094" s="26" t="s">
        <v>3966</v>
      </c>
      <c r="I1094" s="26"/>
      <c r="J1094" s="26"/>
      <c r="K1094" s="26"/>
      <c r="L1094" s="26" t="str">
        <f t="shared" si="2"/>
        <v>M</v>
      </c>
      <c r="M1094" s="26" t="str">
        <f>IFERROR(__xludf.DUMMYFUNCTION("GOOGLETRANSLATE(C1094,""EN"",""KN"")"),"ರೂಪಕ")</f>
        <v>ರೂಪಕ</v>
      </c>
      <c r="N1094" s="26" t="str">
        <f t="array" ref="N1094">_xlfn.XLOOKUP(B1094,'Sets Progress'!I:I,'Sets Progress'!I:I,"NOT YET")</f>
        <v>NOT YET</v>
      </c>
      <c r="O1094" s="26" t="str">
        <f t="array" ref="O1094">_xlfn.XLOOKUP(L:L,'Overall Progress'!L:L,'Overall Progress'!L:L,"NOT YET")</f>
        <v>NOT YET</v>
      </c>
      <c r="P1094" s="26"/>
      <c r="Q1094" s="26"/>
      <c r="R1094" s="26"/>
      <c r="S1094" s="26"/>
      <c r="T1094" s="26"/>
      <c r="U1094" s="26"/>
      <c r="V1094" s="26"/>
      <c r="W1094" s="26"/>
      <c r="X1094" s="26"/>
      <c r="Y1094" s="26"/>
      <c r="Z1094" s="26"/>
    </row>
    <row r="1095" hidden="1" customHeight="1" spans="1:26">
      <c r="A1095" s="27">
        <v>989</v>
      </c>
      <c r="B1095" s="27">
        <v>70</v>
      </c>
      <c r="C1095" s="27" t="s">
        <v>1324</v>
      </c>
      <c r="D1095" s="27" t="s">
        <v>2717</v>
      </c>
      <c r="E1095" s="27" t="s">
        <v>2889</v>
      </c>
      <c r="F1095" s="27" t="str">
        <f t="shared" si="0"/>
        <v>Positive Traits Latin Origin</v>
      </c>
      <c r="G1095" s="27">
        <f t="shared" si="1"/>
        <v>10</v>
      </c>
      <c r="H1095" s="27" t="s">
        <v>3967</v>
      </c>
      <c r="I1095" s="27"/>
      <c r="J1095" s="27"/>
      <c r="K1095" s="27"/>
      <c r="L1095" s="27" t="str">
        <f t="shared" si="2"/>
        <v>O</v>
      </c>
      <c r="M1095" s="27" t="str">
        <f>IFERROR(__xludf.DUMMYFUNCTION("GOOGLETRANSLATE(C1095,""EN"",""KN"")"),"ಆಶಾವಾದಿ")</f>
        <v>ಆಶಾವಾದಿ</v>
      </c>
      <c r="N1095" s="27" t="str">
        <f t="array" ref="N1095">_xlfn.XLOOKUP(B1095,'Sets Progress'!I:I,'Sets Progress'!I:I,"NOT YET")</f>
        <v>NOT YET</v>
      </c>
      <c r="O1095" s="27" t="str">
        <f t="array" ref="O1095">_xlfn.XLOOKUP(L:L,'Overall Progress'!L:L,'Overall Progress'!L:L,"NOT YET")</f>
        <v>NOT YET</v>
      </c>
      <c r="P1095" s="27"/>
      <c r="Q1095" s="27"/>
      <c r="R1095" s="27"/>
      <c r="S1095" s="27"/>
      <c r="T1095" s="27"/>
      <c r="U1095" s="27"/>
      <c r="V1095" s="27"/>
      <c r="W1095" s="27"/>
      <c r="X1095" s="27"/>
      <c r="Y1095" s="27"/>
      <c r="Z1095" s="27"/>
    </row>
    <row r="1096" hidden="1" customHeight="1" spans="1:26">
      <c r="A1096" s="26">
        <v>1024</v>
      </c>
      <c r="B1096" s="26">
        <v>70</v>
      </c>
      <c r="C1096" s="26" t="s">
        <v>1359</v>
      </c>
      <c r="D1096" s="26" t="s">
        <v>1721</v>
      </c>
      <c r="E1096" s="26" t="s">
        <v>3019</v>
      </c>
      <c r="F1096" s="26" t="str">
        <f t="shared" si="0"/>
        <v>Temporal Italian Origin</v>
      </c>
      <c r="G1096" s="26">
        <f t="shared" si="1"/>
        <v>8</v>
      </c>
      <c r="H1096" s="26" t="s">
        <v>3968</v>
      </c>
      <c r="I1096" s="26"/>
      <c r="J1096" s="26"/>
      <c r="K1096" s="26"/>
      <c r="L1096" s="26" t="str">
        <f t="shared" si="2"/>
        <v>P</v>
      </c>
      <c r="M1096" s="26" t="str">
        <f>IFERROR(__xludf.DUMMYFUNCTION("GOOGLETRANSLATE(C1096,""EN"",""KN"")"),"ಪಾಸ್ಟಿಚೆ")</f>
        <v>ಪಾಸ್ಟಿಚೆ</v>
      </c>
      <c r="N1096" s="26" t="str">
        <f t="array" ref="N1096">_xlfn.XLOOKUP(B1096,'Sets Progress'!I:I,'Sets Progress'!I:I,"NOT YET")</f>
        <v>NOT YET</v>
      </c>
      <c r="O1096" s="26" t="str">
        <f t="array" ref="O1096">_xlfn.XLOOKUP(L:L,'Overall Progress'!L:L,'Overall Progress'!L:L,"NOT YET")</f>
        <v>NOT YET</v>
      </c>
      <c r="P1096" s="26"/>
      <c r="Q1096" s="26"/>
      <c r="R1096" s="26"/>
      <c r="S1096" s="26"/>
      <c r="T1096" s="26"/>
      <c r="U1096" s="26"/>
      <c r="V1096" s="26"/>
      <c r="W1096" s="26"/>
      <c r="X1096" s="26"/>
      <c r="Y1096" s="26"/>
      <c r="Z1096" s="26"/>
    </row>
    <row r="1097" hidden="1" customHeight="1" spans="1:26">
      <c r="A1097" s="27">
        <v>1132</v>
      </c>
      <c r="B1097" s="27">
        <v>70</v>
      </c>
      <c r="C1097" s="27" t="s">
        <v>1464</v>
      </c>
      <c r="D1097" s="27" t="s">
        <v>1721</v>
      </c>
      <c r="E1097" s="27" t="s">
        <v>2889</v>
      </c>
      <c r="F1097" s="27" t="str">
        <f t="shared" si="0"/>
        <v>Temporal Latin Origin</v>
      </c>
      <c r="G1097" s="27">
        <f t="shared" si="1"/>
        <v>9</v>
      </c>
      <c r="H1097" s="27" t="s">
        <v>3969</v>
      </c>
      <c r="I1097" s="27"/>
      <c r="J1097" s="27"/>
      <c r="K1097" s="27"/>
      <c r="L1097" s="27" t="str">
        <f t="shared" si="2"/>
        <v>P</v>
      </c>
      <c r="M1097" s="27" t="str">
        <f>IFERROR(__xludf.DUMMYFUNCTION("GOOGLETRANSLATE(C1097,""EN"",""KN"")"),"ಪ್ರಚಾರ ಮಾಡಿ")</f>
        <v>ಪ್ರಚಾರ ಮಾಡಿ</v>
      </c>
      <c r="N1097" s="27" t="str">
        <f t="array" ref="N1097">_xlfn.XLOOKUP(B1097,'Sets Progress'!I:I,'Sets Progress'!I:I,"NOT YET")</f>
        <v>NOT YET</v>
      </c>
      <c r="O1097" s="27" t="str">
        <f t="array" ref="O1097">_xlfn.XLOOKUP(L:L,'Overall Progress'!L:L,'Overall Progress'!L:L,"NOT YET")</f>
        <v>NOT YET</v>
      </c>
      <c r="P1097" s="27"/>
      <c r="Q1097" s="27"/>
      <c r="R1097" s="27"/>
      <c r="S1097" s="27"/>
      <c r="T1097" s="27"/>
      <c r="U1097" s="27"/>
      <c r="V1097" s="27"/>
      <c r="W1097" s="27"/>
      <c r="X1097" s="27"/>
      <c r="Y1097" s="27"/>
      <c r="Z1097" s="27"/>
    </row>
    <row r="1098" customHeight="1" spans="1:26">
      <c r="A1098" s="26">
        <v>1169</v>
      </c>
      <c r="B1098" s="26">
        <v>70</v>
      </c>
      <c r="C1098" s="26" t="s">
        <v>1500</v>
      </c>
      <c r="D1098" s="26" t="s">
        <v>2716</v>
      </c>
      <c r="E1098" s="26" t="s">
        <v>2889</v>
      </c>
      <c r="F1098" s="26" t="str">
        <f t="shared" si="0"/>
        <v>Negative Traits Latin Origin</v>
      </c>
      <c r="G1098" s="26">
        <f t="shared" si="1"/>
        <v>9</v>
      </c>
      <c r="H1098" s="26"/>
      <c r="I1098" s="26"/>
      <c r="J1098" s="26"/>
      <c r="K1098" s="26"/>
      <c r="L1098" s="26" t="str">
        <f t="shared" si="2"/>
        <v>R</v>
      </c>
      <c r="M1098" s="26" t="str">
        <f>IFERROR(__xludf.DUMMYFUNCTION("GOOGLETRANSLATE(C1098,""EN"",""KN"")"),"ರಾಪಾಸಿಯಸ್")</f>
        <v>ರಾಪಾಸಿಯಸ್</v>
      </c>
      <c r="N1098" s="26" t="str">
        <f t="array" ref="N1098">_xlfn.XLOOKUP(B1098,'Sets Progress'!I:I,'Sets Progress'!I:I,"NOT YET")</f>
        <v>NOT YET</v>
      </c>
      <c r="O1098" s="26" t="str">
        <f t="array" ref="O1098">_xlfn.XLOOKUP(L:L,'Overall Progress'!L:L,'Overall Progress'!L:L,"NOT YET")</f>
        <v>NOT YET</v>
      </c>
      <c r="P1098" s="26"/>
      <c r="Q1098" s="26"/>
      <c r="R1098" s="26"/>
      <c r="S1098" s="26"/>
      <c r="T1098" s="26"/>
      <c r="U1098" s="26"/>
      <c r="V1098" s="26"/>
      <c r="W1098" s="26"/>
      <c r="X1098" s="26"/>
      <c r="Y1098" s="26"/>
      <c r="Z1098" s="26"/>
    </row>
    <row r="1099" hidden="1" customHeight="1" spans="1:26">
      <c r="A1099" s="27">
        <v>1231</v>
      </c>
      <c r="B1099" s="27">
        <v>70</v>
      </c>
      <c r="C1099" s="27" t="s">
        <v>1562</v>
      </c>
      <c r="D1099" s="27" t="s">
        <v>2717</v>
      </c>
      <c r="E1099" s="27" t="s">
        <v>2893</v>
      </c>
      <c r="F1099" s="27" t="str">
        <f t="shared" si="0"/>
        <v>Positive Traits Greek Origin</v>
      </c>
      <c r="G1099" s="27">
        <f t="shared" si="1"/>
        <v>8</v>
      </c>
      <c r="H1099" s="27" t="s">
        <v>3970</v>
      </c>
      <c r="I1099" s="27"/>
      <c r="J1099" s="27"/>
      <c r="K1099" s="27"/>
      <c r="L1099" s="27" t="str">
        <f t="shared" si="2"/>
        <v>R</v>
      </c>
      <c r="M1099" s="27" t="str">
        <f>IFERROR(__xludf.DUMMYFUNCTION("GOOGLETRANSLATE(C1099,""EN"",""KN"")"),"ರಾಪ್ಸೋಡಿ")</f>
        <v>ರಾಪ್ಸೋಡಿ</v>
      </c>
      <c r="N1099" s="27" t="str">
        <f t="array" ref="N1099">_xlfn.XLOOKUP(B1099,'Sets Progress'!I:I,'Sets Progress'!I:I,"NOT YET")</f>
        <v>NOT YET</v>
      </c>
      <c r="O1099" s="27" t="str">
        <f t="array" ref="O1099">_xlfn.XLOOKUP(L:L,'Overall Progress'!L:L,'Overall Progress'!L:L,"NOT YET")</f>
        <v>NOT YET</v>
      </c>
      <c r="P1099" s="27"/>
      <c r="Q1099" s="27"/>
      <c r="R1099" s="27"/>
      <c r="S1099" s="27"/>
      <c r="T1099" s="27"/>
      <c r="U1099" s="27"/>
      <c r="V1099" s="27"/>
      <c r="W1099" s="27"/>
      <c r="X1099" s="27"/>
      <c r="Y1099" s="27"/>
      <c r="Z1099" s="27"/>
    </row>
    <row r="1100" hidden="1" customHeight="1" spans="1:26">
      <c r="A1100" s="26">
        <v>1488</v>
      </c>
      <c r="B1100" s="26">
        <v>70</v>
      </c>
      <c r="C1100" s="26" t="s">
        <v>1816</v>
      </c>
      <c r="D1100" s="26" t="s">
        <v>1721</v>
      </c>
      <c r="E1100" s="26" t="s">
        <v>2889</v>
      </c>
      <c r="F1100" s="26" t="str">
        <f t="shared" si="0"/>
        <v>Temporal Latin Origin</v>
      </c>
      <c r="G1100" s="26">
        <f t="shared" si="1"/>
        <v>11</v>
      </c>
      <c r="H1100" s="26" t="s">
        <v>3971</v>
      </c>
      <c r="I1100" s="26"/>
      <c r="J1100" s="26"/>
      <c r="K1100" s="26"/>
      <c r="L1100" s="26" t="str">
        <f t="shared" si="2"/>
        <v>U</v>
      </c>
      <c r="M1100" s="26" t="str">
        <f>IFERROR(__xludf.DUMMYFUNCTION("GOOGLETRANSLATE(C1100,""EN"",""KN"")"),"ಪ್ರಯೋಜನವಾದಿ")</f>
        <v>ಪ್ರಯೋಜನವಾದಿ</v>
      </c>
      <c r="N1100" s="26" t="str">
        <f t="array" ref="N1100">_xlfn.XLOOKUP(B1100,'Sets Progress'!I:I,'Sets Progress'!I:I,"NOT YET")</f>
        <v>NOT YET</v>
      </c>
      <c r="O1100" s="26" t="str">
        <f t="array" ref="O1100">_xlfn.XLOOKUP(L:L,'Overall Progress'!L:L,'Overall Progress'!L:L,"NOT YET")</f>
        <v>NOT YET</v>
      </c>
      <c r="P1100" s="26"/>
      <c r="Q1100" s="26"/>
      <c r="R1100" s="26"/>
      <c r="S1100" s="26"/>
      <c r="T1100" s="26"/>
      <c r="U1100" s="26"/>
      <c r="V1100" s="26"/>
      <c r="W1100" s="26"/>
      <c r="X1100" s="26"/>
      <c r="Y1100" s="26"/>
      <c r="Z1100" s="26"/>
    </row>
    <row r="1101" hidden="1" customHeight="1" spans="1:26">
      <c r="A1101" s="27">
        <v>26</v>
      </c>
      <c r="B1101" s="27">
        <v>71</v>
      </c>
      <c r="C1101" s="27" t="s">
        <v>388</v>
      </c>
      <c r="D1101" s="27" t="s">
        <v>2928</v>
      </c>
      <c r="E1101" s="27" t="s">
        <v>2893</v>
      </c>
      <c r="F1101" s="27" t="str">
        <f t="shared" si="0"/>
        <v>Philosophical Greek Origin</v>
      </c>
      <c r="G1101" s="27">
        <f t="shared" si="1"/>
        <v>7</v>
      </c>
      <c r="H1101" s="27" t="s">
        <v>3972</v>
      </c>
      <c r="I1101" s="27"/>
      <c r="J1101" s="27"/>
      <c r="K1101" s="27"/>
      <c r="L1101" s="27" t="str">
        <f t="shared" si="2"/>
        <v>A</v>
      </c>
      <c r="M1101" s="27" t="str">
        <f>IFERROR(__xludf.DUMMYFUNCTION("GOOGLETRANSLATE(C1101,""EN"",""KN"")"),"ಅಕೋಲೈಟ್")</f>
        <v>ಅಕೋಲೈಟ್</v>
      </c>
      <c r="N1101" s="27" t="str">
        <f t="array" ref="N1101">_xlfn.XLOOKUP(B1101,'Sets Progress'!I:I,'Sets Progress'!I:I,"NOT YET")</f>
        <v>NOT YET</v>
      </c>
      <c r="O1101" s="27" t="str">
        <f t="array" ref="O1101">_xlfn.XLOOKUP(L:L,'Overall Progress'!L:L,'Overall Progress'!L:L,"NOT YET")</f>
        <v>NOT YET</v>
      </c>
      <c r="P1101" s="27"/>
      <c r="Q1101" s="27"/>
      <c r="R1101" s="27"/>
      <c r="S1101" s="27"/>
      <c r="T1101" s="27"/>
      <c r="U1101" s="27"/>
      <c r="V1101" s="27"/>
      <c r="W1101" s="27"/>
      <c r="X1101" s="27"/>
      <c r="Y1101" s="27"/>
      <c r="Z1101" s="27"/>
    </row>
    <row r="1102" hidden="1" customHeight="1" spans="1:26">
      <c r="A1102" s="26">
        <v>121</v>
      </c>
      <c r="B1102" s="26">
        <v>71</v>
      </c>
      <c r="C1102" s="26" t="s">
        <v>470</v>
      </c>
      <c r="D1102" s="26" t="s">
        <v>3022</v>
      </c>
      <c r="E1102" s="26" t="s">
        <v>2889</v>
      </c>
      <c r="F1102" s="26" t="str">
        <f t="shared" si="0"/>
        <v>Intellectual Latin Origin</v>
      </c>
      <c r="G1102" s="26">
        <f t="shared" si="1"/>
        <v>6</v>
      </c>
      <c r="H1102" s="26" t="s">
        <v>3973</v>
      </c>
      <c r="I1102" s="26"/>
      <c r="J1102" s="26"/>
      <c r="K1102" s="26"/>
      <c r="L1102" s="26" t="str">
        <f t="shared" si="2"/>
        <v>A</v>
      </c>
      <c r="M1102" s="26" t="str">
        <f>IFERROR(__xludf.DUMMYFUNCTION("GOOGLETRANSLATE(C1102,""EN"",""KN"")"),"ಚಾಣಾಕ್ಷ")</f>
        <v>ಚಾಣಾಕ್ಷ</v>
      </c>
      <c r="N1102" s="26" t="str">
        <f t="array" ref="N1102">_xlfn.XLOOKUP(B1102,'Sets Progress'!I:I,'Sets Progress'!I:I,"NOT YET")</f>
        <v>NOT YET</v>
      </c>
      <c r="O1102" s="26" t="str">
        <f t="array" ref="O1102">_xlfn.XLOOKUP(L:L,'Overall Progress'!L:L,'Overall Progress'!L:L,"NOT YET")</f>
        <v>NOT YET</v>
      </c>
      <c r="P1102" s="26"/>
      <c r="Q1102" s="26"/>
      <c r="R1102" s="26"/>
      <c r="S1102" s="26"/>
      <c r="T1102" s="26"/>
      <c r="U1102" s="26"/>
      <c r="V1102" s="26"/>
      <c r="W1102" s="26"/>
      <c r="X1102" s="26"/>
      <c r="Y1102" s="26"/>
      <c r="Z1102" s="26"/>
    </row>
    <row r="1103" hidden="1" customHeight="1" spans="1:26">
      <c r="A1103" s="27">
        <v>124</v>
      </c>
      <c r="B1103" s="27">
        <v>71</v>
      </c>
      <c r="C1103" s="27" t="s">
        <v>473</v>
      </c>
      <c r="D1103" s="27" t="s">
        <v>2928</v>
      </c>
      <c r="E1103" s="27" t="s">
        <v>2889</v>
      </c>
      <c r="F1103" s="27" t="str">
        <f t="shared" si="0"/>
        <v>Philosophical Latin Origin</v>
      </c>
      <c r="G1103" s="27">
        <f t="shared" si="1"/>
        <v>9</v>
      </c>
      <c r="H1103" s="27" t="s">
        <v>3974</v>
      </c>
      <c r="I1103" s="27"/>
      <c r="J1103" s="27"/>
      <c r="K1103" s="27"/>
      <c r="L1103" s="27" t="str">
        <f t="shared" si="2"/>
        <v>A</v>
      </c>
      <c r="M1103" s="27" t="str">
        <f>IFERROR(__xludf.DUMMYFUNCTION("GOOGLETRANSLATE(C1103,""EN"",""KN"")"),"ಗುಣಲಕ್ಷಣ")</f>
        <v>ಗುಣಲಕ್ಷಣ</v>
      </c>
      <c r="N1103" s="27" t="str">
        <f t="array" ref="N1103">_xlfn.XLOOKUP(B1103,'Sets Progress'!I:I,'Sets Progress'!I:I,"NOT YET")</f>
        <v>NOT YET</v>
      </c>
      <c r="O1103" s="27" t="str">
        <f t="array" ref="O1103">_xlfn.XLOOKUP(L:L,'Overall Progress'!L:L,'Overall Progress'!L:L,"NOT YET")</f>
        <v>NOT YET</v>
      </c>
      <c r="P1103" s="27"/>
      <c r="Q1103" s="27"/>
      <c r="R1103" s="27"/>
      <c r="S1103" s="27"/>
      <c r="T1103" s="27"/>
      <c r="U1103" s="27"/>
      <c r="V1103" s="27"/>
      <c r="W1103" s="27"/>
      <c r="X1103" s="27"/>
      <c r="Y1103" s="27"/>
      <c r="Z1103" s="27"/>
    </row>
    <row r="1104" hidden="1" customHeight="1" spans="1:26">
      <c r="A1104" s="26">
        <v>262</v>
      </c>
      <c r="B1104" s="26">
        <v>71</v>
      </c>
      <c r="C1104" s="26" t="s">
        <v>615</v>
      </c>
      <c r="D1104" s="26" t="s">
        <v>2717</v>
      </c>
      <c r="E1104" s="26" t="s">
        <v>2889</v>
      </c>
      <c r="F1104" s="26" t="str">
        <f t="shared" si="0"/>
        <v>Positive Traits Latin Origin</v>
      </c>
      <c r="G1104" s="26">
        <f t="shared" si="1"/>
        <v>10</v>
      </c>
      <c r="H1104" s="26" t="s">
        <v>3975</v>
      </c>
      <c r="I1104" s="26"/>
      <c r="J1104" s="26"/>
      <c r="K1104" s="26"/>
      <c r="L1104" s="26" t="str">
        <f t="shared" si="2"/>
        <v>C</v>
      </c>
      <c r="M1104" s="26" t="str">
        <f>IFERROR(__xludf.DUMMYFUNCTION("GOOGLETRANSLATE(C1104,""EN"",""KN"")"),"ಬಲವಂತ")</f>
        <v>ಬಲವಂತ</v>
      </c>
      <c r="N1104" s="26" t="str">
        <f t="array" ref="N1104">_xlfn.XLOOKUP(B1104,'Sets Progress'!I:I,'Sets Progress'!I:I,"NOT YET")</f>
        <v>NOT YET</v>
      </c>
      <c r="O1104" s="26" t="str">
        <f t="array" ref="O1104">_xlfn.XLOOKUP(L:L,'Overall Progress'!L:L,'Overall Progress'!L:L,"NOT YET")</f>
        <v>NOT YET</v>
      </c>
      <c r="P1104" s="26"/>
      <c r="Q1104" s="26"/>
      <c r="R1104" s="26"/>
      <c r="S1104" s="26"/>
      <c r="T1104" s="26"/>
      <c r="U1104" s="26"/>
      <c r="V1104" s="26"/>
      <c r="W1104" s="26"/>
      <c r="X1104" s="26"/>
      <c r="Y1104" s="26"/>
      <c r="Z1104" s="26"/>
    </row>
    <row r="1105" customHeight="1" spans="1:26">
      <c r="A1105" s="27">
        <v>537</v>
      </c>
      <c r="B1105" s="27">
        <v>71</v>
      </c>
      <c r="C1105" s="27" t="s">
        <v>883</v>
      </c>
      <c r="D1105" s="27" t="s">
        <v>1721</v>
      </c>
      <c r="E1105" s="27" t="s">
        <v>2896</v>
      </c>
      <c r="F1105" s="27" t="str">
        <f t="shared" si="0"/>
        <v>Temporal Old French Origin</v>
      </c>
      <c r="G1105" s="27">
        <f t="shared" si="1"/>
        <v>8</v>
      </c>
      <c r="H1105" s="27"/>
      <c r="I1105" s="27"/>
      <c r="J1105" s="27"/>
      <c r="K1105" s="27"/>
      <c r="L1105" s="27" t="str">
        <f t="shared" si="2"/>
        <v>E</v>
      </c>
      <c r="M1105" s="27" t="str">
        <f>IFERROR(__xludf.DUMMYFUNCTION("GOOGLETRANSLATE(C1105,""EN"",""KN"")"),"ಎಸ್ಟ್ರೇಂಜ್")</f>
        <v>ಎಸ್ಟ್ರೇಂಜ್</v>
      </c>
      <c r="N1105" s="27" t="str">
        <f t="array" ref="N1105">_xlfn.XLOOKUP(B1105,'Sets Progress'!I:I,'Sets Progress'!I:I,"NOT YET")</f>
        <v>NOT YET</v>
      </c>
      <c r="O1105" s="27" t="str">
        <f t="array" ref="O1105">_xlfn.XLOOKUP(L:L,'Overall Progress'!L:L,'Overall Progress'!L:L,"NOT YET")</f>
        <v>NOT YET</v>
      </c>
      <c r="P1105" s="27"/>
      <c r="Q1105" s="27"/>
      <c r="R1105" s="27"/>
      <c r="S1105" s="27"/>
      <c r="T1105" s="27"/>
      <c r="U1105" s="27"/>
      <c r="V1105" s="27"/>
      <c r="W1105" s="27"/>
      <c r="X1105" s="27"/>
      <c r="Y1105" s="27"/>
      <c r="Z1105" s="27"/>
    </row>
    <row r="1106" customHeight="1" spans="1:26">
      <c r="A1106" s="26">
        <v>566</v>
      </c>
      <c r="B1106" s="26">
        <v>71</v>
      </c>
      <c r="C1106" s="26" t="s">
        <v>912</v>
      </c>
      <c r="D1106" s="26" t="s">
        <v>1721</v>
      </c>
      <c r="E1106" s="26" t="s">
        <v>2889</v>
      </c>
      <c r="F1106" s="26" t="str">
        <f t="shared" si="0"/>
        <v>Temporal Latin Origin</v>
      </c>
      <c r="G1106" s="26">
        <f t="shared" si="1"/>
        <v>7</v>
      </c>
      <c r="H1106" s="26"/>
      <c r="I1106" s="26"/>
      <c r="J1106" s="26"/>
      <c r="K1106" s="26"/>
      <c r="L1106" s="26" t="str">
        <f t="shared" si="2"/>
        <v>E</v>
      </c>
      <c r="M1106" s="26" t="str">
        <f>IFERROR(__xludf.DUMMYFUNCTION("GOOGLETRANSLATE(C1106,""EN"",""KN"")"),"ದುರ್ಬಳಕೆ ಮಾಡಿಕೊಳ್ಳಿ")</f>
        <v>ದುರ್ಬಳಕೆ ಮಾಡಿಕೊಳ್ಳಿ</v>
      </c>
      <c r="N1106" s="26" t="str">
        <f t="array" ref="N1106">_xlfn.XLOOKUP(B1106,'Sets Progress'!I:I,'Sets Progress'!I:I,"NOT YET")</f>
        <v>NOT YET</v>
      </c>
      <c r="O1106" s="26" t="str">
        <f t="array" ref="O1106">_xlfn.XLOOKUP(L:L,'Overall Progress'!L:L,'Overall Progress'!L:L,"NOT YET")</f>
        <v>NOT YET</v>
      </c>
      <c r="P1106" s="26"/>
      <c r="Q1106" s="26"/>
      <c r="R1106" s="26"/>
      <c r="S1106" s="26"/>
      <c r="T1106" s="26"/>
      <c r="U1106" s="26"/>
      <c r="V1106" s="26"/>
      <c r="W1106" s="26"/>
      <c r="X1106" s="26"/>
      <c r="Y1106" s="26"/>
      <c r="Z1106" s="26"/>
    </row>
    <row r="1107" hidden="1" customHeight="1" spans="1:26">
      <c r="A1107" s="27">
        <v>661</v>
      </c>
      <c r="B1107" s="27">
        <v>71</v>
      </c>
      <c r="C1107" s="27" t="s">
        <v>3976</v>
      </c>
      <c r="D1107" s="27" t="s">
        <v>1638</v>
      </c>
      <c r="E1107" s="27" t="s">
        <v>2908</v>
      </c>
      <c r="F1107" s="27" t="str">
        <f t="shared" si="0"/>
        <v>Sound Old English Origin</v>
      </c>
      <c r="G1107" s="27">
        <f t="shared" si="1"/>
        <v>9</v>
      </c>
      <c r="H1107" s="27" t="s">
        <v>3977</v>
      </c>
      <c r="I1107" s="27"/>
      <c r="J1107" s="27"/>
      <c r="K1107" s="27"/>
      <c r="L1107" s="27" t="str">
        <f t="shared" si="2"/>
        <v>G</v>
      </c>
      <c r="M1107" s="27" t="str">
        <f>IFERROR(__xludf.DUMMYFUNCTION("GOOGLETRANSLATE(C1107,""EN"",""KN"")"),"ಗೂಸ್ಬಂಪ್")</f>
        <v>ಗೂಸ್ಬಂಪ್</v>
      </c>
      <c r="N1107" s="27" t="str">
        <f t="array" ref="N1107">_xlfn.XLOOKUP(B1107,'Sets Progress'!I:I,'Sets Progress'!I:I,"NOT YET")</f>
        <v>NOT YET</v>
      </c>
      <c r="O1107" s="27" t="str">
        <f t="array" ref="O1107">_xlfn.XLOOKUP(L:L,'Overall Progress'!L:L,'Overall Progress'!L:L,"NOT YET")</f>
        <v>NOT YET</v>
      </c>
      <c r="P1107" s="27"/>
      <c r="Q1107" s="27"/>
      <c r="R1107" s="27"/>
      <c r="S1107" s="27"/>
      <c r="T1107" s="27"/>
      <c r="U1107" s="27"/>
      <c r="V1107" s="27"/>
      <c r="W1107" s="27"/>
      <c r="X1107" s="27"/>
      <c r="Y1107" s="27"/>
      <c r="Z1107" s="27"/>
    </row>
    <row r="1108" hidden="1" customHeight="1" spans="1:26">
      <c r="A1108" s="26">
        <v>750</v>
      </c>
      <c r="B1108" s="26">
        <v>71</v>
      </c>
      <c r="C1108" s="26" t="s">
        <v>1091</v>
      </c>
      <c r="D1108" s="26" t="s">
        <v>1721</v>
      </c>
      <c r="E1108" s="26" t="s">
        <v>2889</v>
      </c>
      <c r="F1108" s="26" t="str">
        <f t="shared" si="0"/>
        <v>Temporal Latin Origin</v>
      </c>
      <c r="G1108" s="26">
        <f t="shared" si="1"/>
        <v>15</v>
      </c>
      <c r="H1108" s="26" t="s">
        <v>3978</v>
      </c>
      <c r="I1108" s="26"/>
      <c r="J1108" s="26"/>
      <c r="K1108" s="26"/>
      <c r="L1108" s="26" t="str">
        <f t="shared" si="2"/>
        <v>I</v>
      </c>
      <c r="M1108" s="26" t="str">
        <f>IFERROR(__xludf.DUMMYFUNCTION("GOOGLETRANSLATE(C1108,""EN"",""KN"")"),"ಅಸಂಗತ")</f>
        <v>ಅಸಂಗತ</v>
      </c>
      <c r="N1108" s="26" t="str">
        <f t="array" ref="N1108">_xlfn.XLOOKUP(B1108,'Sets Progress'!I:I,'Sets Progress'!I:I,"NOT YET")</f>
        <v>NOT YET</v>
      </c>
      <c r="O1108" s="26" t="str">
        <f t="array" ref="O1108">_xlfn.XLOOKUP(L:L,'Overall Progress'!L:L,'Overall Progress'!L:L,"NOT YET")</f>
        <v>NOT YET</v>
      </c>
      <c r="P1108" s="26"/>
      <c r="Q1108" s="26"/>
      <c r="R1108" s="26"/>
      <c r="S1108" s="26"/>
      <c r="T1108" s="26"/>
      <c r="U1108" s="26"/>
      <c r="V1108" s="26"/>
      <c r="W1108" s="26"/>
      <c r="X1108" s="26"/>
      <c r="Y1108" s="26"/>
      <c r="Z1108" s="26"/>
    </row>
    <row r="1109" hidden="1" customHeight="1" spans="1:26">
      <c r="A1109" s="27">
        <v>776</v>
      </c>
      <c r="B1109" s="27">
        <v>71</v>
      </c>
      <c r="C1109" s="27" t="s">
        <v>1117</v>
      </c>
      <c r="D1109" s="27" t="s">
        <v>1721</v>
      </c>
      <c r="E1109" s="27" t="s">
        <v>2889</v>
      </c>
      <c r="F1109" s="27" t="str">
        <f t="shared" si="0"/>
        <v>Temporal Latin Origin</v>
      </c>
      <c r="G1109" s="27">
        <f t="shared" si="1"/>
        <v>10</v>
      </c>
      <c r="H1109" s="27" t="s">
        <v>3979</v>
      </c>
      <c r="I1109" s="27"/>
      <c r="J1109" s="27"/>
      <c r="K1109" s="27"/>
      <c r="L1109" s="27" t="str">
        <f t="shared" si="2"/>
        <v>I</v>
      </c>
      <c r="M1109" s="27" t="str">
        <f>IFERROR(__xludf.DUMMYFUNCTION("GOOGLETRANSLATE(C1109,""EN"",""KN"")"),"ಅನಿವಾರ್ಯ")</f>
        <v>ಅನಿವಾರ್ಯ</v>
      </c>
      <c r="N1109" s="27" t="str">
        <f t="array" ref="N1109">_xlfn.XLOOKUP(B1109,'Sets Progress'!I:I,'Sets Progress'!I:I,"NOT YET")</f>
        <v>NOT YET</v>
      </c>
      <c r="O1109" s="27" t="str">
        <f t="array" ref="O1109">_xlfn.XLOOKUP(L:L,'Overall Progress'!L:L,'Overall Progress'!L:L,"NOT YET")</f>
        <v>NOT YET</v>
      </c>
      <c r="P1109" s="27"/>
      <c r="Q1109" s="27"/>
      <c r="R1109" s="27"/>
      <c r="S1109" s="27"/>
      <c r="T1109" s="27"/>
      <c r="U1109" s="27"/>
      <c r="V1109" s="27"/>
      <c r="W1109" s="27"/>
      <c r="X1109" s="27"/>
      <c r="Y1109" s="27"/>
      <c r="Z1109" s="27"/>
    </row>
    <row r="1110" hidden="1" customHeight="1" spans="1:26">
      <c r="A1110" s="26">
        <v>904</v>
      </c>
      <c r="B1110" s="26">
        <v>71</v>
      </c>
      <c r="C1110" s="26" t="s">
        <v>1241</v>
      </c>
      <c r="D1110" s="26" t="s">
        <v>2716</v>
      </c>
      <c r="E1110" s="26" t="s">
        <v>2896</v>
      </c>
      <c r="F1110" s="26" t="str">
        <f t="shared" si="0"/>
        <v>Negative Traits Old French Origin</v>
      </c>
      <c r="G1110" s="26">
        <f t="shared" si="1"/>
        <v>6</v>
      </c>
      <c r="H1110" s="26" t="s">
        <v>3980</v>
      </c>
      <c r="I1110" s="26"/>
      <c r="J1110" s="26"/>
      <c r="K1110" s="26"/>
      <c r="L1110" s="26" t="str">
        <f t="shared" si="2"/>
        <v>M</v>
      </c>
      <c r="M1110" s="26" t="str">
        <f>IFERROR(__xludf.DUMMYFUNCTION("GOOGLETRANSLATE(C1110,""EN"",""KN"")"),"ಬೆದರಿಕೆ")</f>
        <v>ಬೆದರಿಕೆ</v>
      </c>
      <c r="N1110" s="26" t="str">
        <f t="array" ref="N1110">_xlfn.XLOOKUP(B1110,'Sets Progress'!I:I,'Sets Progress'!I:I,"NOT YET")</f>
        <v>NOT YET</v>
      </c>
      <c r="O1110" s="26" t="str">
        <f t="array" ref="O1110">_xlfn.XLOOKUP(L:L,'Overall Progress'!L:L,'Overall Progress'!L:L,"NOT YET")</f>
        <v>NOT YET</v>
      </c>
      <c r="P1110" s="26"/>
      <c r="Q1110" s="26"/>
      <c r="R1110" s="26"/>
      <c r="S1110" s="26"/>
      <c r="T1110" s="26"/>
      <c r="U1110" s="26"/>
      <c r="V1110" s="26"/>
      <c r="W1110" s="26"/>
      <c r="X1110" s="26"/>
      <c r="Y1110" s="26"/>
      <c r="Z1110" s="26"/>
    </row>
    <row r="1111" hidden="1" customHeight="1" spans="1:26">
      <c r="A1111" s="27">
        <v>1148</v>
      </c>
      <c r="B1111" s="27">
        <v>71</v>
      </c>
      <c r="C1111" s="27" t="s">
        <v>1479</v>
      </c>
      <c r="D1111" s="27" t="s">
        <v>2716</v>
      </c>
      <c r="E1111" s="27" t="s">
        <v>2889</v>
      </c>
      <c r="F1111" s="27" t="str">
        <f t="shared" si="0"/>
        <v>Negative Traits Latin Origin</v>
      </c>
      <c r="G1111" s="27">
        <f t="shared" si="1"/>
        <v>8</v>
      </c>
      <c r="H1111" s="27" t="s">
        <v>3981</v>
      </c>
      <c r="I1111" s="27"/>
      <c r="J1111" s="27"/>
      <c r="K1111" s="27"/>
      <c r="L1111" s="27" t="str">
        <f t="shared" si="2"/>
        <v>P</v>
      </c>
      <c r="M1111" s="27" t="str">
        <f>IFERROR(__xludf.DUMMYFUNCTION("GOOGLETRANSLATE(C1111,""EN"",""KN"")"),"ಪ್ರುರಿಯಂಟ್")</f>
        <v>ಪ್ರುರಿಯಂಟ್</v>
      </c>
      <c r="N1111" s="27" t="str">
        <f t="array" ref="N1111">_xlfn.XLOOKUP(B1111,'Sets Progress'!I:I,'Sets Progress'!I:I,"NOT YET")</f>
        <v>NOT YET</v>
      </c>
      <c r="O1111" s="27" t="str">
        <f t="array" ref="O1111">_xlfn.XLOOKUP(L:L,'Overall Progress'!L:L,'Overall Progress'!L:L,"NOT YET")</f>
        <v>NOT YET</v>
      </c>
      <c r="P1111" s="27"/>
      <c r="Q1111" s="27"/>
      <c r="R1111" s="27"/>
      <c r="S1111" s="27"/>
      <c r="T1111" s="27"/>
      <c r="U1111" s="27"/>
      <c r="V1111" s="27"/>
      <c r="W1111" s="27"/>
      <c r="X1111" s="27"/>
      <c r="Y1111" s="27"/>
      <c r="Z1111" s="27"/>
    </row>
    <row r="1112" hidden="1" customHeight="1" spans="1:26">
      <c r="A1112" s="26">
        <v>1214</v>
      </c>
      <c r="B1112" s="26">
        <v>71</v>
      </c>
      <c r="C1112" s="26" t="s">
        <v>1545</v>
      </c>
      <c r="D1112" s="26" t="s">
        <v>2716</v>
      </c>
      <c r="E1112" s="26" t="s">
        <v>2889</v>
      </c>
      <c r="F1112" s="26" t="str">
        <f t="shared" si="0"/>
        <v>Negative Traits Latin Origin</v>
      </c>
      <c r="G1112" s="26">
        <f t="shared" si="1"/>
        <v>9</v>
      </c>
      <c r="H1112" s="26" t="s">
        <v>3982</v>
      </c>
      <c r="I1112" s="26"/>
      <c r="J1112" s="26"/>
      <c r="K1112" s="26"/>
      <c r="L1112" s="26" t="str">
        <f t="shared" si="2"/>
        <v>R</v>
      </c>
      <c r="M1112" s="26" t="str">
        <f>IFERROR(__xludf.DUMMYFUNCTION("GOOGLETRANSLATE(C1112,""EN"",""KN"")"),"ಅಸಹ್ಯಕರ")</f>
        <v>ಅಸಹ್ಯಕರ</v>
      </c>
      <c r="N1112" s="26" t="str">
        <f t="array" ref="N1112">_xlfn.XLOOKUP(B1112,'Sets Progress'!I:I,'Sets Progress'!I:I,"NOT YET")</f>
        <v>NOT YET</v>
      </c>
      <c r="O1112" s="26" t="str">
        <f t="array" ref="O1112">_xlfn.XLOOKUP(L:L,'Overall Progress'!L:L,'Overall Progress'!L:L,"NOT YET")</f>
        <v>NOT YET</v>
      </c>
      <c r="P1112" s="26"/>
      <c r="Q1112" s="26"/>
      <c r="R1112" s="26"/>
      <c r="S1112" s="26"/>
      <c r="T1112" s="26"/>
      <c r="U1112" s="26"/>
      <c r="V1112" s="26"/>
      <c r="W1112" s="26"/>
      <c r="X1112" s="26"/>
      <c r="Y1112" s="26"/>
      <c r="Z1112" s="26"/>
    </row>
    <row r="1113" hidden="1" customHeight="1" spans="1:26">
      <c r="A1113" s="27">
        <v>1224</v>
      </c>
      <c r="B1113" s="27">
        <v>71</v>
      </c>
      <c r="C1113" s="27" t="s">
        <v>1555</v>
      </c>
      <c r="D1113" s="27" t="s">
        <v>1721</v>
      </c>
      <c r="E1113" s="27" t="s">
        <v>2896</v>
      </c>
      <c r="F1113" s="27" t="str">
        <f t="shared" si="0"/>
        <v>Temporal Old French Origin</v>
      </c>
      <c r="G1113" s="27">
        <f t="shared" si="1"/>
        <v>8</v>
      </c>
      <c r="H1113" s="27" t="s">
        <v>3983</v>
      </c>
      <c r="I1113" s="27"/>
      <c r="J1113" s="27"/>
      <c r="K1113" s="27"/>
      <c r="L1113" s="27" t="str">
        <f t="shared" si="2"/>
        <v>R</v>
      </c>
      <c r="M1113" s="27" t="str">
        <f>IFERROR(__xludf.DUMMYFUNCTION("GOOGLETRANSLATE(C1113,""EN"",""KN"")"),"ನಿಗ್ರಹಿಸಿ")</f>
        <v>ನಿಗ್ರಹಿಸಿ</v>
      </c>
      <c r="N1113" s="27" t="str">
        <f t="array" ref="N1113">_xlfn.XLOOKUP(B1113,'Sets Progress'!I:I,'Sets Progress'!I:I,"NOT YET")</f>
        <v>NOT YET</v>
      </c>
      <c r="O1113" s="27" t="str">
        <f t="array" ref="O1113">_xlfn.XLOOKUP(L:L,'Overall Progress'!L:L,'Overall Progress'!L:L,"NOT YET")</f>
        <v>NOT YET</v>
      </c>
      <c r="P1113" s="27"/>
      <c r="Q1113" s="27"/>
      <c r="R1113" s="27"/>
      <c r="S1113" s="27"/>
      <c r="T1113" s="27"/>
      <c r="U1113" s="27"/>
      <c r="V1113" s="27"/>
      <c r="W1113" s="27"/>
      <c r="X1113" s="27"/>
      <c r="Y1113" s="27"/>
      <c r="Z1113" s="27"/>
    </row>
    <row r="1114" hidden="1" customHeight="1" spans="1:26">
      <c r="A1114" s="26">
        <v>1247</v>
      </c>
      <c r="B1114" s="26">
        <v>71</v>
      </c>
      <c r="C1114" s="26" t="s">
        <v>1578</v>
      </c>
      <c r="D1114" s="26" t="s">
        <v>2716</v>
      </c>
      <c r="E1114" s="26" t="s">
        <v>2889</v>
      </c>
      <c r="F1114" s="26" t="str">
        <f t="shared" si="0"/>
        <v>Negative Traits Latin Origin</v>
      </c>
      <c r="G1114" s="26">
        <f t="shared" si="1"/>
        <v>13</v>
      </c>
      <c r="H1114" s="26" t="s">
        <v>3984</v>
      </c>
      <c r="I1114" s="26"/>
      <c r="J1114" s="26"/>
      <c r="K1114" s="26"/>
      <c r="L1114" s="26" t="str">
        <f t="shared" si="2"/>
        <v>S</v>
      </c>
      <c r="M1114" s="26" t="str">
        <f>IFERROR(__xludf.DUMMYFUNCTION("GOOGLETRANSLATE(C1114,""EN"",""KN"")"),"ಪವಿತ್ರವಾದ")</f>
        <v>ಪವಿತ್ರವಾದ</v>
      </c>
      <c r="N1114" s="26" t="str">
        <f t="array" ref="N1114">_xlfn.XLOOKUP(B1114,'Sets Progress'!I:I,'Sets Progress'!I:I,"NOT YET")</f>
        <v>NOT YET</v>
      </c>
      <c r="O1114" s="26" t="str">
        <f t="array" ref="O1114">_xlfn.XLOOKUP(L:L,'Overall Progress'!L:L,'Overall Progress'!L:L,"NOT YET")</f>
        <v>NOT YET</v>
      </c>
      <c r="P1114" s="26"/>
      <c r="Q1114" s="26"/>
      <c r="R1114" s="26"/>
      <c r="S1114" s="26"/>
      <c r="T1114" s="26"/>
      <c r="U1114" s="26"/>
      <c r="V1114" s="26"/>
      <c r="W1114" s="26"/>
      <c r="X1114" s="26"/>
      <c r="Y1114" s="26"/>
      <c r="Z1114" s="26"/>
    </row>
    <row r="1115" hidden="1" customHeight="1" spans="1:26">
      <c r="A1115" s="27">
        <v>1350</v>
      </c>
      <c r="B1115" s="27">
        <v>71</v>
      </c>
      <c r="C1115" s="27" t="s">
        <v>1681</v>
      </c>
      <c r="D1115" s="27" t="s">
        <v>2716</v>
      </c>
      <c r="E1115" s="27" t="s">
        <v>2889</v>
      </c>
      <c r="F1115" s="27" t="str">
        <f t="shared" si="0"/>
        <v>Negative Traits Latin Origin</v>
      </c>
      <c r="G1115" s="27">
        <f t="shared" si="1"/>
        <v>14</v>
      </c>
      <c r="H1115" s="27" t="s">
        <v>3985</v>
      </c>
      <c r="I1115" s="27"/>
      <c r="J1115" s="27"/>
      <c r="K1115" s="27"/>
      <c r="L1115" s="27" t="str">
        <f t="shared" si="2"/>
        <v>S</v>
      </c>
      <c r="M1115" s="27" t="str">
        <f>IFERROR(__xludf.DUMMYFUNCTION("GOOGLETRANSLATE(C1115,""EN"",""KN"")"),"ಮೇಲ್ನೋಟಕ್ಕೆ")</f>
        <v>ಮೇಲ್ನೋಟಕ್ಕೆ</v>
      </c>
      <c r="N1115" s="27" t="str">
        <f t="array" ref="N1115">_xlfn.XLOOKUP(B1115,'Sets Progress'!I:I,'Sets Progress'!I:I,"NOT YET")</f>
        <v>NOT YET</v>
      </c>
      <c r="O1115" s="27" t="str">
        <f t="array" ref="O1115">_xlfn.XLOOKUP(L:L,'Overall Progress'!L:L,'Overall Progress'!L:L,"NOT YET")</f>
        <v>NOT YET</v>
      </c>
      <c r="P1115" s="27"/>
      <c r="Q1115" s="27"/>
      <c r="R1115" s="27"/>
      <c r="S1115" s="27"/>
      <c r="T1115" s="27"/>
      <c r="U1115" s="27"/>
      <c r="V1115" s="27"/>
      <c r="W1115" s="27"/>
      <c r="X1115" s="27"/>
      <c r="Y1115" s="27"/>
      <c r="Z1115" s="27"/>
    </row>
    <row r="1116" hidden="1" customHeight="1" spans="1:26">
      <c r="A1116" s="26">
        <v>1471</v>
      </c>
      <c r="B1116" s="26">
        <v>71</v>
      </c>
      <c r="C1116" s="26" t="s">
        <v>1799</v>
      </c>
      <c r="D1116" s="26" t="s">
        <v>1721</v>
      </c>
      <c r="E1116" s="26" t="s">
        <v>2908</v>
      </c>
      <c r="F1116" s="26" t="str">
        <f t="shared" si="0"/>
        <v>Temporal Old English Origin</v>
      </c>
      <c r="G1116" s="26">
        <f t="shared" si="1"/>
        <v>13</v>
      </c>
      <c r="H1116" s="26" t="s">
        <v>3986</v>
      </c>
      <c r="I1116" s="26"/>
      <c r="J1116" s="26"/>
      <c r="K1116" s="26"/>
      <c r="L1116" s="26" t="str">
        <f t="shared" si="2"/>
        <v>U</v>
      </c>
      <c r="M1116" s="26" t="str">
        <f>IFERROR(__xludf.DUMMYFUNCTION("GOOGLETRANSLATE(C1116,""EN"",""KN"")"),"ಅಭೂತಪೂರ್ವ")</f>
        <v>ಅಭೂತಪೂರ್ವ</v>
      </c>
      <c r="N1116" s="26" t="str">
        <f t="array" ref="N1116">_xlfn.XLOOKUP(B1116,'Sets Progress'!I:I,'Sets Progress'!I:I,"NOT YET")</f>
        <v>NOT YET</v>
      </c>
      <c r="O1116" s="26" t="str">
        <f t="array" ref="O1116">_xlfn.XLOOKUP(L:L,'Overall Progress'!L:L,'Overall Progress'!L:L,"NOT YET")</f>
        <v>NOT YET</v>
      </c>
      <c r="P1116" s="26"/>
      <c r="Q1116" s="26"/>
      <c r="R1116" s="26"/>
      <c r="S1116" s="26"/>
      <c r="T1116" s="26"/>
      <c r="U1116" s="26"/>
      <c r="V1116" s="26"/>
      <c r="W1116" s="26"/>
      <c r="X1116" s="26"/>
      <c r="Y1116" s="26"/>
      <c r="Z1116" s="26"/>
    </row>
    <row r="1117" hidden="1" customHeight="1" spans="1:26">
      <c r="A1117" s="27">
        <v>31</v>
      </c>
      <c r="B1117" s="27">
        <v>72</v>
      </c>
      <c r="C1117" s="27" t="s">
        <v>327</v>
      </c>
      <c r="D1117" s="27" t="s">
        <v>3022</v>
      </c>
      <c r="E1117" s="27" t="s">
        <v>2889</v>
      </c>
      <c r="F1117" s="27" t="str">
        <f t="shared" si="0"/>
        <v>Intellectual Latin Origin</v>
      </c>
      <c r="G1117" s="27">
        <f t="shared" si="1"/>
        <v>6</v>
      </c>
      <c r="H1117" s="27" t="s">
        <v>3987</v>
      </c>
      <c r="I1117" s="27"/>
      <c r="J1117" s="27"/>
      <c r="K1117" s="27"/>
      <c r="L1117" s="27" t="str">
        <f t="shared" si="2"/>
        <v>A</v>
      </c>
      <c r="M1117" s="27" t="str">
        <f>IFERROR(__xludf.DUMMYFUNCTION("GOOGLETRANSLATE(C1117,""EN"",""KN"")"),"ಕುಶಾಗ್ರಮತಿ")</f>
        <v>ಕುಶಾಗ್ರಮತಿ</v>
      </c>
      <c r="N1117" s="27">
        <f t="array" ref="N1117">_xlfn.XLOOKUP(B1117,'Sets Progress'!I:I,'Sets Progress'!I:I,"NOT YET")</f>
        <v>72</v>
      </c>
      <c r="O1117" s="27" t="str">
        <f t="array" ref="O1117">_xlfn.XLOOKUP(L:L,'Overall Progress'!L:L,'Overall Progress'!L:L,"NOT YET")</f>
        <v>NOT YET</v>
      </c>
      <c r="P1117" s="27"/>
      <c r="Q1117" s="27"/>
      <c r="R1117" s="27"/>
      <c r="S1117" s="27"/>
      <c r="T1117" s="27"/>
      <c r="U1117" s="27"/>
      <c r="V1117" s="27"/>
      <c r="W1117" s="27"/>
      <c r="X1117" s="27"/>
      <c r="Y1117" s="27"/>
      <c r="Z1117" s="27"/>
    </row>
    <row r="1118" hidden="1" customHeight="1" spans="1:26">
      <c r="A1118" s="26">
        <v>56</v>
      </c>
      <c r="B1118" s="26">
        <v>72</v>
      </c>
      <c r="C1118" s="26" t="s">
        <v>409</v>
      </c>
      <c r="D1118" s="26" t="s">
        <v>2892</v>
      </c>
      <c r="E1118" s="26" t="s">
        <v>2908</v>
      </c>
      <c r="F1118" s="26" t="str">
        <f t="shared" si="0"/>
        <v>Spatial Old English Origin</v>
      </c>
      <c r="G1118" s="26">
        <f t="shared" si="1"/>
        <v>16</v>
      </c>
      <c r="H1118" s="26" t="s">
        <v>3988</v>
      </c>
      <c r="I1118" s="26"/>
      <c r="J1118" s="26"/>
      <c r="K1118" s="26"/>
      <c r="L1118" s="26" t="str">
        <f t="shared" si="2"/>
        <v>A</v>
      </c>
      <c r="M1118" s="26" t="str">
        <f>IFERROR(__xludf.DUMMYFUNCTION("GOOGLETRANSLATE(C1118,""EN"",""KN"")"),"ಎಲ್ಲವನ್ನೂ ಒಳಗೊಳ್ಳುವ")</f>
        <v>ಎಲ್ಲವನ್ನೂ ಒಳಗೊಳ್ಳುವ</v>
      </c>
      <c r="N1118" s="26">
        <f t="array" ref="N1118">_xlfn.XLOOKUP(B1118,'Sets Progress'!I:I,'Sets Progress'!I:I,"NOT YET")</f>
        <v>72</v>
      </c>
      <c r="O1118" s="26" t="str">
        <f t="array" ref="O1118">_xlfn.XLOOKUP(L:L,'Overall Progress'!L:L,'Overall Progress'!L:L,"NOT YET")</f>
        <v>NOT YET</v>
      </c>
      <c r="P1118" s="26"/>
      <c r="Q1118" s="26"/>
      <c r="R1118" s="26"/>
      <c r="S1118" s="26"/>
      <c r="T1118" s="26"/>
      <c r="U1118" s="26"/>
      <c r="V1118" s="26"/>
      <c r="W1118" s="26"/>
      <c r="X1118" s="26"/>
      <c r="Y1118" s="26"/>
      <c r="Z1118" s="26"/>
    </row>
    <row r="1119" hidden="1" customHeight="1" spans="1:26">
      <c r="A1119" s="27">
        <v>185</v>
      </c>
      <c r="B1119" s="27">
        <v>72</v>
      </c>
      <c r="C1119" s="27" t="s">
        <v>535</v>
      </c>
      <c r="D1119" s="27" t="s">
        <v>2928</v>
      </c>
      <c r="E1119" s="27" t="s">
        <v>2893</v>
      </c>
      <c r="F1119" s="27" t="str">
        <f t="shared" si="0"/>
        <v>Philosophical Greek Origin</v>
      </c>
      <c r="G1119" s="27">
        <f t="shared" si="1"/>
        <v>7</v>
      </c>
      <c r="H1119" s="27" t="s">
        <v>3989</v>
      </c>
      <c r="I1119" s="27"/>
      <c r="J1119" s="27"/>
      <c r="K1119" s="27"/>
      <c r="L1119" s="27" t="str">
        <f t="shared" si="2"/>
        <v>B</v>
      </c>
      <c r="M1119" s="27" t="str">
        <f>IFERROR(__xludf.DUMMYFUNCTION("GOOGLETRANSLATE(C1119,""EN"",""KN"")"),"ಬ್ರೋಮೈಡ್")</f>
        <v>ಬ್ರೋಮೈಡ್</v>
      </c>
      <c r="N1119" s="27">
        <f t="array" ref="N1119">_xlfn.XLOOKUP(B1119,'Sets Progress'!I:I,'Sets Progress'!I:I,"NOT YET")</f>
        <v>72</v>
      </c>
      <c r="O1119" s="27" t="str">
        <f t="array" ref="O1119">_xlfn.XLOOKUP(L:L,'Overall Progress'!L:L,'Overall Progress'!L:L,"NOT YET")</f>
        <v>NOT YET</v>
      </c>
      <c r="P1119" s="27"/>
      <c r="Q1119" s="27"/>
      <c r="R1119" s="27"/>
      <c r="S1119" s="27"/>
      <c r="T1119" s="27"/>
      <c r="U1119" s="27"/>
      <c r="V1119" s="27"/>
      <c r="W1119" s="27"/>
      <c r="X1119" s="27"/>
      <c r="Y1119" s="27"/>
      <c r="Z1119" s="27"/>
    </row>
    <row r="1120" hidden="1" customHeight="1" spans="1:26">
      <c r="A1120" s="26">
        <v>298</v>
      </c>
      <c r="B1120" s="26">
        <v>72</v>
      </c>
      <c r="C1120" s="26" t="s">
        <v>651</v>
      </c>
      <c r="D1120" s="26" t="s">
        <v>2717</v>
      </c>
      <c r="E1120" s="26" t="s">
        <v>2889</v>
      </c>
      <c r="F1120" s="26" t="str">
        <f t="shared" si="0"/>
        <v>Positive Traits Latin Origin</v>
      </c>
      <c r="G1120" s="26">
        <f t="shared" si="1"/>
        <v>11</v>
      </c>
      <c r="H1120" s="26" t="s">
        <v>3990</v>
      </c>
      <c r="I1120" s="26"/>
      <c r="J1120" s="26"/>
      <c r="K1120" s="26"/>
      <c r="L1120" s="26" t="str">
        <f t="shared" si="2"/>
        <v>C</v>
      </c>
      <c r="M1120" s="26" t="str">
        <f>IFERROR(__xludf.DUMMYFUNCTION("GOOGLETRANSLATE(C1120,""EN"",""KN"")"),"ತೃಪ್ತಿ")</f>
        <v>ತೃಪ್ತಿ</v>
      </c>
      <c r="N1120" s="26">
        <f t="array" ref="N1120">_xlfn.XLOOKUP(B1120,'Sets Progress'!I:I,'Sets Progress'!I:I,"NOT YET")</f>
        <v>72</v>
      </c>
      <c r="O1120" s="26" t="str">
        <f t="array" ref="O1120">_xlfn.XLOOKUP(L:L,'Overall Progress'!L:L,'Overall Progress'!L:L,"NOT YET")</f>
        <v>NOT YET</v>
      </c>
      <c r="P1120" s="26"/>
      <c r="Q1120" s="26"/>
      <c r="R1120" s="26"/>
      <c r="S1120" s="26"/>
      <c r="T1120" s="26"/>
      <c r="U1120" s="26"/>
      <c r="V1120" s="26"/>
      <c r="W1120" s="26"/>
      <c r="X1120" s="26"/>
      <c r="Y1120" s="26"/>
      <c r="Z1120" s="26"/>
    </row>
    <row r="1121" hidden="1" customHeight="1" spans="1:26">
      <c r="A1121" s="27">
        <v>335</v>
      </c>
      <c r="B1121" s="27">
        <v>72</v>
      </c>
      <c r="C1121" s="27" t="s">
        <v>685</v>
      </c>
      <c r="D1121" s="27" t="s">
        <v>2717</v>
      </c>
      <c r="E1121" s="27" t="s">
        <v>2899</v>
      </c>
      <c r="F1121" s="27" t="str">
        <f t="shared" si="0"/>
        <v>Positive Traits Middle English Origin</v>
      </c>
      <c r="G1121" s="27">
        <f t="shared" si="1"/>
        <v>7</v>
      </c>
      <c r="H1121" s="27" t="s">
        <v>3991</v>
      </c>
      <c r="I1121" s="27"/>
      <c r="J1121" s="27"/>
      <c r="K1121" s="27"/>
      <c r="L1121" s="27" t="str">
        <f t="shared" si="2"/>
        <v>C</v>
      </c>
      <c r="M1121" s="27" t="str">
        <f>IFERROR(__xludf.DUMMYFUNCTION("GOOGLETRANSLATE(C1121,""EN"",""KN"")"),"ಕುತಂತ್ರ")</f>
        <v>ಕುತಂತ್ರ</v>
      </c>
      <c r="N1121" s="27">
        <f t="array" ref="N1121">_xlfn.XLOOKUP(B1121,'Sets Progress'!I:I,'Sets Progress'!I:I,"NOT YET")</f>
        <v>72</v>
      </c>
      <c r="O1121" s="27" t="str">
        <f t="array" ref="O1121">_xlfn.XLOOKUP(L:L,'Overall Progress'!L:L,'Overall Progress'!L:L,"NOT YET")</f>
        <v>NOT YET</v>
      </c>
      <c r="P1121" s="27"/>
      <c r="Q1121" s="27"/>
      <c r="R1121" s="27"/>
      <c r="S1121" s="27"/>
      <c r="T1121" s="27"/>
      <c r="U1121" s="27"/>
      <c r="V1121" s="27"/>
      <c r="W1121" s="27"/>
      <c r="X1121" s="27"/>
      <c r="Y1121" s="27"/>
      <c r="Z1121" s="27"/>
    </row>
    <row r="1122" hidden="1" customHeight="1" spans="1:26">
      <c r="A1122" s="26">
        <v>573</v>
      </c>
      <c r="B1122" s="26">
        <v>72</v>
      </c>
      <c r="C1122" s="26" t="s">
        <v>918</v>
      </c>
      <c r="D1122" s="26" t="s">
        <v>1721</v>
      </c>
      <c r="E1122" s="26" t="s">
        <v>2889</v>
      </c>
      <c r="F1122" s="26" t="str">
        <f t="shared" si="0"/>
        <v>Temporal Latin Origin</v>
      </c>
      <c r="G1122" s="26">
        <f t="shared" si="1"/>
        <v>11</v>
      </c>
      <c r="H1122" s="26" t="s">
        <v>3992</v>
      </c>
      <c r="I1122" s="26"/>
      <c r="J1122" s="26"/>
      <c r="K1122" s="26"/>
      <c r="L1122" s="26" t="str">
        <f t="shared" si="2"/>
        <v>E</v>
      </c>
      <c r="M1122" s="26" t="str">
        <f>IFERROR(__xludf.DUMMYFUNCTION("GOOGLETRANSLATE(C1122,""EN"",""KN"")"),"ಎಕ್ಸ್ಟ್ರಾಪೋಲೇಟ್")</f>
        <v>ಎಕ್ಸ್ಟ್ರಾಪೋಲೇಟ್</v>
      </c>
      <c r="N1122" s="26">
        <f t="array" ref="N1122">_xlfn.XLOOKUP(B1122,'Sets Progress'!I:I,'Sets Progress'!I:I,"NOT YET")</f>
        <v>72</v>
      </c>
      <c r="O1122" s="26" t="str">
        <f t="array" ref="O1122">_xlfn.XLOOKUP(L:L,'Overall Progress'!L:L,'Overall Progress'!L:L,"NOT YET")</f>
        <v>NOT YET</v>
      </c>
      <c r="P1122" s="26"/>
      <c r="Q1122" s="26"/>
      <c r="R1122" s="26"/>
      <c r="S1122" s="26"/>
      <c r="T1122" s="26"/>
      <c r="U1122" s="26"/>
      <c r="V1122" s="26"/>
      <c r="W1122" s="26"/>
      <c r="X1122" s="26"/>
      <c r="Y1122" s="26"/>
      <c r="Z1122" s="26"/>
    </row>
    <row r="1123" hidden="1" customHeight="1" spans="1:26">
      <c r="A1123" s="27">
        <v>703</v>
      </c>
      <c r="B1123" s="27">
        <v>72</v>
      </c>
      <c r="C1123" s="27" t="s">
        <v>1045</v>
      </c>
      <c r="D1123" s="27" t="s">
        <v>1721</v>
      </c>
      <c r="E1123" s="27" t="s">
        <v>2911</v>
      </c>
      <c r="F1123" s="27" t="str">
        <f t="shared" si="0"/>
        <v>Temporal French Origin</v>
      </c>
      <c r="G1123" s="27">
        <f t="shared" si="1"/>
        <v>8</v>
      </c>
      <c r="H1123" s="27" t="s">
        <v>3993</v>
      </c>
      <c r="I1123" s="27"/>
      <c r="J1123" s="27"/>
      <c r="K1123" s="27"/>
      <c r="L1123" s="27" t="str">
        <f t="shared" si="2"/>
        <v>I</v>
      </c>
      <c r="M1123" s="27" t="str">
        <f>IFERROR(__xludf.DUMMYFUNCTION("GOOGLETRANSLATE(C1123,""EN"",""KN"")"),"ಐಡಿಯಾಲಜಿ")</f>
        <v>ಐಡಿಯಾಲಜಿ</v>
      </c>
      <c r="N1123" s="27">
        <f t="array" ref="N1123">_xlfn.XLOOKUP(B1123,'Sets Progress'!I:I,'Sets Progress'!I:I,"NOT YET")</f>
        <v>72</v>
      </c>
      <c r="O1123" s="27" t="str">
        <f t="array" ref="O1123">_xlfn.XLOOKUP(L:L,'Overall Progress'!L:L,'Overall Progress'!L:L,"NOT YET")</f>
        <v>NOT YET</v>
      </c>
      <c r="P1123" s="27"/>
      <c r="Q1123" s="27"/>
      <c r="R1123" s="27"/>
      <c r="S1123" s="27"/>
      <c r="T1123" s="27"/>
      <c r="U1123" s="27"/>
      <c r="V1123" s="27"/>
      <c r="W1123" s="27"/>
      <c r="X1123" s="27"/>
      <c r="Y1123" s="27"/>
      <c r="Z1123" s="27"/>
    </row>
    <row r="1124" hidden="1" customHeight="1" spans="1:26">
      <c r="A1124" s="26">
        <v>760</v>
      </c>
      <c r="B1124" s="26">
        <v>72</v>
      </c>
      <c r="C1124" s="26" t="s">
        <v>1101</v>
      </c>
      <c r="D1124" s="26" t="s">
        <v>1721</v>
      </c>
      <c r="E1124" s="26" t="s">
        <v>2889</v>
      </c>
      <c r="F1124" s="26" t="str">
        <f t="shared" si="0"/>
        <v>Temporal Latin Origin</v>
      </c>
      <c r="G1124" s="26">
        <f t="shared" si="1"/>
        <v>6</v>
      </c>
      <c r="H1124" s="26" t="s">
        <v>3994</v>
      </c>
      <c r="I1124" s="26"/>
      <c r="J1124" s="26"/>
      <c r="K1124" s="26"/>
      <c r="L1124" s="26" t="str">
        <f t="shared" si="2"/>
        <v>I</v>
      </c>
      <c r="M1124" s="26" t="str">
        <f>IFERROR(__xludf.DUMMYFUNCTION("GOOGLETRANSLATE(C1124,""EN"",""KN"")"),"ದೋಷಾರೋಪಣೆ ಮಾಡಿ")</f>
        <v>ದೋಷಾರೋಪಣೆ ಮಾಡಿ</v>
      </c>
      <c r="N1124" s="26">
        <f t="array" ref="N1124">_xlfn.XLOOKUP(B1124,'Sets Progress'!I:I,'Sets Progress'!I:I,"NOT YET")</f>
        <v>72</v>
      </c>
      <c r="O1124" s="26" t="str">
        <f t="array" ref="O1124">_xlfn.XLOOKUP(L:L,'Overall Progress'!L:L,'Overall Progress'!L:L,"NOT YET")</f>
        <v>NOT YET</v>
      </c>
      <c r="P1124" s="26"/>
      <c r="Q1124" s="26"/>
      <c r="R1124" s="26"/>
      <c r="S1124" s="26"/>
      <c r="T1124" s="26"/>
      <c r="U1124" s="26"/>
      <c r="V1124" s="26"/>
      <c r="W1124" s="26"/>
      <c r="X1124" s="26"/>
      <c r="Y1124" s="26"/>
      <c r="Z1124" s="26"/>
    </row>
    <row r="1125" hidden="1" customHeight="1" spans="1:26">
      <c r="A1125" s="27">
        <v>796</v>
      </c>
      <c r="B1125" s="27">
        <v>72</v>
      </c>
      <c r="C1125" s="27" t="s">
        <v>1136</v>
      </c>
      <c r="D1125" s="27" t="s">
        <v>1721</v>
      </c>
      <c r="E1125" s="27" t="s">
        <v>2889</v>
      </c>
      <c r="F1125" s="27" t="str">
        <f t="shared" si="0"/>
        <v>Temporal Latin Origin</v>
      </c>
      <c r="G1125" s="27">
        <f t="shared" si="1"/>
        <v>7</v>
      </c>
      <c r="H1125" s="27" t="s">
        <v>3995</v>
      </c>
      <c r="I1125" s="27"/>
      <c r="J1125" s="27"/>
      <c r="K1125" s="27"/>
      <c r="L1125" s="27" t="str">
        <f t="shared" si="2"/>
        <v>I</v>
      </c>
      <c r="M1125" s="27" t="str">
        <f>IFERROR(__xludf.DUMMYFUNCTION("GOOGLETRANSLATE(C1125,""EN"",""KN"")"),"ಇನ್ಸುಲರ್")</f>
        <v>ಇನ್ಸುಲರ್</v>
      </c>
      <c r="N1125" s="27">
        <f t="array" ref="N1125">_xlfn.XLOOKUP(B1125,'Sets Progress'!I:I,'Sets Progress'!I:I,"NOT YET")</f>
        <v>72</v>
      </c>
      <c r="O1125" s="27" t="str">
        <f t="array" ref="O1125">_xlfn.XLOOKUP(L:L,'Overall Progress'!L:L,'Overall Progress'!L:L,"NOT YET")</f>
        <v>NOT YET</v>
      </c>
      <c r="P1125" s="27"/>
      <c r="Q1125" s="27"/>
      <c r="R1125" s="27"/>
      <c r="S1125" s="27"/>
      <c r="T1125" s="27"/>
      <c r="U1125" s="27"/>
      <c r="V1125" s="27"/>
      <c r="W1125" s="27"/>
      <c r="X1125" s="27"/>
      <c r="Y1125" s="27"/>
      <c r="Z1125" s="27"/>
    </row>
    <row r="1126" hidden="1" customHeight="1" spans="1:26">
      <c r="A1126" s="26">
        <v>1038</v>
      </c>
      <c r="B1126" s="26">
        <v>72</v>
      </c>
      <c r="C1126" s="26" t="s">
        <v>1373</v>
      </c>
      <c r="D1126" s="26" t="s">
        <v>2717</v>
      </c>
      <c r="E1126" s="26" t="s">
        <v>2889</v>
      </c>
      <c r="F1126" s="26" t="str">
        <f t="shared" si="0"/>
        <v>Positive Traits Latin Origin</v>
      </c>
      <c r="G1126" s="26">
        <f t="shared" si="1"/>
        <v>7</v>
      </c>
      <c r="H1126" s="26" t="s">
        <v>3996</v>
      </c>
      <c r="I1126" s="26"/>
      <c r="J1126" s="26"/>
      <c r="K1126" s="26"/>
      <c r="L1126" s="26" t="str">
        <f t="shared" si="2"/>
        <v>P</v>
      </c>
      <c r="M1126" s="26" t="str">
        <f>IFERROR(__xludf.DUMMYFUNCTION("GOOGLETRANSLATE(C1126,""EN"",""KN"")"),"ಚಿಂತನಶೀಲ")</f>
        <v>ಚಿಂತನಶೀಲ</v>
      </c>
      <c r="N1126" s="26">
        <f t="array" ref="N1126">_xlfn.XLOOKUP(B1126,'Sets Progress'!I:I,'Sets Progress'!I:I,"NOT YET")</f>
        <v>72</v>
      </c>
      <c r="O1126" s="26" t="str">
        <f t="array" ref="O1126">_xlfn.XLOOKUP(L:L,'Overall Progress'!L:L,'Overall Progress'!L:L,"NOT YET")</f>
        <v>NOT YET</v>
      </c>
      <c r="P1126" s="26"/>
      <c r="Q1126" s="26"/>
      <c r="R1126" s="26"/>
      <c r="S1126" s="26"/>
      <c r="T1126" s="26"/>
      <c r="U1126" s="26"/>
      <c r="V1126" s="26"/>
      <c r="W1126" s="26"/>
      <c r="X1126" s="26"/>
      <c r="Y1126" s="26"/>
      <c r="Z1126" s="26"/>
    </row>
    <row r="1127" hidden="1" customHeight="1" spans="1:26">
      <c r="A1127" s="27">
        <v>1304</v>
      </c>
      <c r="B1127" s="27">
        <v>72</v>
      </c>
      <c r="C1127" s="27" t="s">
        <v>1635</v>
      </c>
      <c r="D1127" s="27" t="s">
        <v>2716</v>
      </c>
      <c r="E1127" s="27" t="s">
        <v>2893</v>
      </c>
      <c r="F1127" s="27" t="str">
        <f t="shared" si="0"/>
        <v>Negative Traits Greek Origin</v>
      </c>
      <c r="G1127" s="27">
        <f t="shared" si="1"/>
        <v>7</v>
      </c>
      <c r="H1127" s="27" t="s">
        <v>3997</v>
      </c>
      <c r="I1127" s="27"/>
      <c r="J1127" s="27"/>
      <c r="K1127" s="27"/>
      <c r="L1127" s="27" t="str">
        <f t="shared" si="2"/>
        <v>S</v>
      </c>
      <c r="M1127" s="27" t="str">
        <f>IFERROR(__xludf.DUMMYFUNCTION("GOOGLETRANSLATE(C1127,""EN"",""KN"")"),"ಸೋಫಿಸ್ಟ್")</f>
        <v>ಸೋಫಿಸ್ಟ್</v>
      </c>
      <c r="N1127" s="27">
        <f t="array" ref="N1127">_xlfn.XLOOKUP(B1127,'Sets Progress'!I:I,'Sets Progress'!I:I,"NOT YET")</f>
        <v>72</v>
      </c>
      <c r="O1127" s="27" t="str">
        <f t="array" ref="O1127">_xlfn.XLOOKUP(L:L,'Overall Progress'!L:L,'Overall Progress'!L:L,"NOT YET")</f>
        <v>NOT YET</v>
      </c>
      <c r="P1127" s="27"/>
      <c r="Q1127" s="27"/>
      <c r="R1127" s="27"/>
      <c r="S1127" s="27"/>
      <c r="T1127" s="27"/>
      <c r="U1127" s="27"/>
      <c r="V1127" s="27"/>
      <c r="W1127" s="27"/>
      <c r="X1127" s="27"/>
      <c r="Y1127" s="27"/>
      <c r="Z1127" s="27"/>
    </row>
    <row r="1128" hidden="1" customHeight="1" spans="1:26">
      <c r="A1128" s="26">
        <v>1449</v>
      </c>
      <c r="B1128" s="26">
        <v>72</v>
      </c>
      <c r="C1128" s="26" t="s">
        <v>1777</v>
      </c>
      <c r="D1128" s="26" t="s">
        <v>1721</v>
      </c>
      <c r="E1128" s="26" t="s">
        <v>2908</v>
      </c>
      <c r="F1128" s="26" t="str">
        <f t="shared" si="0"/>
        <v>Temporal Old English Origin</v>
      </c>
      <c r="G1128" s="26">
        <f t="shared" si="1"/>
        <v>10</v>
      </c>
      <c r="H1128" s="26" t="s">
        <v>3998</v>
      </c>
      <c r="I1128" s="26"/>
      <c r="J1128" s="26"/>
      <c r="K1128" s="26"/>
      <c r="L1128" s="26" t="str">
        <f t="shared" si="2"/>
        <v>U</v>
      </c>
      <c r="M1128" s="26" t="str">
        <f>IFERROR(__xludf.DUMMYFUNCTION("GOOGLETRANSLATE(C1128,""EN"",""KN"")"),"ಆಧಾರವಾಗಿರುವ")</f>
        <v>ಆಧಾರವಾಗಿರುವ</v>
      </c>
      <c r="N1128" s="26">
        <f t="array" ref="N1128">_xlfn.XLOOKUP(B1128,'Sets Progress'!I:I,'Sets Progress'!I:I,"NOT YET")</f>
        <v>72</v>
      </c>
      <c r="O1128" s="26" t="str">
        <f t="array" ref="O1128">_xlfn.XLOOKUP(L:L,'Overall Progress'!L:L,'Overall Progress'!L:L,"NOT YET")</f>
        <v>NOT YET</v>
      </c>
      <c r="P1128" s="26"/>
      <c r="Q1128" s="26"/>
      <c r="R1128" s="26"/>
      <c r="S1128" s="26"/>
      <c r="T1128" s="26"/>
      <c r="U1128" s="26"/>
      <c r="V1128" s="26"/>
      <c r="W1128" s="26"/>
      <c r="X1128" s="26"/>
      <c r="Y1128" s="26"/>
      <c r="Z1128" s="26"/>
    </row>
    <row r="1129" hidden="1" customHeight="1" spans="1:26">
      <c r="A1129" s="27">
        <v>1468</v>
      </c>
      <c r="B1129" s="27">
        <v>72</v>
      </c>
      <c r="C1129" s="27" t="s">
        <v>1796</v>
      </c>
      <c r="D1129" s="27" t="s">
        <v>1721</v>
      </c>
      <c r="E1129" s="27" t="s">
        <v>2908</v>
      </c>
      <c r="F1129" s="27" t="str">
        <f t="shared" si="0"/>
        <v>Temporal Old English Origin</v>
      </c>
      <c r="G1129" s="27">
        <f t="shared" si="1"/>
        <v>12</v>
      </c>
      <c r="H1129" s="27" t="s">
        <v>3999</v>
      </c>
      <c r="I1129" s="27"/>
      <c r="J1129" s="27"/>
      <c r="K1129" s="27"/>
      <c r="L1129" s="27" t="str">
        <f t="shared" si="2"/>
        <v>U</v>
      </c>
      <c r="M1129" s="27" t="str">
        <f>IFERROR(__xludf.DUMMYFUNCTION("GOOGLETRANSLATE(C1129,""EN"",""KN"")"),"ತಪ್ಪಾಗಲಾರದು")</f>
        <v>ತಪ್ಪಾಗಲಾರದು</v>
      </c>
      <c r="N1129" s="27">
        <f t="array" ref="N1129">_xlfn.XLOOKUP(B1129,'Sets Progress'!I:I,'Sets Progress'!I:I,"NOT YET")</f>
        <v>72</v>
      </c>
      <c r="O1129" s="27" t="str">
        <f t="array" ref="O1129">_xlfn.XLOOKUP(L:L,'Overall Progress'!L:L,'Overall Progress'!L:L,"NOT YET")</f>
        <v>NOT YET</v>
      </c>
      <c r="P1129" s="27"/>
      <c r="Q1129" s="27"/>
      <c r="R1129" s="27"/>
      <c r="S1129" s="27"/>
      <c r="T1129" s="27"/>
      <c r="U1129" s="27"/>
      <c r="V1129" s="27"/>
      <c r="W1129" s="27"/>
      <c r="X1129" s="27"/>
      <c r="Y1129" s="27"/>
      <c r="Z1129" s="27"/>
    </row>
    <row r="1130" hidden="1" customHeight="1" spans="1:26">
      <c r="A1130" s="26">
        <v>19</v>
      </c>
      <c r="B1130" s="26">
        <v>73</v>
      </c>
      <c r="C1130" s="26" t="s">
        <v>39</v>
      </c>
      <c r="D1130" s="26" t="s">
        <v>2928</v>
      </c>
      <c r="E1130" s="26" t="s">
        <v>2889</v>
      </c>
      <c r="F1130" s="26" t="str">
        <f t="shared" si="0"/>
        <v>Philosophical Latin Origin</v>
      </c>
      <c r="G1130" s="26">
        <f t="shared" si="1"/>
        <v>8</v>
      </c>
      <c r="H1130" s="26" t="s">
        <v>4000</v>
      </c>
      <c r="I1130" s="26"/>
      <c r="J1130" s="26"/>
      <c r="K1130" s="26"/>
      <c r="L1130" s="26" t="str">
        <f t="shared" si="2"/>
        <v>A</v>
      </c>
      <c r="M1130" s="26" t="str">
        <f>IFERROR(__xludf.DUMMYFUNCTION("GOOGLETRANSLATE(C1130,""EN"",""KN"")"),"ಅಮೂರ್ತ")</f>
        <v>ಅಮೂರ್ತ</v>
      </c>
      <c r="N1130" s="26">
        <f t="array" ref="N1130">_xlfn.XLOOKUP(B1130,'Sets Progress'!I:I,'Sets Progress'!I:I,"NOT YET")</f>
        <v>73</v>
      </c>
      <c r="O1130" s="26" t="str">
        <f t="array" ref="O1130">_xlfn.XLOOKUP(L:L,'Overall Progress'!L:L,'Overall Progress'!L:L,"NOT YET")</f>
        <v>NOT YET</v>
      </c>
      <c r="P1130" s="26"/>
      <c r="Q1130" s="26"/>
      <c r="R1130" s="26"/>
      <c r="S1130" s="26"/>
      <c r="T1130" s="26"/>
      <c r="U1130" s="26"/>
      <c r="V1130" s="26"/>
      <c r="W1130" s="26"/>
      <c r="X1130" s="26"/>
      <c r="Y1130" s="26"/>
      <c r="Z1130" s="26"/>
    </row>
    <row r="1131" hidden="1" customHeight="1" spans="1:26">
      <c r="A1131" s="27">
        <v>94</v>
      </c>
      <c r="B1131" s="27">
        <v>73</v>
      </c>
      <c r="C1131" s="27" t="s">
        <v>445</v>
      </c>
      <c r="D1131" s="27" t="s">
        <v>2946</v>
      </c>
      <c r="E1131" s="27" t="s">
        <v>2889</v>
      </c>
      <c r="F1131" s="27" t="str">
        <f t="shared" si="0"/>
        <v>Emotional Latin Origin</v>
      </c>
      <c r="G1131" s="27">
        <f t="shared" si="1"/>
        <v>12</v>
      </c>
      <c r="H1131" s="27" t="s">
        <v>4001</v>
      </c>
      <c r="I1131" s="27"/>
      <c r="J1131" s="27"/>
      <c r="K1131" s="27"/>
      <c r="L1131" s="27" t="str">
        <f t="shared" si="2"/>
        <v>A</v>
      </c>
      <c r="M1131" s="27" t="str">
        <f>IFERROR(__xludf.DUMMYFUNCTION("GOOGLETRANSLATE(C1131,""EN"",""KN"")"),"ಆತಂಕ")</f>
        <v>ಆತಂಕ</v>
      </c>
      <c r="N1131" s="27">
        <f t="array" ref="N1131">_xlfn.XLOOKUP(B1131,'Sets Progress'!I:I,'Sets Progress'!I:I,"NOT YET")</f>
        <v>73</v>
      </c>
      <c r="O1131" s="27" t="str">
        <f t="array" ref="O1131">_xlfn.XLOOKUP(L:L,'Overall Progress'!L:L,'Overall Progress'!L:L,"NOT YET")</f>
        <v>NOT YET</v>
      </c>
      <c r="P1131" s="27"/>
      <c r="Q1131" s="27"/>
      <c r="R1131" s="27"/>
      <c r="S1131" s="27"/>
      <c r="T1131" s="27"/>
      <c r="U1131" s="27"/>
      <c r="V1131" s="27"/>
      <c r="W1131" s="27"/>
      <c r="X1131" s="27"/>
      <c r="Y1131" s="27"/>
      <c r="Z1131" s="27"/>
    </row>
    <row r="1132" hidden="1" customHeight="1" spans="1:26">
      <c r="A1132" s="26">
        <v>268</v>
      </c>
      <c r="B1132" s="26">
        <v>73</v>
      </c>
      <c r="C1132" s="26" t="s">
        <v>621</v>
      </c>
      <c r="D1132" s="26" t="s">
        <v>2717</v>
      </c>
      <c r="E1132" s="26" t="s">
        <v>2889</v>
      </c>
      <c r="F1132" s="26" t="str">
        <f t="shared" si="0"/>
        <v>Positive Traits Latin Origin</v>
      </c>
      <c r="G1132" s="26">
        <f t="shared" si="1"/>
        <v>9</v>
      </c>
      <c r="H1132" s="26" t="s">
        <v>4002</v>
      </c>
      <c r="I1132" s="26"/>
      <c r="J1132" s="26"/>
      <c r="K1132" s="26"/>
      <c r="L1132" s="26" t="str">
        <f t="shared" si="2"/>
        <v>C</v>
      </c>
      <c r="M1132" s="26" t="str">
        <f>IFERROR(__xludf.DUMMYFUNCTION("GOOGLETRANSLATE(C1132,""EN"",""KN"")"),"ಕಂಪ್ಲೈಂಟ್")</f>
        <v>ಕಂಪ್ಲೈಂಟ್</v>
      </c>
      <c r="N1132" s="26">
        <f t="array" ref="N1132">_xlfn.XLOOKUP(B1132,'Sets Progress'!I:I,'Sets Progress'!I:I,"NOT YET")</f>
        <v>73</v>
      </c>
      <c r="O1132" s="26" t="str">
        <f t="array" ref="O1132">_xlfn.XLOOKUP(L:L,'Overall Progress'!L:L,'Overall Progress'!L:L,"NOT YET")</f>
        <v>NOT YET</v>
      </c>
      <c r="P1132" s="26"/>
      <c r="Q1132" s="26"/>
      <c r="R1132" s="26"/>
      <c r="S1132" s="26"/>
      <c r="T1132" s="26"/>
      <c r="U1132" s="26"/>
      <c r="V1132" s="26"/>
      <c r="W1132" s="26"/>
      <c r="X1132" s="26"/>
      <c r="Y1132" s="26"/>
      <c r="Z1132" s="26"/>
    </row>
    <row r="1133" hidden="1" customHeight="1" spans="1:26">
      <c r="A1133" s="27">
        <v>371</v>
      </c>
      <c r="B1133" s="27">
        <v>73</v>
      </c>
      <c r="C1133" s="27" t="s">
        <v>721</v>
      </c>
      <c r="D1133" s="27" t="s">
        <v>2716</v>
      </c>
      <c r="E1133" s="27" t="s">
        <v>2889</v>
      </c>
      <c r="F1133" s="27" t="str">
        <f t="shared" si="0"/>
        <v>Negative Traits Latin Origin</v>
      </c>
      <c r="G1133" s="27">
        <f t="shared" si="1"/>
        <v>9</v>
      </c>
      <c r="H1133" s="27" t="s">
        <v>4003</v>
      </c>
      <c r="I1133" s="27"/>
      <c r="J1133" s="27"/>
      <c r="K1133" s="27"/>
      <c r="L1133" s="27" t="str">
        <f t="shared" si="2"/>
        <v>D</v>
      </c>
      <c r="M1133" s="27" t="str">
        <f>IFERROR(__xludf.DUMMYFUNCTION("GOOGLETRANSLATE(C1133,""EN"",""KN"")"),"ನಿಂದಿಸಿ")</f>
        <v>ನಿಂದಿಸಿ</v>
      </c>
      <c r="N1133" s="27">
        <f t="array" ref="N1133">_xlfn.XLOOKUP(B1133,'Sets Progress'!I:I,'Sets Progress'!I:I,"NOT YET")</f>
        <v>73</v>
      </c>
      <c r="O1133" s="27" t="str">
        <f t="array" ref="O1133">_xlfn.XLOOKUP(L:L,'Overall Progress'!L:L,'Overall Progress'!L:L,"NOT YET")</f>
        <v>NOT YET</v>
      </c>
      <c r="P1133" s="27"/>
      <c r="Q1133" s="27"/>
      <c r="R1133" s="27"/>
      <c r="S1133" s="27"/>
      <c r="T1133" s="27"/>
      <c r="U1133" s="27"/>
      <c r="V1133" s="27"/>
      <c r="W1133" s="27"/>
      <c r="X1133" s="27"/>
      <c r="Y1133" s="27"/>
      <c r="Z1133" s="27"/>
    </row>
    <row r="1134" hidden="1" customHeight="1" spans="1:26">
      <c r="A1134" s="26">
        <v>431</v>
      </c>
      <c r="B1134" s="26">
        <v>73</v>
      </c>
      <c r="C1134" s="26" t="s">
        <v>780</v>
      </c>
      <c r="D1134" s="26" t="s">
        <v>2946</v>
      </c>
      <c r="E1134" s="26" t="s">
        <v>2889</v>
      </c>
      <c r="F1134" s="26" t="str">
        <f t="shared" si="0"/>
        <v>Emotional Latin Origin</v>
      </c>
      <c r="G1134" s="26">
        <f t="shared" si="1"/>
        <v>13</v>
      </c>
      <c r="H1134" s="26" t="s">
        <v>4004</v>
      </c>
      <c r="I1134" s="26"/>
      <c r="J1134" s="26"/>
      <c r="K1134" s="26"/>
      <c r="L1134" s="26" t="str">
        <f t="shared" si="2"/>
        <v>D</v>
      </c>
      <c r="M1134" s="26" t="str">
        <f>IFERROR(__xludf.DUMMYFUNCTION("GOOGLETRANSLATE(C1134,""EN"",""KN"")"),"ನಿರ್ಲಿಪ್ತ")</f>
        <v>ನಿರ್ಲಿಪ್ತ</v>
      </c>
      <c r="N1134" s="26">
        <f t="array" ref="N1134">_xlfn.XLOOKUP(B1134,'Sets Progress'!I:I,'Sets Progress'!I:I,"NOT YET")</f>
        <v>73</v>
      </c>
      <c r="O1134" s="26" t="str">
        <f t="array" ref="O1134">_xlfn.XLOOKUP(L:L,'Overall Progress'!L:L,'Overall Progress'!L:L,"NOT YET")</f>
        <v>NOT YET</v>
      </c>
      <c r="P1134" s="26"/>
      <c r="Q1134" s="26"/>
      <c r="R1134" s="26"/>
      <c r="S1134" s="26"/>
      <c r="T1134" s="26"/>
      <c r="U1134" s="26"/>
      <c r="V1134" s="26"/>
      <c r="W1134" s="26"/>
      <c r="X1134" s="26"/>
      <c r="Y1134" s="26"/>
      <c r="Z1134" s="26"/>
    </row>
    <row r="1135" hidden="1" customHeight="1" spans="1:26">
      <c r="A1135" s="27">
        <v>619</v>
      </c>
      <c r="B1135" s="27">
        <v>73</v>
      </c>
      <c r="C1135" s="27" t="s">
        <v>963</v>
      </c>
      <c r="D1135" s="27" t="s">
        <v>1721</v>
      </c>
      <c r="E1135" s="27" t="s">
        <v>2908</v>
      </c>
      <c r="F1135" s="27" t="str">
        <f t="shared" si="0"/>
        <v>Temporal Old English Origin</v>
      </c>
      <c r="G1135" s="27">
        <f t="shared" si="1"/>
        <v>8</v>
      </c>
      <c r="H1135" s="27" t="s">
        <v>4005</v>
      </c>
      <c r="I1135" s="27"/>
      <c r="J1135" s="27"/>
      <c r="K1135" s="27"/>
      <c r="L1135" s="27" t="str">
        <f t="shared" si="2"/>
        <v>F</v>
      </c>
      <c r="M1135" s="27" t="str">
        <f>IFERROR(__xludf.DUMMYFUNCTION("GOOGLETRANSLATE(C1135,""EN"",""KN"")"),"ಮುನ್ನುಡಿ")</f>
        <v>ಮುನ್ನುಡಿ</v>
      </c>
      <c r="N1135" s="27">
        <f t="array" ref="N1135">_xlfn.XLOOKUP(B1135,'Sets Progress'!I:I,'Sets Progress'!I:I,"NOT YET")</f>
        <v>73</v>
      </c>
      <c r="O1135" s="27" t="str">
        <f t="array" ref="O1135">_xlfn.XLOOKUP(L:L,'Overall Progress'!L:L,'Overall Progress'!L:L,"NOT YET")</f>
        <v>NOT YET</v>
      </c>
      <c r="P1135" s="27"/>
      <c r="Q1135" s="27"/>
      <c r="R1135" s="27"/>
      <c r="S1135" s="27"/>
      <c r="T1135" s="27"/>
      <c r="U1135" s="27"/>
      <c r="V1135" s="27"/>
      <c r="W1135" s="27"/>
      <c r="X1135" s="27"/>
      <c r="Y1135" s="27"/>
      <c r="Z1135" s="27"/>
    </row>
    <row r="1136" hidden="1" customHeight="1" spans="1:26">
      <c r="A1136" s="26">
        <v>854</v>
      </c>
      <c r="B1136" s="26">
        <v>73</v>
      </c>
      <c r="C1136" s="26" t="s">
        <v>1194</v>
      </c>
      <c r="D1136" s="26" t="s">
        <v>2717</v>
      </c>
      <c r="E1136" s="26" t="s">
        <v>2889</v>
      </c>
      <c r="F1136" s="26" t="str">
        <f t="shared" si="0"/>
        <v>Positive Traits Latin Origin</v>
      </c>
      <c r="G1136" s="26">
        <f t="shared" si="1"/>
        <v>8</v>
      </c>
      <c r="H1136" s="26" t="s">
        <v>4006</v>
      </c>
      <c r="I1136" s="26"/>
      <c r="J1136" s="26"/>
      <c r="K1136" s="26"/>
      <c r="L1136" s="26" t="str">
        <f t="shared" si="2"/>
        <v>L</v>
      </c>
      <c r="M1136" s="26" t="str">
        <f>IFERROR(__xludf.DUMMYFUNCTION("GOOGLETRANSLATE(C1136,""EN"",""KN"")"),"ಶ್ಲಾಘನೀಯ")</f>
        <v>ಶ್ಲಾಘನೀಯ</v>
      </c>
      <c r="N1136" s="26">
        <f t="array" ref="N1136">_xlfn.XLOOKUP(B1136,'Sets Progress'!I:I,'Sets Progress'!I:I,"NOT YET")</f>
        <v>73</v>
      </c>
      <c r="O1136" s="26" t="str">
        <f t="array" ref="O1136">_xlfn.XLOOKUP(L:L,'Overall Progress'!L:L,'Overall Progress'!L:L,"NOT YET")</f>
        <v>NOT YET</v>
      </c>
      <c r="P1136" s="26"/>
      <c r="Q1136" s="26"/>
      <c r="R1136" s="26"/>
      <c r="S1136" s="26"/>
      <c r="T1136" s="26"/>
      <c r="U1136" s="26"/>
      <c r="V1136" s="26"/>
      <c r="W1136" s="26"/>
      <c r="X1136" s="26"/>
      <c r="Y1136" s="26"/>
      <c r="Z1136" s="26"/>
    </row>
    <row r="1137" hidden="1" customHeight="1" spans="1:26">
      <c r="A1137" s="27">
        <v>984</v>
      </c>
      <c r="B1137" s="27">
        <v>73</v>
      </c>
      <c r="C1137" s="27" t="s">
        <v>1320</v>
      </c>
      <c r="D1137" s="27" t="s">
        <v>2716</v>
      </c>
      <c r="E1137" s="27" t="s">
        <v>2889</v>
      </c>
      <c r="F1137" s="27" t="str">
        <f t="shared" si="0"/>
        <v>Negative Traits Latin Origin</v>
      </c>
      <c r="G1137" s="27">
        <f t="shared" si="1"/>
        <v>7</v>
      </c>
      <c r="H1137" s="27" t="s">
        <v>4007</v>
      </c>
      <c r="I1137" s="27"/>
      <c r="J1137" s="27"/>
      <c r="K1137" s="27"/>
      <c r="L1137" s="27" t="str">
        <f t="shared" si="2"/>
        <v>O</v>
      </c>
      <c r="M1137" s="27" t="str">
        <f>IFERROR(__xludf.DUMMYFUNCTION("GOOGLETRANSLATE(C1137,""EN"",""KN"")"),"ಭಾರವಾದ")</f>
        <v>ಭಾರವಾದ</v>
      </c>
      <c r="N1137" s="27">
        <f t="array" ref="N1137">_xlfn.XLOOKUP(B1137,'Sets Progress'!I:I,'Sets Progress'!I:I,"NOT YET")</f>
        <v>73</v>
      </c>
      <c r="O1137" s="27" t="str">
        <f t="array" ref="O1137">_xlfn.XLOOKUP(L:L,'Overall Progress'!L:L,'Overall Progress'!L:L,"NOT YET")</f>
        <v>NOT YET</v>
      </c>
      <c r="P1137" s="27"/>
      <c r="Q1137" s="27"/>
      <c r="R1137" s="27"/>
      <c r="S1137" s="27"/>
      <c r="T1137" s="27"/>
      <c r="U1137" s="27"/>
      <c r="V1137" s="27"/>
      <c r="W1137" s="27"/>
      <c r="X1137" s="27"/>
      <c r="Y1137" s="27"/>
      <c r="Z1137" s="27"/>
    </row>
    <row r="1138" hidden="1" customHeight="1" spans="1:26">
      <c r="A1138" s="26">
        <v>1216</v>
      </c>
      <c r="B1138" s="26">
        <v>73</v>
      </c>
      <c r="C1138" s="26" t="s">
        <v>1547</v>
      </c>
      <c r="D1138" s="26" t="s">
        <v>1721</v>
      </c>
      <c r="E1138" s="26" t="s">
        <v>2889</v>
      </c>
      <c r="F1138" s="26" t="str">
        <f t="shared" si="0"/>
        <v>Temporal Latin Origin</v>
      </c>
      <c r="G1138" s="26">
        <f t="shared" si="1"/>
        <v>8</v>
      </c>
      <c r="H1138" s="26" t="s">
        <v>4008</v>
      </c>
      <c r="I1138" s="26"/>
      <c r="J1138" s="26"/>
      <c r="K1138" s="26"/>
      <c r="L1138" s="26" t="str">
        <f t="shared" si="2"/>
        <v>R</v>
      </c>
      <c r="M1138" s="26" t="str">
        <f>IFERROR(__xludf.DUMMYFUNCTION("GOOGLETRANSLATE(C1138,""EN"",""KN"")"),"ಶೇಷ")</f>
        <v>ಶೇಷ</v>
      </c>
      <c r="N1138" s="26">
        <f t="array" ref="N1138">_xlfn.XLOOKUP(B1138,'Sets Progress'!I:I,'Sets Progress'!I:I,"NOT YET")</f>
        <v>73</v>
      </c>
      <c r="O1138" s="26" t="str">
        <f t="array" ref="O1138">_xlfn.XLOOKUP(L:L,'Overall Progress'!L:L,'Overall Progress'!L:L,"NOT YET")</f>
        <v>NOT YET</v>
      </c>
      <c r="P1138" s="26"/>
      <c r="Q1138" s="26"/>
      <c r="R1138" s="26"/>
      <c r="S1138" s="26"/>
      <c r="T1138" s="26"/>
      <c r="U1138" s="26"/>
      <c r="V1138" s="26"/>
      <c r="W1138" s="26"/>
      <c r="X1138" s="26"/>
      <c r="Y1138" s="26"/>
      <c r="Z1138" s="26"/>
    </row>
    <row r="1139" hidden="1" customHeight="1" spans="1:26">
      <c r="A1139" s="27">
        <v>1537</v>
      </c>
      <c r="B1139" s="27">
        <v>73</v>
      </c>
      <c r="C1139" s="27" t="s">
        <v>1865</v>
      </c>
      <c r="D1139" s="27" t="s">
        <v>2716</v>
      </c>
      <c r="E1139" s="27" t="s">
        <v>2908</v>
      </c>
      <c r="F1139" s="27" t="str">
        <f t="shared" si="0"/>
        <v>Negative Traits Old English Origin</v>
      </c>
      <c r="G1139" s="27">
        <f t="shared" si="1"/>
        <v>6</v>
      </c>
      <c r="H1139" s="27" t="s">
        <v>4009</v>
      </c>
      <c r="I1139" s="27"/>
      <c r="J1139" s="27"/>
      <c r="K1139" s="27"/>
      <c r="L1139" s="27" t="str">
        <f t="shared" si="2"/>
        <v>W</v>
      </c>
      <c r="M1139" s="27" t="str">
        <f>IFERROR(__xludf.DUMMYFUNCTION("GOOGLETRANSLATE(C1139,""EN"",""KN"")"),"ಶೋಚನೀಯ")</f>
        <v>ಶೋಚನೀಯ</v>
      </c>
      <c r="N1139" s="27">
        <f t="array" ref="N1139">_xlfn.XLOOKUP(B1139,'Sets Progress'!I:I,'Sets Progress'!I:I,"NOT YET")</f>
        <v>73</v>
      </c>
      <c r="O1139" s="27" t="str">
        <f t="array" ref="O1139">_xlfn.XLOOKUP(L:L,'Overall Progress'!L:L,'Overall Progress'!L:L,"NOT YET")</f>
        <v>NOT YET</v>
      </c>
      <c r="P1139" s="27"/>
      <c r="Q1139" s="27"/>
      <c r="R1139" s="27"/>
      <c r="S1139" s="27"/>
      <c r="T1139" s="27"/>
      <c r="U1139" s="27"/>
      <c r="V1139" s="27"/>
      <c r="W1139" s="27"/>
      <c r="X1139" s="27"/>
      <c r="Y1139" s="27"/>
      <c r="Z1139" s="27"/>
    </row>
    <row r="1140" hidden="1" customHeight="1" spans="1:26">
      <c r="A1140" s="26">
        <v>1540</v>
      </c>
      <c r="B1140" s="26">
        <v>73</v>
      </c>
      <c r="C1140" s="26" t="s">
        <v>1869</v>
      </c>
      <c r="D1140" s="26" t="s">
        <v>1721</v>
      </c>
      <c r="E1140" s="26" t="s">
        <v>2908</v>
      </c>
      <c r="F1140" s="26" t="str">
        <f t="shared" si="0"/>
        <v>Temporal Old English Origin</v>
      </c>
      <c r="G1140" s="26">
        <f t="shared" si="1"/>
        <v>5</v>
      </c>
      <c r="H1140" s="26" t="s">
        <v>4010</v>
      </c>
      <c r="I1140" s="26"/>
      <c r="J1140" s="26"/>
      <c r="K1140" s="26"/>
      <c r="L1140" s="26" t="str">
        <f t="shared" si="2"/>
        <v>Y</v>
      </c>
      <c r="M1140" s="26" t="str">
        <f>IFERROR(__xludf.DUMMYFUNCTION("GOOGLETRANSLATE(C1140,""EN"",""KN"")"),"ಇಳುವರಿ")</f>
        <v>ಇಳುವರಿ</v>
      </c>
      <c r="N1140" s="26">
        <f t="array" ref="N1140">_xlfn.XLOOKUP(B1140,'Sets Progress'!I:I,'Sets Progress'!I:I,"NOT YET")</f>
        <v>73</v>
      </c>
      <c r="O1140" s="26" t="str">
        <f t="array" ref="O1140">_xlfn.XLOOKUP(L:L,'Overall Progress'!L:L,'Overall Progress'!L:L,"NOT YET")</f>
        <v>NOT YET</v>
      </c>
      <c r="P1140" s="26"/>
      <c r="Q1140" s="26"/>
      <c r="R1140" s="26"/>
      <c r="S1140" s="26"/>
      <c r="T1140" s="26"/>
      <c r="U1140" s="26"/>
      <c r="V1140" s="26"/>
      <c r="W1140" s="26"/>
      <c r="X1140" s="26"/>
      <c r="Y1140" s="26"/>
      <c r="Z1140" s="26"/>
    </row>
    <row r="1141" hidden="1" customHeight="1" spans="1:26">
      <c r="A1141" s="27">
        <v>294</v>
      </c>
      <c r="B1141" s="27">
        <v>74</v>
      </c>
      <c r="C1141" s="27" t="s">
        <v>647</v>
      </c>
      <c r="D1141" s="27" t="s">
        <v>2716</v>
      </c>
      <c r="E1141" s="27" t="s">
        <v>2889</v>
      </c>
      <c r="F1141" s="27" t="str">
        <f t="shared" si="0"/>
        <v>Negative Traits Latin Origin</v>
      </c>
      <c r="G1141" s="27">
        <f t="shared" si="1"/>
        <v>8</v>
      </c>
      <c r="H1141" s="27" t="s">
        <v>4011</v>
      </c>
      <c r="I1141" s="27"/>
      <c r="J1141" s="27"/>
      <c r="K1141" s="27"/>
      <c r="L1141" s="27" t="str">
        <f t="shared" si="2"/>
        <v>C</v>
      </c>
      <c r="M1141" s="27" t="str">
        <f>IFERROR(__xludf.DUMMYFUNCTION("GOOGLETRANSLATE(C1141,""EN"",""KN"")"),"ತಿರಸ್ಕಾರ")</f>
        <v>ತಿರಸ್ಕಾರ</v>
      </c>
      <c r="N1141" s="27" t="str">
        <f t="array" ref="N1141">_xlfn.XLOOKUP(B1141,'Sets Progress'!I:I,'Sets Progress'!I:I,"NOT YET")</f>
        <v>NOT YET</v>
      </c>
      <c r="O1141" s="27" t="str">
        <f t="array" ref="O1141">_xlfn.XLOOKUP(L:L,'Overall Progress'!L:L,'Overall Progress'!L:L,"NOT YET")</f>
        <v>NOT YET</v>
      </c>
      <c r="P1141" s="27"/>
      <c r="Q1141" s="27"/>
      <c r="R1141" s="27"/>
      <c r="S1141" s="27"/>
      <c r="T1141" s="27"/>
      <c r="U1141" s="27"/>
      <c r="V1141" s="27"/>
      <c r="W1141" s="27"/>
      <c r="X1141" s="27"/>
      <c r="Y1141" s="27"/>
      <c r="Z1141" s="27"/>
    </row>
    <row r="1142" hidden="1" customHeight="1" spans="1:26">
      <c r="A1142" s="26">
        <v>523</v>
      </c>
      <c r="B1142" s="26">
        <v>74</v>
      </c>
      <c r="C1142" s="26" t="s">
        <v>871</v>
      </c>
      <c r="D1142" s="26" t="s">
        <v>2946</v>
      </c>
      <c r="E1142" s="26" t="s">
        <v>2889</v>
      </c>
      <c r="F1142" s="26" t="str">
        <f t="shared" si="0"/>
        <v>Emotional Latin Origin</v>
      </c>
      <c r="G1142" s="26">
        <f t="shared" si="1"/>
        <v>10</v>
      </c>
      <c r="H1142" s="26" t="s">
        <v>4012</v>
      </c>
      <c r="I1142" s="26"/>
      <c r="J1142" s="26"/>
      <c r="K1142" s="26"/>
      <c r="L1142" s="26" t="str">
        <f t="shared" si="2"/>
        <v>E</v>
      </c>
      <c r="M1142" s="26" t="str">
        <f>IFERROR(__xludf.DUMMYFUNCTION("GOOGLETRANSLATE(C1142,""EN"",""KN"")"),"ಸಮಚಿತ್ತತೆ")</f>
        <v>ಸಮಚಿತ್ತತೆ</v>
      </c>
      <c r="N1142" s="26" t="str">
        <f t="array" ref="N1142">_xlfn.XLOOKUP(B1142,'Sets Progress'!I:I,'Sets Progress'!I:I,"NOT YET")</f>
        <v>NOT YET</v>
      </c>
      <c r="O1142" s="26" t="str">
        <f t="array" ref="O1142">_xlfn.XLOOKUP(L:L,'Overall Progress'!L:L,'Overall Progress'!L:L,"NOT YET")</f>
        <v>NOT YET</v>
      </c>
      <c r="P1142" s="26"/>
      <c r="Q1142" s="26"/>
      <c r="R1142" s="26"/>
      <c r="S1142" s="26"/>
      <c r="T1142" s="26"/>
      <c r="U1142" s="26"/>
      <c r="V1142" s="26"/>
      <c r="W1142" s="26"/>
      <c r="X1142" s="26"/>
      <c r="Y1142" s="26"/>
      <c r="Z1142" s="26"/>
    </row>
    <row r="1143" hidden="1" customHeight="1" spans="1:26">
      <c r="A1143" s="27">
        <v>551</v>
      </c>
      <c r="B1143" s="27">
        <v>74</v>
      </c>
      <c r="C1143" s="27" t="s">
        <v>897</v>
      </c>
      <c r="D1143" s="27" t="s">
        <v>1721</v>
      </c>
      <c r="E1143" s="27" t="s">
        <v>2889</v>
      </c>
      <c r="F1143" s="27" t="str">
        <f t="shared" si="0"/>
        <v>Temporal Latin Origin</v>
      </c>
      <c r="G1143" s="27">
        <f t="shared" si="1"/>
        <v>9</v>
      </c>
      <c r="H1143" s="27" t="s">
        <v>4013</v>
      </c>
      <c r="I1143" s="27"/>
      <c r="J1143" s="27"/>
      <c r="K1143" s="27"/>
      <c r="L1143" s="27" t="str">
        <f t="shared" si="2"/>
        <v>E</v>
      </c>
      <c r="M1143" s="27" t="str">
        <f>IFERROR(__xludf.DUMMYFUNCTION("GOOGLETRANSLATE(C1143,""EN"",""KN"")"),"ಕ್ಷಮಿಸಿ")</f>
        <v>ಕ್ಷಮಿಸಿ</v>
      </c>
      <c r="N1143" s="27" t="str">
        <f t="array" ref="N1143">_xlfn.XLOOKUP(B1143,'Sets Progress'!I:I,'Sets Progress'!I:I,"NOT YET")</f>
        <v>NOT YET</v>
      </c>
      <c r="O1143" s="27" t="str">
        <f t="array" ref="O1143">_xlfn.XLOOKUP(L:L,'Overall Progress'!L:L,'Overall Progress'!L:L,"NOT YET")</f>
        <v>NOT YET</v>
      </c>
      <c r="P1143" s="27"/>
      <c r="Q1143" s="27"/>
      <c r="R1143" s="27"/>
      <c r="S1143" s="27"/>
      <c r="T1143" s="27"/>
      <c r="U1143" s="27"/>
      <c r="V1143" s="27"/>
      <c r="W1143" s="27"/>
      <c r="X1143" s="27"/>
      <c r="Y1143" s="27"/>
      <c r="Z1143" s="27"/>
    </row>
    <row r="1144" customHeight="1" spans="1:26">
      <c r="A1144" s="26">
        <v>756</v>
      </c>
      <c r="B1144" s="26">
        <v>74</v>
      </c>
      <c r="C1144" s="26" t="s">
        <v>1097</v>
      </c>
      <c r="D1144" s="26" t="s">
        <v>1721</v>
      </c>
      <c r="E1144" s="26" t="s">
        <v>2889</v>
      </c>
      <c r="F1144" s="26" t="str">
        <f t="shared" si="0"/>
        <v>Temporal Latin Origin</v>
      </c>
      <c r="G1144" s="26">
        <f t="shared" si="1"/>
        <v>10</v>
      </c>
      <c r="H1144" s="26"/>
      <c r="I1144" s="26"/>
      <c r="J1144" s="26"/>
      <c r="K1144" s="26"/>
      <c r="L1144" s="26" t="str">
        <f t="shared" si="2"/>
        <v>I</v>
      </c>
      <c r="M1144" s="26" t="str">
        <f>IFERROR(__xludf.DUMMYFUNCTION("GOOGLETRANSLATE(C1144,""EN"",""KN"")"),"ನಿರ್ಣಯ")</f>
        <v>ನಿರ್ಣಯ</v>
      </c>
      <c r="N1144" s="26" t="str">
        <f t="array" ref="N1144">_xlfn.XLOOKUP(B1144,'Sets Progress'!I:I,'Sets Progress'!I:I,"NOT YET")</f>
        <v>NOT YET</v>
      </c>
      <c r="O1144" s="26" t="str">
        <f t="array" ref="O1144">_xlfn.XLOOKUP(L:L,'Overall Progress'!L:L,'Overall Progress'!L:L,"NOT YET")</f>
        <v>NOT YET</v>
      </c>
      <c r="P1144" s="26"/>
      <c r="Q1144" s="26"/>
      <c r="R1144" s="26"/>
      <c r="S1144" s="26"/>
      <c r="T1144" s="26"/>
      <c r="U1144" s="26"/>
      <c r="V1144" s="26"/>
      <c r="W1144" s="26"/>
      <c r="X1144" s="26"/>
      <c r="Y1144" s="26"/>
      <c r="Z1144" s="26"/>
    </row>
    <row r="1145" hidden="1" customHeight="1" spans="1:26">
      <c r="A1145" s="27">
        <v>902</v>
      </c>
      <c r="B1145" s="27">
        <v>74</v>
      </c>
      <c r="C1145" s="27" t="s">
        <v>1239</v>
      </c>
      <c r="D1145" s="27" t="s">
        <v>1721</v>
      </c>
      <c r="E1145" s="27" t="s">
        <v>2921</v>
      </c>
      <c r="F1145" s="27" t="str">
        <f t="shared" si="0"/>
        <v>Temporal Unknown Origin</v>
      </c>
      <c r="G1145" s="27">
        <f t="shared" si="1"/>
        <v>7</v>
      </c>
      <c r="H1145" s="27" t="s">
        <v>4014</v>
      </c>
      <c r="I1145" s="27"/>
      <c r="J1145" s="27"/>
      <c r="K1145" s="27" t="s">
        <v>4015</v>
      </c>
      <c r="L1145" s="27" t="str">
        <f t="shared" si="2"/>
        <v>M</v>
      </c>
      <c r="M1145" s="27" t="str">
        <f>IFERROR(__xludf.DUMMYFUNCTION("GOOGLETRANSLATE(C1145,""EN"",""KN"")"),"ಮೆಲ್ಡಿಂಗ್")</f>
        <v>ಮೆಲ್ಡಿಂಗ್</v>
      </c>
      <c r="N1145" s="27" t="str">
        <f t="array" ref="N1145">_xlfn.XLOOKUP(B1145,'Sets Progress'!I:I,'Sets Progress'!I:I,"NOT YET")</f>
        <v>NOT YET</v>
      </c>
      <c r="O1145" s="27" t="str">
        <f t="array" ref="O1145">_xlfn.XLOOKUP(L:L,'Overall Progress'!L:L,'Overall Progress'!L:L,"NOT YET")</f>
        <v>NOT YET</v>
      </c>
      <c r="P1145" s="27"/>
      <c r="Q1145" s="27"/>
      <c r="R1145" s="27"/>
      <c r="S1145" s="27"/>
      <c r="T1145" s="27"/>
      <c r="U1145" s="27"/>
      <c r="V1145" s="27"/>
      <c r="W1145" s="27"/>
      <c r="X1145" s="27"/>
      <c r="Y1145" s="27"/>
      <c r="Z1145" s="27"/>
    </row>
    <row r="1146" hidden="1" customHeight="1" spans="1:26">
      <c r="A1146" s="26">
        <v>998</v>
      </c>
      <c r="B1146" s="26">
        <v>74</v>
      </c>
      <c r="C1146" s="26" t="s">
        <v>1333</v>
      </c>
      <c r="D1146" s="26" t="s">
        <v>1721</v>
      </c>
      <c r="E1146" s="26" t="s">
        <v>2908</v>
      </c>
      <c r="F1146" s="26" t="str">
        <f t="shared" si="0"/>
        <v>Temporal Old English Origin</v>
      </c>
      <c r="G1146" s="26">
        <f t="shared" si="1"/>
        <v>8</v>
      </c>
      <c r="H1146" s="26" t="s">
        <v>4016</v>
      </c>
      <c r="I1146" s="26"/>
      <c r="J1146" s="26"/>
      <c r="K1146" s="26"/>
      <c r="L1146" s="26" t="str">
        <f t="shared" si="2"/>
        <v>O</v>
      </c>
      <c r="M1146" s="26" t="str">
        <f>IFERROR(__xludf.DUMMYFUNCTION("GOOGLETRANSLATE(C1146,""EN"",""KN"")"),"ಅವಧಿ ಮೀರಿದೆ")</f>
        <v>ಅವಧಿ ಮೀರಿದೆ</v>
      </c>
      <c r="N1146" s="26" t="str">
        <f t="array" ref="N1146">_xlfn.XLOOKUP(B1146,'Sets Progress'!I:I,'Sets Progress'!I:I,"NOT YET")</f>
        <v>NOT YET</v>
      </c>
      <c r="O1146" s="26" t="str">
        <f t="array" ref="O1146">_xlfn.XLOOKUP(L:L,'Overall Progress'!L:L,'Overall Progress'!L:L,"NOT YET")</f>
        <v>NOT YET</v>
      </c>
      <c r="P1146" s="26"/>
      <c r="Q1146" s="26"/>
      <c r="R1146" s="26"/>
      <c r="S1146" s="26"/>
      <c r="T1146" s="26"/>
      <c r="U1146" s="26"/>
      <c r="V1146" s="26"/>
      <c r="W1146" s="26"/>
      <c r="X1146" s="26"/>
      <c r="Y1146" s="26"/>
      <c r="Z1146" s="26"/>
    </row>
    <row r="1147" hidden="1" customHeight="1" spans="1:26">
      <c r="A1147" s="27">
        <v>1013</v>
      </c>
      <c r="B1147" s="27">
        <v>74</v>
      </c>
      <c r="C1147" s="27" t="s">
        <v>1348</v>
      </c>
      <c r="D1147" s="27" t="s">
        <v>2717</v>
      </c>
      <c r="E1147" s="27" t="s">
        <v>2911</v>
      </c>
      <c r="F1147" s="27" t="str">
        <f t="shared" si="0"/>
        <v>Positive Traits French Origin</v>
      </c>
      <c r="G1147" s="27">
        <f t="shared" si="1"/>
        <v>7</v>
      </c>
      <c r="H1147" s="27" t="s">
        <v>4017</v>
      </c>
      <c r="I1147" s="27"/>
      <c r="J1147" s="27"/>
      <c r="K1147" s="27"/>
      <c r="L1147" s="27" t="str">
        <f t="shared" si="2"/>
        <v>P</v>
      </c>
      <c r="M1147" s="27" t="str">
        <f>IFERROR(__xludf.DUMMYFUNCTION("GOOGLETRANSLATE(C1147,""EN"",""KN"")"),"ಪನಾಚೆ")</f>
        <v>ಪನಾಚೆ</v>
      </c>
      <c r="N1147" s="27" t="str">
        <f t="array" ref="N1147">_xlfn.XLOOKUP(B1147,'Sets Progress'!I:I,'Sets Progress'!I:I,"NOT YET")</f>
        <v>NOT YET</v>
      </c>
      <c r="O1147" s="27" t="str">
        <f t="array" ref="O1147">_xlfn.XLOOKUP(L:L,'Overall Progress'!L:L,'Overall Progress'!L:L,"NOT YET")</f>
        <v>NOT YET</v>
      </c>
      <c r="P1147" s="27"/>
      <c r="Q1147" s="27"/>
      <c r="R1147" s="27"/>
      <c r="S1147" s="27"/>
      <c r="T1147" s="27"/>
      <c r="U1147" s="27"/>
      <c r="V1147" s="27"/>
      <c r="W1147" s="27"/>
      <c r="X1147" s="27"/>
      <c r="Y1147" s="27"/>
      <c r="Z1147" s="27"/>
    </row>
    <row r="1148" hidden="1" customHeight="1" spans="1:26">
      <c r="A1148" s="26">
        <v>1034</v>
      </c>
      <c r="B1148" s="26">
        <v>74</v>
      </c>
      <c r="C1148" s="26" t="s">
        <v>1369</v>
      </c>
      <c r="D1148" s="26" t="s">
        <v>1721</v>
      </c>
      <c r="E1148" s="26" t="s">
        <v>2889</v>
      </c>
      <c r="F1148" s="26" t="str">
        <f t="shared" si="0"/>
        <v>Temporal Latin Origin</v>
      </c>
      <c r="G1148" s="26">
        <f t="shared" si="1"/>
        <v>8</v>
      </c>
      <c r="H1148" s="26" t="s">
        <v>4018</v>
      </c>
      <c r="I1148" s="26"/>
      <c r="J1148" s="26"/>
      <c r="K1148" s="26"/>
      <c r="L1148" s="26" t="str">
        <f t="shared" si="2"/>
        <v>P</v>
      </c>
      <c r="M1148" s="26" t="str">
        <f>IFERROR(__xludf.DUMMYFUNCTION("GOOGLETRANSLATE(C1148,""EN"",""KN"")"),"ಪೆಲುಸಿಡ್")</f>
        <v>ಪೆಲುಸಿಡ್</v>
      </c>
      <c r="N1148" s="26" t="str">
        <f t="array" ref="N1148">_xlfn.XLOOKUP(B1148,'Sets Progress'!I:I,'Sets Progress'!I:I,"NOT YET")</f>
        <v>NOT YET</v>
      </c>
      <c r="O1148" s="26" t="str">
        <f t="array" ref="O1148">_xlfn.XLOOKUP(L:L,'Overall Progress'!L:L,'Overall Progress'!L:L,"NOT YET")</f>
        <v>NOT YET</v>
      </c>
      <c r="P1148" s="26"/>
      <c r="Q1148" s="26"/>
      <c r="R1148" s="26"/>
      <c r="S1148" s="26"/>
      <c r="T1148" s="26"/>
      <c r="U1148" s="26"/>
      <c r="V1148" s="26"/>
      <c r="W1148" s="26"/>
      <c r="X1148" s="26"/>
      <c r="Y1148" s="26"/>
      <c r="Z1148" s="26"/>
    </row>
    <row r="1149" hidden="1" customHeight="1" spans="1:26">
      <c r="A1149" s="27">
        <v>1171</v>
      </c>
      <c r="B1149" s="27">
        <v>74</v>
      </c>
      <c r="C1149" s="27" t="s">
        <v>1502</v>
      </c>
      <c r="D1149" s="27" t="s">
        <v>2717</v>
      </c>
      <c r="E1149" s="27" t="s">
        <v>2889</v>
      </c>
      <c r="F1149" s="27" t="str">
        <f t="shared" si="0"/>
        <v>Positive Traits Latin Origin</v>
      </c>
      <c r="G1149" s="27">
        <f t="shared" si="1"/>
        <v>8</v>
      </c>
      <c r="H1149" s="27" t="s">
        <v>4019</v>
      </c>
      <c r="I1149" s="27"/>
      <c r="J1149" s="27"/>
      <c r="K1149" s="27"/>
      <c r="L1149" s="27" t="str">
        <f t="shared" si="2"/>
        <v>R</v>
      </c>
      <c r="M1149" s="27" t="str">
        <f>IFERROR(__xludf.DUMMYFUNCTION("GOOGLETRANSLATE(C1149,""EN"",""KN"")"),"ತರ್ಕಬದ್ಧ")</f>
        <v>ತರ್ಕಬದ್ಧ</v>
      </c>
      <c r="N1149" s="27" t="str">
        <f t="array" ref="N1149">_xlfn.XLOOKUP(B1149,'Sets Progress'!I:I,'Sets Progress'!I:I,"NOT YET")</f>
        <v>NOT YET</v>
      </c>
      <c r="O1149" s="27" t="str">
        <f t="array" ref="O1149">_xlfn.XLOOKUP(L:L,'Overall Progress'!L:L,'Overall Progress'!L:L,"NOT YET")</f>
        <v>NOT YET</v>
      </c>
      <c r="P1149" s="27"/>
      <c r="Q1149" s="27"/>
      <c r="R1149" s="27"/>
      <c r="S1149" s="27"/>
      <c r="T1149" s="27"/>
      <c r="U1149" s="27"/>
      <c r="V1149" s="27"/>
      <c r="W1149" s="27"/>
      <c r="X1149" s="27"/>
      <c r="Y1149" s="27"/>
      <c r="Z1149" s="27"/>
    </row>
    <row r="1150" customHeight="1" spans="1:26">
      <c r="A1150" s="26">
        <v>1321</v>
      </c>
      <c r="B1150" s="26">
        <v>74</v>
      </c>
      <c r="C1150" s="26" t="s">
        <v>1652</v>
      </c>
      <c r="D1150" s="26" t="s">
        <v>1721</v>
      </c>
      <c r="E1150" s="26" t="s">
        <v>2908</v>
      </c>
      <c r="F1150" s="26" t="str">
        <f t="shared" si="0"/>
        <v>Temporal Old English Origin</v>
      </c>
      <c r="G1150" s="26">
        <f t="shared" si="1"/>
        <v>6</v>
      </c>
      <c r="H1150" s="26"/>
      <c r="I1150" s="26"/>
      <c r="J1150" s="26"/>
      <c r="K1150" s="26"/>
      <c r="L1150" s="26" t="str">
        <f t="shared" si="2"/>
        <v>S</v>
      </c>
      <c r="M1150" s="26" t="str">
        <f>IFERROR(__xludf.DUMMYFUNCTION("GOOGLETRANSLATE(C1150,""EN"",""KN"")"),"ಸ್ಟ್ಯಾಂಚ್")</f>
        <v>ಸ್ಟ್ಯಾಂಚ್</v>
      </c>
      <c r="N1150" s="26" t="str">
        <f t="array" ref="N1150">_xlfn.XLOOKUP(B1150,'Sets Progress'!I:I,'Sets Progress'!I:I,"NOT YET")</f>
        <v>NOT YET</v>
      </c>
      <c r="O1150" s="26" t="str">
        <f t="array" ref="O1150">_xlfn.XLOOKUP(L:L,'Overall Progress'!L:L,'Overall Progress'!L:L,"NOT YET")</f>
        <v>NOT YET</v>
      </c>
      <c r="P1150" s="26"/>
      <c r="Q1150" s="26"/>
      <c r="R1150" s="26"/>
      <c r="S1150" s="26"/>
      <c r="T1150" s="26"/>
      <c r="U1150" s="26"/>
      <c r="V1150" s="26"/>
      <c r="W1150" s="26"/>
      <c r="X1150" s="26"/>
      <c r="Y1150" s="26"/>
      <c r="Z1150" s="26"/>
    </row>
    <row r="1151" hidden="1" customHeight="1" spans="1:26">
      <c r="A1151" s="27">
        <v>1368</v>
      </c>
      <c r="B1151" s="27">
        <v>74</v>
      </c>
      <c r="C1151" s="27" t="s">
        <v>1699</v>
      </c>
      <c r="D1151" s="27" t="s">
        <v>2716</v>
      </c>
      <c r="E1151" s="27" t="s">
        <v>2921</v>
      </c>
      <c r="F1151" s="27" t="str">
        <f t="shared" si="0"/>
        <v>Negative Traits Unknown Origin</v>
      </c>
      <c r="G1151" s="27">
        <f t="shared" si="1"/>
        <v>7</v>
      </c>
      <c r="H1151" s="27" t="s">
        <v>4020</v>
      </c>
      <c r="I1151" s="27"/>
      <c r="J1151" s="27"/>
      <c r="K1151" s="27"/>
      <c r="L1151" s="27" t="str">
        <f t="shared" si="2"/>
        <v>S</v>
      </c>
      <c r="M1151" s="27" t="str">
        <f>IFERROR(__xludf.DUMMYFUNCTION("GOOGLETRANSLATE(C1151,""EN"",""KN"")"),"ವಂಚನೆ")</f>
        <v>ವಂಚನೆ</v>
      </c>
      <c r="N1151" s="27" t="str">
        <f t="array" ref="N1151">_xlfn.XLOOKUP(B1151,'Sets Progress'!I:I,'Sets Progress'!I:I,"NOT YET")</f>
        <v>NOT YET</v>
      </c>
      <c r="O1151" s="27" t="str">
        <f t="array" ref="O1151">_xlfn.XLOOKUP(L:L,'Overall Progress'!L:L,'Overall Progress'!L:L,"NOT YET")</f>
        <v>NOT YET</v>
      </c>
      <c r="P1151" s="27"/>
      <c r="Q1151" s="27"/>
      <c r="R1151" s="27"/>
      <c r="S1151" s="27"/>
      <c r="T1151" s="27"/>
      <c r="U1151" s="27"/>
      <c r="V1151" s="27"/>
      <c r="W1151" s="27"/>
      <c r="X1151" s="27"/>
      <c r="Y1151" s="27"/>
      <c r="Z1151" s="27"/>
    </row>
    <row r="1152" hidden="1" customHeight="1" spans="1:26">
      <c r="A1152" s="26">
        <v>1422</v>
      </c>
      <c r="B1152" s="26">
        <v>74</v>
      </c>
      <c r="C1152" s="26" t="s">
        <v>1753</v>
      </c>
      <c r="D1152" s="26" t="s">
        <v>1721</v>
      </c>
      <c r="E1152" s="26" t="s">
        <v>2889</v>
      </c>
      <c r="F1152" s="26" t="str">
        <f t="shared" si="0"/>
        <v>Temporal Latin Origin</v>
      </c>
      <c r="G1152" s="26">
        <f t="shared" si="1"/>
        <v>8</v>
      </c>
      <c r="H1152" s="26" t="s">
        <v>4021</v>
      </c>
      <c r="I1152" s="26"/>
      <c r="J1152" s="26"/>
      <c r="K1152" s="26"/>
      <c r="L1152" s="26" t="str">
        <f t="shared" si="2"/>
        <v>T</v>
      </c>
      <c r="M1152" s="26" t="str">
        <f>IFERROR(__xludf.DUMMYFUNCTION("GOOGLETRANSLATE(C1152,""EN"",""KN"")"),"ಟ್ರೀಟೈಸ್")</f>
        <v>ಟ್ರೀಟೈಸ್</v>
      </c>
      <c r="N1152" s="26" t="str">
        <f t="array" ref="N1152">_xlfn.XLOOKUP(B1152,'Sets Progress'!I:I,'Sets Progress'!I:I,"NOT YET")</f>
        <v>NOT YET</v>
      </c>
      <c r="O1152" s="26" t="str">
        <f t="array" ref="O1152">_xlfn.XLOOKUP(L:L,'Overall Progress'!L:L,'Overall Progress'!L:L,"NOT YET")</f>
        <v>NOT YET</v>
      </c>
      <c r="P1152" s="26"/>
      <c r="Q1152" s="26"/>
      <c r="R1152" s="26"/>
      <c r="S1152" s="26"/>
      <c r="T1152" s="26"/>
      <c r="U1152" s="26"/>
      <c r="V1152" s="26"/>
      <c r="W1152" s="26"/>
      <c r="X1152" s="26"/>
      <c r="Y1152" s="26"/>
      <c r="Z1152" s="26"/>
    </row>
    <row r="1153" hidden="1" customHeight="1" spans="1:26">
      <c r="A1153" s="27">
        <v>1432</v>
      </c>
      <c r="B1153" s="27">
        <v>74</v>
      </c>
      <c r="C1153" s="27" t="s">
        <v>1761</v>
      </c>
      <c r="D1153" s="27" t="s">
        <v>2716</v>
      </c>
      <c r="E1153" s="27" t="s">
        <v>2889</v>
      </c>
      <c r="F1153" s="27" t="str">
        <f t="shared" si="0"/>
        <v>Negative Traits Latin Origin</v>
      </c>
      <c r="G1153" s="27">
        <f t="shared" si="1"/>
        <v>9</v>
      </c>
      <c r="H1153" s="27" t="s">
        <v>4022</v>
      </c>
      <c r="I1153" s="27"/>
      <c r="J1153" s="27"/>
      <c r="K1153" s="27"/>
      <c r="L1153" s="27" t="str">
        <f t="shared" si="2"/>
        <v>T</v>
      </c>
      <c r="M1153" s="27" t="str">
        <f>IFERROR(__xludf.DUMMYFUNCTION("GOOGLETRANSLATE(C1153,""EN"",""KN"")"),"ಪ್ರಕ್ಷುಬ್ಧತೆ")</f>
        <v>ಪ್ರಕ್ಷುಬ್ಧತೆ</v>
      </c>
      <c r="N1153" s="27" t="str">
        <f t="array" ref="N1153">_xlfn.XLOOKUP(B1153,'Sets Progress'!I:I,'Sets Progress'!I:I,"NOT YET")</f>
        <v>NOT YET</v>
      </c>
      <c r="O1153" s="27" t="str">
        <f t="array" ref="O1153">_xlfn.XLOOKUP(L:L,'Overall Progress'!L:L,'Overall Progress'!L:L,"NOT YET")</f>
        <v>NOT YET</v>
      </c>
      <c r="P1153" s="27"/>
      <c r="Q1153" s="27"/>
      <c r="R1153" s="27"/>
      <c r="S1153" s="27"/>
      <c r="T1153" s="27"/>
      <c r="U1153" s="27"/>
      <c r="V1153" s="27"/>
      <c r="W1153" s="27"/>
      <c r="X1153" s="27"/>
      <c r="Y1153" s="27"/>
      <c r="Z1153" s="27"/>
    </row>
    <row r="1154" hidden="1" customHeight="1" spans="1:26">
      <c r="A1154" s="26">
        <v>42</v>
      </c>
      <c r="B1154" s="26">
        <v>75</v>
      </c>
      <c r="C1154" s="26" t="s">
        <v>355</v>
      </c>
      <c r="D1154" s="26" t="s">
        <v>2928</v>
      </c>
      <c r="E1154" s="26" t="s">
        <v>2893</v>
      </c>
      <c r="F1154" s="26" t="str">
        <f t="shared" si="0"/>
        <v>Philosophical Greek Origin</v>
      </c>
      <c r="G1154" s="26">
        <f t="shared" si="1"/>
        <v>9</v>
      </c>
      <c r="H1154" s="26" t="s">
        <v>4023</v>
      </c>
      <c r="I1154" s="26"/>
      <c r="J1154" s="26"/>
      <c r="K1154" s="26"/>
      <c r="L1154" s="26" t="str">
        <f t="shared" si="2"/>
        <v>A</v>
      </c>
      <c r="M1154" s="26" t="str">
        <f>IFERROR(__xludf.DUMMYFUNCTION("GOOGLETRANSLATE(C1154,""EN"",""KN"")"),"ಸೌಂದರ್ಯಾತ್ಮಕ")</f>
        <v>ಸೌಂದರ್ಯಾತ್ಮಕ</v>
      </c>
      <c r="N1154" s="26" t="str">
        <f t="array" ref="N1154">_xlfn.XLOOKUP(B1154,'Sets Progress'!I:I,'Sets Progress'!I:I,"NOT YET")</f>
        <v>NOT YET</v>
      </c>
      <c r="O1154" s="26" t="str">
        <f t="array" ref="O1154">_xlfn.XLOOKUP(L:L,'Overall Progress'!L:L,'Overall Progress'!L:L,"NOT YET")</f>
        <v>NOT YET</v>
      </c>
      <c r="P1154" s="26"/>
      <c r="Q1154" s="26"/>
      <c r="R1154" s="26"/>
      <c r="S1154" s="26"/>
      <c r="T1154" s="26"/>
      <c r="U1154" s="26"/>
      <c r="V1154" s="26"/>
      <c r="W1154" s="26"/>
      <c r="X1154" s="26"/>
      <c r="Y1154" s="26"/>
      <c r="Z1154" s="26"/>
    </row>
    <row r="1155" hidden="1" customHeight="1" spans="1:26">
      <c r="A1155" s="27">
        <v>174</v>
      </c>
      <c r="B1155" s="27">
        <v>75</v>
      </c>
      <c r="C1155" s="27" t="s">
        <v>524</v>
      </c>
      <c r="D1155" s="27" t="s">
        <v>1638</v>
      </c>
      <c r="E1155" s="27" t="s">
        <v>2899</v>
      </c>
      <c r="F1155" s="27" t="str">
        <f t="shared" si="0"/>
        <v>Sound Middle English Origin</v>
      </c>
      <c r="G1155" s="27">
        <f t="shared" si="1"/>
        <v>10</v>
      </c>
      <c r="H1155" s="27" t="s">
        <v>4024</v>
      </c>
      <c r="I1155" s="27"/>
      <c r="J1155" s="27"/>
      <c r="K1155" s="27"/>
      <c r="L1155" s="27" t="str">
        <f t="shared" si="2"/>
        <v>B</v>
      </c>
      <c r="M1155" s="27" t="str">
        <f>IFERROR(__xludf.DUMMYFUNCTION("GOOGLETRANSLATE(C1155,""EN"",""KN"")"),"ಅಬ್ಬರದ")</f>
        <v>ಅಬ್ಬರದ</v>
      </c>
      <c r="N1155" s="27" t="str">
        <f t="array" ref="N1155">_xlfn.XLOOKUP(B1155,'Sets Progress'!I:I,'Sets Progress'!I:I,"NOT YET")</f>
        <v>NOT YET</v>
      </c>
      <c r="O1155" s="27" t="str">
        <f t="array" ref="O1155">_xlfn.XLOOKUP(L:L,'Overall Progress'!L:L,'Overall Progress'!L:L,"NOT YET")</f>
        <v>NOT YET</v>
      </c>
      <c r="P1155" s="27"/>
      <c r="Q1155" s="27"/>
      <c r="R1155" s="27"/>
      <c r="S1155" s="27"/>
      <c r="T1155" s="27"/>
      <c r="U1155" s="27"/>
      <c r="V1155" s="27"/>
      <c r="W1155" s="27"/>
      <c r="X1155" s="27"/>
      <c r="Y1155" s="27"/>
      <c r="Z1155" s="27"/>
    </row>
    <row r="1156" hidden="1" customHeight="1" spans="1:26">
      <c r="A1156" s="26">
        <v>216</v>
      </c>
      <c r="B1156" s="26">
        <v>75</v>
      </c>
      <c r="C1156" s="26" t="s">
        <v>565</v>
      </c>
      <c r="D1156" s="26" t="s">
        <v>3016</v>
      </c>
      <c r="E1156" s="26" t="s">
        <v>2889</v>
      </c>
      <c r="F1156" s="26" t="str">
        <f t="shared" si="0"/>
        <v>Taste Latin Origin</v>
      </c>
      <c r="G1156" s="26">
        <f t="shared" si="1"/>
        <v>7</v>
      </c>
      <c r="H1156" s="26" t="s">
        <v>4025</v>
      </c>
      <c r="I1156" s="26"/>
      <c r="J1156" s="26"/>
      <c r="K1156" s="26"/>
      <c r="L1156" s="26" t="str">
        <f t="shared" si="2"/>
        <v>C</v>
      </c>
      <c r="M1156" s="26" t="str">
        <f>IFERROR(__xludf.DUMMYFUNCTION("GOOGLETRANSLATE(C1156,""EN"",""KN"")"),"ಕಾಸ್ಟಿಕ್")</f>
        <v>ಕಾಸ್ಟಿಕ್</v>
      </c>
      <c r="N1156" s="26" t="str">
        <f t="array" ref="N1156">_xlfn.XLOOKUP(B1156,'Sets Progress'!I:I,'Sets Progress'!I:I,"NOT YET")</f>
        <v>NOT YET</v>
      </c>
      <c r="O1156" s="26" t="str">
        <f t="array" ref="O1156">_xlfn.XLOOKUP(L:L,'Overall Progress'!L:L,'Overall Progress'!L:L,"NOT YET")</f>
        <v>NOT YET</v>
      </c>
      <c r="P1156" s="26"/>
      <c r="Q1156" s="26"/>
      <c r="R1156" s="26"/>
      <c r="S1156" s="26"/>
      <c r="T1156" s="26"/>
      <c r="U1156" s="26"/>
      <c r="V1156" s="26"/>
      <c r="W1156" s="26"/>
      <c r="X1156" s="26"/>
      <c r="Y1156" s="26"/>
      <c r="Z1156" s="26"/>
    </row>
    <row r="1157" hidden="1" customHeight="1" spans="1:26">
      <c r="A1157" s="27">
        <v>266</v>
      </c>
      <c r="B1157" s="27">
        <v>75</v>
      </c>
      <c r="C1157" s="27" t="s">
        <v>619</v>
      </c>
      <c r="D1157" s="27" t="s">
        <v>2717</v>
      </c>
      <c r="E1157" s="27" t="s">
        <v>2889</v>
      </c>
      <c r="F1157" s="27" t="str">
        <f t="shared" si="0"/>
        <v>Positive Traits Latin Origin</v>
      </c>
      <c r="G1157" s="27">
        <f t="shared" si="1"/>
        <v>13</v>
      </c>
      <c r="H1157" s="27" t="s">
        <v>4026</v>
      </c>
      <c r="I1157" s="27"/>
      <c r="J1157" s="27"/>
      <c r="K1157" s="27"/>
      <c r="L1157" s="27" t="str">
        <f t="shared" si="2"/>
        <v>C</v>
      </c>
      <c r="M1157" s="27" t="str">
        <f>IFERROR(__xludf.DUMMYFUNCTION("GOOGLETRANSLATE(C1157,""EN"",""KN"")"),"ಪೂರಕ")</f>
        <v>ಪೂರಕ</v>
      </c>
      <c r="N1157" s="27" t="str">
        <f t="array" ref="N1157">_xlfn.XLOOKUP(B1157,'Sets Progress'!I:I,'Sets Progress'!I:I,"NOT YET")</f>
        <v>NOT YET</v>
      </c>
      <c r="O1157" s="27" t="str">
        <f t="array" ref="O1157">_xlfn.XLOOKUP(L:L,'Overall Progress'!L:L,'Overall Progress'!L:L,"NOT YET")</f>
        <v>NOT YET</v>
      </c>
      <c r="P1157" s="27"/>
      <c r="Q1157" s="27"/>
      <c r="R1157" s="27"/>
      <c r="S1157" s="27"/>
      <c r="T1157" s="27"/>
      <c r="U1157" s="27"/>
      <c r="V1157" s="27"/>
      <c r="W1157" s="27"/>
      <c r="X1157" s="27"/>
      <c r="Y1157" s="27"/>
      <c r="Z1157" s="27"/>
    </row>
    <row r="1158" hidden="1" customHeight="1" spans="1:26">
      <c r="A1158" s="26">
        <v>276</v>
      </c>
      <c r="B1158" s="26">
        <v>75</v>
      </c>
      <c r="C1158" s="26" t="s">
        <v>629</v>
      </c>
      <c r="D1158" s="26" t="s">
        <v>2928</v>
      </c>
      <c r="E1158" s="26" t="s">
        <v>2889</v>
      </c>
      <c r="F1158" s="26" t="str">
        <f t="shared" si="0"/>
        <v>Philosophical Latin Origin</v>
      </c>
      <c r="G1158" s="26">
        <f t="shared" si="1"/>
        <v>10</v>
      </c>
      <c r="H1158" s="26" t="s">
        <v>4027</v>
      </c>
      <c r="I1158" s="26"/>
      <c r="J1158" s="26"/>
      <c r="K1158" s="26"/>
      <c r="L1158" s="26" t="str">
        <f t="shared" si="2"/>
        <v>C</v>
      </c>
      <c r="M1158" s="26" t="str">
        <f>IFERROR(__xludf.DUMMYFUNCTION("GOOGLETRANSLATE(C1158,""EN"",""KN"")"),"ನಿರ್ಣಾಯಕ")</f>
        <v>ನಿರ್ಣಾಯಕ</v>
      </c>
      <c r="N1158" s="26" t="str">
        <f t="array" ref="N1158">_xlfn.XLOOKUP(B1158,'Sets Progress'!I:I,'Sets Progress'!I:I,"NOT YET")</f>
        <v>NOT YET</v>
      </c>
      <c r="O1158" s="26" t="str">
        <f t="array" ref="O1158">_xlfn.XLOOKUP(L:L,'Overall Progress'!L:L,'Overall Progress'!L:L,"NOT YET")</f>
        <v>NOT YET</v>
      </c>
      <c r="P1158" s="26"/>
      <c r="Q1158" s="26"/>
      <c r="R1158" s="26"/>
      <c r="S1158" s="26"/>
      <c r="T1158" s="26"/>
      <c r="U1158" s="26"/>
      <c r="V1158" s="26"/>
      <c r="W1158" s="26"/>
      <c r="X1158" s="26"/>
      <c r="Y1158" s="26"/>
      <c r="Z1158" s="26"/>
    </row>
    <row r="1159" customHeight="1" spans="1:26">
      <c r="A1159" s="27">
        <v>398</v>
      </c>
      <c r="B1159" s="27">
        <v>75</v>
      </c>
      <c r="C1159" s="27" t="s">
        <v>747</v>
      </c>
      <c r="D1159" s="27" t="s">
        <v>1721</v>
      </c>
      <c r="E1159" s="27" t="s">
        <v>2889</v>
      </c>
      <c r="F1159" s="27" t="str">
        <f t="shared" si="0"/>
        <v>Temporal Latin Origin</v>
      </c>
      <c r="G1159" s="27">
        <f t="shared" si="1"/>
        <v>7</v>
      </c>
      <c r="H1159" s="27"/>
      <c r="I1159" s="27"/>
      <c r="J1159" s="27"/>
      <c r="K1159" s="27"/>
      <c r="L1159" s="27" t="str">
        <f t="shared" si="2"/>
        <v>D</v>
      </c>
      <c r="M1159" s="27" t="str">
        <f>IFERROR(__xludf.DUMMYFUNCTION("GOOGLETRANSLATE(C1159,""EN"",""KN"")"),"ಪ್ರಸರಣ")</f>
        <v>ಪ್ರಸರಣ</v>
      </c>
      <c r="N1159" s="27" t="str">
        <f t="array" ref="N1159">_xlfn.XLOOKUP(B1159,'Sets Progress'!I:I,'Sets Progress'!I:I,"NOT YET")</f>
        <v>NOT YET</v>
      </c>
      <c r="O1159" s="27" t="str">
        <f t="array" ref="O1159">_xlfn.XLOOKUP(L:L,'Overall Progress'!L:L,'Overall Progress'!L:L,"NOT YET")</f>
        <v>NOT YET</v>
      </c>
      <c r="P1159" s="27"/>
      <c r="Q1159" s="27"/>
      <c r="R1159" s="27"/>
      <c r="S1159" s="27"/>
      <c r="T1159" s="27"/>
      <c r="U1159" s="27"/>
      <c r="V1159" s="27"/>
      <c r="W1159" s="27"/>
      <c r="X1159" s="27"/>
      <c r="Y1159" s="27"/>
      <c r="Z1159" s="27"/>
    </row>
    <row r="1160" hidden="1" customHeight="1" spans="1:26">
      <c r="A1160" s="26">
        <v>481</v>
      </c>
      <c r="B1160" s="26">
        <v>75</v>
      </c>
      <c r="C1160" s="26" t="s">
        <v>830</v>
      </c>
      <c r="D1160" s="26" t="s">
        <v>2716</v>
      </c>
      <c r="E1160" s="26" t="s">
        <v>2889</v>
      </c>
      <c r="F1160" s="26" t="str">
        <f t="shared" si="0"/>
        <v>Negative Traits Latin Origin</v>
      </c>
      <c r="G1160" s="26">
        <f t="shared" si="1"/>
        <v>9</v>
      </c>
      <c r="H1160" s="26" t="s">
        <v>4028</v>
      </c>
      <c r="I1160" s="26"/>
      <c r="J1160" s="26"/>
      <c r="K1160" s="26"/>
      <c r="L1160" s="26" t="str">
        <f t="shared" si="2"/>
        <v>E</v>
      </c>
      <c r="M1160" s="26" t="str">
        <f>IFERROR(__xludf.DUMMYFUNCTION("GOOGLETRANSLATE(C1160,""EN"",""KN"")"),"ಅತಿಶಯ")</f>
        <v>ಅತಿಶಯ</v>
      </c>
      <c r="N1160" s="26" t="str">
        <f t="array" ref="N1160">_xlfn.XLOOKUP(B1160,'Sets Progress'!I:I,'Sets Progress'!I:I,"NOT YET")</f>
        <v>NOT YET</v>
      </c>
      <c r="O1160" s="26" t="str">
        <f t="array" ref="O1160">_xlfn.XLOOKUP(L:L,'Overall Progress'!L:L,'Overall Progress'!L:L,"NOT YET")</f>
        <v>NOT YET</v>
      </c>
      <c r="P1160" s="26"/>
      <c r="Q1160" s="26"/>
      <c r="R1160" s="26"/>
      <c r="S1160" s="26"/>
      <c r="T1160" s="26"/>
      <c r="U1160" s="26"/>
      <c r="V1160" s="26"/>
      <c r="W1160" s="26"/>
      <c r="X1160" s="26"/>
      <c r="Y1160" s="26"/>
      <c r="Z1160" s="26"/>
    </row>
    <row r="1161" hidden="1" customHeight="1" spans="1:26">
      <c r="A1161" s="27">
        <v>535</v>
      </c>
      <c r="B1161" s="27">
        <v>75</v>
      </c>
      <c r="C1161" s="27" t="s">
        <v>881</v>
      </c>
      <c r="D1161" s="27" t="s">
        <v>3022</v>
      </c>
      <c r="E1161" s="27" t="s">
        <v>2893</v>
      </c>
      <c r="F1161" s="27" t="str">
        <f t="shared" si="0"/>
        <v>Intellectual Greek Origin</v>
      </c>
      <c r="G1161" s="27">
        <f t="shared" si="1"/>
        <v>8</v>
      </c>
      <c r="H1161" s="27" t="s">
        <v>4029</v>
      </c>
      <c r="I1161" s="27"/>
      <c r="J1161" s="27"/>
      <c r="K1161" s="27"/>
      <c r="L1161" s="27" t="str">
        <f t="shared" si="2"/>
        <v>E</v>
      </c>
      <c r="M1161" s="27" t="str">
        <f>IFERROR(__xludf.DUMMYFUNCTION("GOOGLETRANSLATE(C1161,""EN"",""KN"")"),"ನಿಗೂಢ")</f>
        <v>ನಿಗೂಢ</v>
      </c>
      <c r="N1161" s="27" t="str">
        <f t="array" ref="N1161">_xlfn.XLOOKUP(B1161,'Sets Progress'!I:I,'Sets Progress'!I:I,"NOT YET")</f>
        <v>NOT YET</v>
      </c>
      <c r="O1161" s="27" t="str">
        <f t="array" ref="O1161">_xlfn.XLOOKUP(L:L,'Overall Progress'!L:L,'Overall Progress'!L:L,"NOT YET")</f>
        <v>NOT YET</v>
      </c>
      <c r="P1161" s="27"/>
      <c r="Q1161" s="27"/>
      <c r="R1161" s="27"/>
      <c r="S1161" s="27"/>
      <c r="T1161" s="27"/>
      <c r="U1161" s="27"/>
      <c r="V1161" s="27"/>
      <c r="W1161" s="27"/>
      <c r="X1161" s="27"/>
      <c r="Y1161" s="27"/>
      <c r="Z1161" s="27"/>
    </row>
    <row r="1162" hidden="1" customHeight="1" spans="1:26">
      <c r="A1162" s="26">
        <v>598</v>
      </c>
      <c r="B1162" s="26">
        <v>75</v>
      </c>
      <c r="C1162" s="26" t="s">
        <v>942</v>
      </c>
      <c r="D1162" s="26" t="s">
        <v>1721</v>
      </c>
      <c r="E1162" s="26" t="s">
        <v>2908</v>
      </c>
      <c r="F1162" s="26" t="str">
        <f t="shared" si="0"/>
        <v>Temporal Old English Origin</v>
      </c>
      <c r="G1162" s="26">
        <f t="shared" si="1"/>
        <v>6</v>
      </c>
      <c r="H1162" s="26" t="s">
        <v>4030</v>
      </c>
      <c r="I1162" s="26"/>
      <c r="J1162" s="26"/>
      <c r="K1162" s="26"/>
      <c r="L1162" s="26" t="str">
        <f t="shared" si="2"/>
        <v>F</v>
      </c>
      <c r="M1162" s="26" t="str">
        <f>IFERROR(__xludf.DUMMYFUNCTION("GOOGLETRANSLATE(C1162,""EN"",""KN"")"),"ಫೆಸ್ಟರ್")</f>
        <v>ಫೆಸ್ಟರ್</v>
      </c>
      <c r="N1162" s="26" t="str">
        <f t="array" ref="N1162">_xlfn.XLOOKUP(B1162,'Sets Progress'!I:I,'Sets Progress'!I:I,"NOT YET")</f>
        <v>NOT YET</v>
      </c>
      <c r="O1162" s="26" t="str">
        <f t="array" ref="O1162">_xlfn.XLOOKUP(L:L,'Overall Progress'!L:L,'Overall Progress'!L:L,"NOT YET")</f>
        <v>NOT YET</v>
      </c>
      <c r="P1162" s="26"/>
      <c r="Q1162" s="26"/>
      <c r="R1162" s="26"/>
      <c r="S1162" s="26"/>
      <c r="T1162" s="26"/>
      <c r="U1162" s="26"/>
      <c r="V1162" s="26"/>
      <c r="W1162" s="26"/>
      <c r="X1162" s="26"/>
      <c r="Y1162" s="26"/>
      <c r="Z1162" s="26"/>
    </row>
    <row r="1163" hidden="1" customHeight="1" spans="1:26">
      <c r="A1163" s="27">
        <v>645</v>
      </c>
      <c r="B1163" s="27">
        <v>75</v>
      </c>
      <c r="C1163" s="27" t="s">
        <v>989</v>
      </c>
      <c r="D1163" s="27" t="s">
        <v>3003</v>
      </c>
      <c r="E1163" s="27" t="s">
        <v>2908</v>
      </c>
      <c r="F1163" s="27" t="str">
        <f t="shared" si="0"/>
        <v>Linguistic Old English Origin</v>
      </c>
      <c r="G1163" s="27">
        <f t="shared" si="1"/>
        <v>7</v>
      </c>
      <c r="H1163" s="27" t="s">
        <v>4031</v>
      </c>
      <c r="I1163" s="27"/>
      <c r="J1163" s="27"/>
      <c r="K1163" s="27"/>
      <c r="L1163" s="27" t="str">
        <f t="shared" si="2"/>
        <v>G</v>
      </c>
      <c r="M1163" s="27" t="str">
        <f>IFERROR(__xludf.DUMMYFUNCTION("GOOGLETRANSLATE(C1163,""EN"",""KN"")"),"ಗೇನ್ಸೇ")</f>
        <v>ಗೇನ್ಸೇ</v>
      </c>
      <c r="N1163" s="27" t="str">
        <f t="array" ref="N1163">_xlfn.XLOOKUP(B1163,'Sets Progress'!I:I,'Sets Progress'!I:I,"NOT YET")</f>
        <v>NOT YET</v>
      </c>
      <c r="O1163" s="27" t="str">
        <f t="array" ref="O1163">_xlfn.XLOOKUP(L:L,'Overall Progress'!L:L,'Overall Progress'!L:L,"NOT YET")</f>
        <v>NOT YET</v>
      </c>
      <c r="P1163" s="27"/>
      <c r="Q1163" s="27"/>
      <c r="R1163" s="27"/>
      <c r="S1163" s="27"/>
      <c r="T1163" s="27"/>
      <c r="U1163" s="27"/>
      <c r="V1163" s="27"/>
      <c r="W1163" s="27"/>
      <c r="X1163" s="27"/>
      <c r="Y1163" s="27"/>
      <c r="Z1163" s="27"/>
    </row>
    <row r="1164" hidden="1" customHeight="1" spans="1:26">
      <c r="A1164" s="26">
        <v>682</v>
      </c>
      <c r="B1164" s="26">
        <v>75</v>
      </c>
      <c r="C1164" s="26" t="s">
        <v>1024</v>
      </c>
      <c r="D1164" s="26" t="s">
        <v>1721</v>
      </c>
      <c r="E1164" s="26" t="s">
        <v>2921</v>
      </c>
      <c r="F1164" s="26" t="str">
        <f t="shared" si="0"/>
        <v>Temporal Unknown Origin</v>
      </c>
      <c r="G1164" s="26">
        <f t="shared" si="1"/>
        <v>5</v>
      </c>
      <c r="H1164" s="26" t="s">
        <v>4032</v>
      </c>
      <c r="I1164" s="26"/>
      <c r="J1164" s="26"/>
      <c r="K1164" s="26"/>
      <c r="L1164" s="26" t="str">
        <f t="shared" si="2"/>
        <v>H</v>
      </c>
      <c r="M1164" s="26" t="str">
        <f>IFERROR(__xludf.DUMMYFUNCTION("GOOGLETRANSLATE(C1164,""EN"",""KN"")"),"ತಲೆ")</f>
        <v>ತಲೆ</v>
      </c>
      <c r="N1164" s="26" t="str">
        <f t="array" ref="N1164">_xlfn.XLOOKUP(B1164,'Sets Progress'!I:I,'Sets Progress'!I:I,"NOT YET")</f>
        <v>NOT YET</v>
      </c>
      <c r="O1164" s="26" t="str">
        <f t="array" ref="O1164">_xlfn.XLOOKUP(L:L,'Overall Progress'!L:L,'Overall Progress'!L:L,"NOT YET")</f>
        <v>NOT YET</v>
      </c>
      <c r="P1164" s="26"/>
      <c r="Q1164" s="26"/>
      <c r="R1164" s="26"/>
      <c r="S1164" s="26"/>
      <c r="T1164" s="26"/>
      <c r="U1164" s="26"/>
      <c r="V1164" s="26"/>
      <c r="W1164" s="26"/>
      <c r="X1164" s="26"/>
      <c r="Y1164" s="26"/>
      <c r="Z1164" s="26"/>
    </row>
    <row r="1165" hidden="1" customHeight="1" spans="1:26">
      <c r="A1165" s="27">
        <v>862</v>
      </c>
      <c r="B1165" s="27">
        <v>75</v>
      </c>
      <c r="C1165" s="27" t="s">
        <v>1202</v>
      </c>
      <c r="D1165" s="27" t="s">
        <v>1721</v>
      </c>
      <c r="E1165" s="27" t="s">
        <v>2889</v>
      </c>
      <c r="F1165" s="27" t="str">
        <f t="shared" si="0"/>
        <v>Temporal Latin Origin</v>
      </c>
      <c r="G1165" s="27">
        <f t="shared" si="1"/>
        <v>8</v>
      </c>
      <c r="H1165" s="27" t="s">
        <v>4033</v>
      </c>
      <c r="I1165" s="27"/>
      <c r="J1165" s="27"/>
      <c r="K1165" s="27"/>
      <c r="L1165" s="27" t="str">
        <f t="shared" si="2"/>
        <v>L</v>
      </c>
      <c r="M1165" s="27" t="str">
        <f>IFERROR(__xludf.DUMMYFUNCTION("GOOGLETRANSLATE(C1165,""EN"",""KN"")"),"ಬಿಡುಗಡೆ ಮಾಡು")</f>
        <v>ಬಿಡುಗಡೆ ಮಾಡು</v>
      </c>
      <c r="N1165" s="27" t="str">
        <f t="array" ref="N1165">_xlfn.XLOOKUP(B1165,'Sets Progress'!I:I,'Sets Progress'!I:I,"NOT YET")</f>
        <v>NOT YET</v>
      </c>
      <c r="O1165" s="27" t="str">
        <f t="array" ref="O1165">_xlfn.XLOOKUP(L:L,'Overall Progress'!L:L,'Overall Progress'!L:L,"NOT YET")</f>
        <v>NOT YET</v>
      </c>
      <c r="P1165" s="27"/>
      <c r="Q1165" s="27"/>
      <c r="R1165" s="27"/>
      <c r="S1165" s="27"/>
      <c r="T1165" s="27"/>
      <c r="U1165" s="27"/>
      <c r="V1165" s="27"/>
      <c r="W1165" s="27"/>
      <c r="X1165" s="27"/>
      <c r="Y1165" s="27"/>
      <c r="Z1165" s="27"/>
    </row>
    <row r="1166" hidden="1" customHeight="1" spans="1:26">
      <c r="A1166" s="26">
        <v>1168</v>
      </c>
      <c r="B1166" s="26">
        <v>75</v>
      </c>
      <c r="C1166" s="26" t="s">
        <v>1499</v>
      </c>
      <c r="D1166" s="26" t="s">
        <v>1721</v>
      </c>
      <c r="E1166" s="26" t="s">
        <v>2889</v>
      </c>
      <c r="F1166" s="26" t="str">
        <f t="shared" si="0"/>
        <v>Temporal Latin Origin</v>
      </c>
      <c r="G1166" s="26">
        <f t="shared" si="1"/>
        <v>7</v>
      </c>
      <c r="H1166" s="26" t="s">
        <v>4034</v>
      </c>
      <c r="I1166" s="26"/>
      <c r="J1166" s="26"/>
      <c r="K1166" s="26"/>
      <c r="L1166" s="26" t="str">
        <f t="shared" si="2"/>
        <v>R</v>
      </c>
      <c r="M1166" s="26" t="str">
        <f>IFERROR(__xludf.DUMMYFUNCTION("GOOGLETRANSLATE(C1166,""EN"",""KN"")"),"ಅತಿರೇಕದ")</f>
        <v>ಅತಿರೇಕದ</v>
      </c>
      <c r="N1166" s="26" t="str">
        <f t="array" ref="N1166">_xlfn.XLOOKUP(B1166,'Sets Progress'!I:I,'Sets Progress'!I:I,"NOT YET")</f>
        <v>NOT YET</v>
      </c>
      <c r="O1166" s="26" t="str">
        <f t="array" ref="O1166">_xlfn.XLOOKUP(L:L,'Overall Progress'!L:L,'Overall Progress'!L:L,"NOT YET")</f>
        <v>NOT YET</v>
      </c>
      <c r="P1166" s="26"/>
      <c r="Q1166" s="26"/>
      <c r="R1166" s="26"/>
      <c r="S1166" s="26"/>
      <c r="T1166" s="26"/>
      <c r="U1166" s="26"/>
      <c r="V1166" s="26"/>
      <c r="W1166" s="26"/>
      <c r="X1166" s="26"/>
      <c r="Y1166" s="26"/>
      <c r="Z1166" s="26"/>
    </row>
    <row r="1167" hidden="1" customHeight="1" spans="1:26">
      <c r="A1167" s="27">
        <v>1421</v>
      </c>
      <c r="B1167" s="27">
        <v>75</v>
      </c>
      <c r="C1167" s="27" t="s">
        <v>1752</v>
      </c>
      <c r="D1167" s="27" t="s">
        <v>1721</v>
      </c>
      <c r="E1167" s="27" t="s">
        <v>2889</v>
      </c>
      <c r="F1167" s="27" t="str">
        <f t="shared" si="0"/>
        <v>Temporal Latin Origin</v>
      </c>
      <c r="G1167" s="27">
        <f t="shared" si="1"/>
        <v>12</v>
      </c>
      <c r="H1167" s="27" t="s">
        <v>4035</v>
      </c>
      <c r="I1167" s="27"/>
      <c r="J1167" s="27"/>
      <c r="K1167" s="27"/>
      <c r="L1167" s="27" t="str">
        <f t="shared" si="2"/>
        <v>T</v>
      </c>
      <c r="M1167" s="27" t="str">
        <f>IFERROR(__xludf.DUMMYFUNCTION("GOOGLETRANSLATE(C1167,""EN"",""KN"")"),"ಪಾರದರ್ಶಕತೆ")</f>
        <v>ಪಾರದರ್ಶಕತೆ</v>
      </c>
      <c r="N1167" s="27" t="str">
        <f t="array" ref="N1167">_xlfn.XLOOKUP(B1167,'Sets Progress'!I:I,'Sets Progress'!I:I,"NOT YET")</f>
        <v>NOT YET</v>
      </c>
      <c r="O1167" s="27" t="str">
        <f t="array" ref="O1167">_xlfn.XLOOKUP(L:L,'Overall Progress'!L:L,'Overall Progress'!L:L,"NOT YET")</f>
        <v>NOT YET</v>
      </c>
      <c r="P1167" s="27"/>
      <c r="Q1167" s="27"/>
      <c r="R1167" s="27"/>
      <c r="S1167" s="27"/>
      <c r="T1167" s="27"/>
      <c r="U1167" s="27"/>
      <c r="V1167" s="27"/>
      <c r="W1167" s="27"/>
      <c r="X1167" s="27"/>
      <c r="Y1167" s="27"/>
      <c r="Z1167" s="27"/>
    </row>
    <row r="1168" hidden="1" customHeight="1" spans="1:26">
      <c r="A1168" s="26">
        <v>1527</v>
      </c>
      <c r="B1168" s="26">
        <v>75</v>
      </c>
      <c r="C1168" s="26" t="s">
        <v>1855</v>
      </c>
      <c r="D1168" s="26" t="s">
        <v>1721</v>
      </c>
      <c r="E1168" s="26" t="s">
        <v>2908</v>
      </c>
      <c r="F1168" s="26" t="str">
        <f t="shared" si="0"/>
        <v>Temporal Old English Origin</v>
      </c>
      <c r="G1168" s="26">
        <f t="shared" si="1"/>
        <v>4</v>
      </c>
      <c r="H1168" s="26" t="s">
        <v>4036</v>
      </c>
      <c r="I1168" s="26"/>
      <c r="J1168" s="26"/>
      <c r="K1168" s="26"/>
      <c r="L1168" s="26" t="str">
        <f t="shared" si="2"/>
        <v>W</v>
      </c>
      <c r="M1168" s="26" t="str">
        <f>IFERROR(__xludf.DUMMYFUNCTION("GOOGLETRANSLATE(C1168,""EN"",""KN"")"),"ಜಾಗರೂಕ")</f>
        <v>ಜಾಗರೂಕ</v>
      </c>
      <c r="N1168" s="26" t="str">
        <f t="array" ref="N1168">_xlfn.XLOOKUP(B1168,'Sets Progress'!I:I,'Sets Progress'!I:I,"NOT YET")</f>
        <v>NOT YET</v>
      </c>
      <c r="O1168" s="26" t="str">
        <f t="array" ref="O1168">_xlfn.XLOOKUP(L:L,'Overall Progress'!L:L,'Overall Progress'!L:L,"NOT YET")</f>
        <v>NOT YET</v>
      </c>
      <c r="P1168" s="26"/>
      <c r="Q1168" s="26"/>
      <c r="R1168" s="26"/>
      <c r="S1168" s="26"/>
      <c r="T1168" s="26"/>
      <c r="U1168" s="26"/>
      <c r="V1168" s="26"/>
      <c r="W1168" s="26"/>
      <c r="X1168" s="26"/>
      <c r="Y1168" s="26"/>
      <c r="Z1168" s="26"/>
    </row>
    <row r="1169" hidden="1" customHeight="1" spans="1:26">
      <c r="A1169" s="27">
        <v>1</v>
      </c>
      <c r="B1169" s="27">
        <v>76</v>
      </c>
      <c r="C1169" s="27" t="s">
        <v>8</v>
      </c>
      <c r="D1169" s="27" t="s">
        <v>2946</v>
      </c>
      <c r="E1169" s="27" t="s">
        <v>2911</v>
      </c>
      <c r="F1169" s="27" t="str">
        <f t="shared" si="0"/>
        <v>Emotional French Origin</v>
      </c>
      <c r="G1169" s="27"/>
      <c r="H1169" s="27" t="s">
        <v>4037</v>
      </c>
      <c r="I1169" s="27"/>
      <c r="J1169" s="27"/>
      <c r="K1169" s="27"/>
      <c r="L1169" s="27" t="str">
        <f t="shared" si="2"/>
        <v>A</v>
      </c>
      <c r="M1169" s="27" t="str">
        <f>IFERROR(__xludf.DUMMYFUNCTION("GOOGLETRANSLATE(C1169,""EN"",""KN"")"),"ತ್ಯಜಿಸು")</f>
        <v>ತ್ಯಜಿಸು</v>
      </c>
      <c r="N1169" s="27">
        <f t="array" ref="N1169">_xlfn.XLOOKUP(B1169,'Sets Progress'!I:I,'Sets Progress'!I:I,"NOT YET")</f>
        <v>76</v>
      </c>
      <c r="O1169" s="27" t="str">
        <f t="array" ref="O1169">_xlfn.XLOOKUP(L:L,'Overall Progress'!L:L,'Overall Progress'!L:L,"NOT YET")</f>
        <v>NOT YET</v>
      </c>
      <c r="P1169" s="27"/>
      <c r="Q1169" s="27"/>
      <c r="R1169" s="27"/>
      <c r="S1169" s="27"/>
      <c r="T1169" s="27"/>
      <c r="U1169" s="27"/>
      <c r="V1169" s="27"/>
      <c r="W1169" s="27"/>
      <c r="X1169" s="27"/>
      <c r="Y1169" s="27"/>
      <c r="Z1169" s="27"/>
    </row>
    <row r="1170" hidden="1" customHeight="1" spans="1:26">
      <c r="A1170" s="26">
        <v>71</v>
      </c>
      <c r="B1170" s="26">
        <v>76</v>
      </c>
      <c r="C1170" s="26" t="s">
        <v>424</v>
      </c>
      <c r="D1170" s="26" t="s">
        <v>2946</v>
      </c>
      <c r="E1170" s="26" t="s">
        <v>2911</v>
      </c>
      <c r="F1170" s="26" t="str">
        <f t="shared" si="0"/>
        <v>Emotional French Origin</v>
      </c>
      <c r="G1170" s="26">
        <f t="shared" ref="G1170:G1545" si="3">LEN(C1170)</f>
        <v>5</v>
      </c>
      <c r="H1170" s="26" t="s">
        <v>4038</v>
      </c>
      <c r="I1170" s="26"/>
      <c r="J1170" s="26"/>
      <c r="K1170" s="26"/>
      <c r="L1170" s="26" t="str">
        <f t="shared" si="2"/>
        <v>A</v>
      </c>
      <c r="M1170" s="26" t="str">
        <f>IFERROR(__xludf.DUMMYFUNCTION("GOOGLETRANSLATE(C1170,""EN"",""KN"")"),"ವಿನೋದಪಡಿಸು")</f>
        <v>ವಿನೋದಪಡಿಸು</v>
      </c>
      <c r="N1170" s="26">
        <f t="array" ref="N1170">_xlfn.XLOOKUP(B1170,'Sets Progress'!I:I,'Sets Progress'!I:I,"NOT YET")</f>
        <v>76</v>
      </c>
      <c r="O1170" s="26" t="str">
        <f t="array" ref="O1170">_xlfn.XLOOKUP(L:L,'Overall Progress'!L:L,'Overall Progress'!L:L,"NOT YET")</f>
        <v>NOT YET</v>
      </c>
      <c r="P1170" s="26"/>
      <c r="Q1170" s="26"/>
      <c r="R1170" s="26"/>
      <c r="S1170" s="26"/>
      <c r="T1170" s="26"/>
      <c r="U1170" s="26"/>
      <c r="V1170" s="26"/>
      <c r="W1170" s="26"/>
      <c r="X1170" s="26"/>
      <c r="Y1170" s="26"/>
      <c r="Z1170" s="26"/>
    </row>
    <row r="1171" hidden="1" customHeight="1" spans="1:26">
      <c r="A1171" s="27">
        <v>258</v>
      </c>
      <c r="B1171" s="27">
        <v>76</v>
      </c>
      <c r="C1171" s="27" t="s">
        <v>611</v>
      </c>
      <c r="D1171" s="27" t="s">
        <v>2892</v>
      </c>
      <c r="E1171" s="27" t="s">
        <v>2889</v>
      </c>
      <c r="F1171" s="27" t="str">
        <f t="shared" si="0"/>
        <v>Spatial Latin Origin</v>
      </c>
      <c r="G1171" s="27">
        <f t="shared" si="3"/>
        <v>12</v>
      </c>
      <c r="H1171" s="27" t="s">
        <v>4039</v>
      </c>
      <c r="I1171" s="27"/>
      <c r="J1171" s="27"/>
      <c r="K1171" s="27"/>
      <c r="L1171" s="27" t="str">
        <f t="shared" si="2"/>
        <v>C</v>
      </c>
      <c r="M1171" s="27" t="str">
        <f>IFERROR(__xludf.DUMMYFUNCTION("GOOGLETRANSLATE(C1171,""EN"",""KN"")"),"ಅನುಗುಣವಾಗಿ")</f>
        <v>ಅನುಗುಣವಾಗಿ</v>
      </c>
      <c r="N1171" s="27">
        <f t="array" ref="N1171">_xlfn.XLOOKUP(B1171,'Sets Progress'!I:I,'Sets Progress'!I:I,"NOT YET")</f>
        <v>76</v>
      </c>
      <c r="O1171" s="27" t="str">
        <f t="array" ref="O1171">_xlfn.XLOOKUP(L:L,'Overall Progress'!L:L,'Overall Progress'!L:L,"NOT YET")</f>
        <v>NOT YET</v>
      </c>
      <c r="P1171" s="27"/>
      <c r="Q1171" s="27"/>
      <c r="R1171" s="27"/>
      <c r="S1171" s="27"/>
      <c r="T1171" s="27"/>
      <c r="U1171" s="27"/>
      <c r="V1171" s="27"/>
      <c r="W1171" s="27"/>
      <c r="X1171" s="27"/>
      <c r="Y1171" s="27"/>
      <c r="Z1171" s="27"/>
    </row>
    <row r="1172" hidden="1" customHeight="1" spans="1:26">
      <c r="A1172" s="26">
        <v>439</v>
      </c>
      <c r="B1172" s="26">
        <v>76</v>
      </c>
      <c r="C1172" s="26" t="s">
        <v>788</v>
      </c>
      <c r="D1172" s="26" t="s">
        <v>2892</v>
      </c>
      <c r="E1172" s="26" t="s">
        <v>2889</v>
      </c>
      <c r="F1172" s="26" t="str">
        <f t="shared" si="0"/>
        <v>Spatial Latin Origin</v>
      </c>
      <c r="G1172" s="26">
        <f t="shared" si="3"/>
        <v>10</v>
      </c>
      <c r="H1172" s="26" t="s">
        <v>4040</v>
      </c>
      <c r="I1172" s="26"/>
      <c r="J1172" s="26"/>
      <c r="K1172" s="26"/>
      <c r="L1172" s="26" t="str">
        <f t="shared" si="2"/>
        <v>D</v>
      </c>
      <c r="M1172" s="26" t="str">
        <f>IFERROR(__xludf.DUMMYFUNCTION("GOOGLETRANSLATE(C1172,""EN"",""KN"")"),"ಭಿನ್ನವಾದ")</f>
        <v>ಭಿನ್ನವಾದ</v>
      </c>
      <c r="N1172" s="26">
        <f t="array" ref="N1172">_xlfn.XLOOKUP(B1172,'Sets Progress'!I:I,'Sets Progress'!I:I,"NOT YET")</f>
        <v>76</v>
      </c>
      <c r="O1172" s="26" t="str">
        <f t="array" ref="O1172">_xlfn.XLOOKUP(L:L,'Overall Progress'!L:L,'Overall Progress'!L:L,"NOT YET")</f>
        <v>NOT YET</v>
      </c>
      <c r="P1172" s="26"/>
      <c r="Q1172" s="26"/>
      <c r="R1172" s="26"/>
      <c r="S1172" s="26"/>
      <c r="T1172" s="26"/>
      <c r="U1172" s="26"/>
      <c r="V1172" s="26"/>
      <c r="W1172" s="26"/>
      <c r="X1172" s="26"/>
      <c r="Y1172" s="26"/>
      <c r="Z1172" s="26"/>
    </row>
    <row r="1173" hidden="1" customHeight="1" spans="1:26">
      <c r="A1173" s="27">
        <v>493</v>
      </c>
      <c r="B1173" s="27">
        <v>76</v>
      </c>
      <c r="C1173" s="27" t="s">
        <v>842</v>
      </c>
      <c r="D1173" s="27" t="s">
        <v>2946</v>
      </c>
      <c r="E1173" s="27" t="s">
        <v>2893</v>
      </c>
      <c r="F1173" s="27" t="str">
        <f t="shared" si="0"/>
        <v>Emotional Greek Origin</v>
      </c>
      <c r="G1173" s="27">
        <f t="shared" si="3"/>
        <v>7</v>
      </c>
      <c r="H1173" s="27" t="s">
        <v>4041</v>
      </c>
      <c r="I1173" s="27"/>
      <c r="J1173" s="27"/>
      <c r="K1173" s="27"/>
      <c r="L1173" s="27" t="str">
        <f t="shared" si="2"/>
        <v>E</v>
      </c>
      <c r="M1173" s="27" t="str">
        <f>IFERROR(__xludf.DUMMYFUNCTION("GOOGLETRANSLATE(C1173,""EN"",""KN"")"),"ಸಹಾನುಭೂತಿ")</f>
        <v>ಸಹಾನುಭೂತಿ</v>
      </c>
      <c r="N1173" s="27">
        <f t="array" ref="N1173">_xlfn.XLOOKUP(B1173,'Sets Progress'!I:I,'Sets Progress'!I:I,"NOT YET")</f>
        <v>76</v>
      </c>
      <c r="O1173" s="27" t="str">
        <f t="array" ref="O1173">_xlfn.XLOOKUP(L:L,'Overall Progress'!L:L,'Overall Progress'!L:L,"NOT YET")</f>
        <v>NOT YET</v>
      </c>
      <c r="P1173" s="27"/>
      <c r="Q1173" s="27"/>
      <c r="R1173" s="27"/>
      <c r="S1173" s="27"/>
      <c r="T1173" s="27"/>
      <c r="U1173" s="27"/>
      <c r="V1173" s="27"/>
      <c r="W1173" s="27"/>
      <c r="X1173" s="27"/>
      <c r="Y1173" s="27"/>
      <c r="Z1173" s="27"/>
    </row>
    <row r="1174" hidden="1" customHeight="1" spans="1:26">
      <c r="A1174" s="26">
        <v>749</v>
      </c>
      <c r="B1174" s="26">
        <v>76</v>
      </c>
      <c r="C1174" s="26" t="s">
        <v>1090</v>
      </c>
      <c r="D1174" s="26" t="s">
        <v>1721</v>
      </c>
      <c r="E1174" s="26" t="s">
        <v>2889</v>
      </c>
      <c r="F1174" s="26" t="str">
        <f t="shared" si="0"/>
        <v>Temporal Latin Origin</v>
      </c>
      <c r="G1174" s="26">
        <f t="shared" si="3"/>
        <v>11</v>
      </c>
      <c r="H1174" s="26" t="s">
        <v>4042</v>
      </c>
      <c r="I1174" s="26"/>
      <c r="J1174" s="26"/>
      <c r="K1174" s="26"/>
      <c r="L1174" s="26" t="str">
        <f t="shared" si="2"/>
        <v>I</v>
      </c>
      <c r="M1174" s="26" t="str">
        <f>IFERROR(__xludf.DUMMYFUNCTION("GOOGLETRANSLATE(C1174,""EN"",""KN"")"),"ಅಸಂಗತ")</f>
        <v>ಅಸಂಗತ</v>
      </c>
      <c r="N1174" s="26">
        <f t="array" ref="N1174">_xlfn.XLOOKUP(B1174,'Sets Progress'!I:I,'Sets Progress'!I:I,"NOT YET")</f>
        <v>76</v>
      </c>
      <c r="O1174" s="26" t="str">
        <f t="array" ref="O1174">_xlfn.XLOOKUP(L:L,'Overall Progress'!L:L,'Overall Progress'!L:L,"NOT YET")</f>
        <v>NOT YET</v>
      </c>
      <c r="P1174" s="26"/>
      <c r="Q1174" s="26"/>
      <c r="R1174" s="26"/>
      <c r="S1174" s="26"/>
      <c r="T1174" s="26"/>
      <c r="U1174" s="26"/>
      <c r="V1174" s="26"/>
      <c r="W1174" s="26"/>
      <c r="X1174" s="26"/>
      <c r="Y1174" s="26"/>
      <c r="Z1174" s="26"/>
    </row>
    <row r="1175" hidden="1" customHeight="1" spans="1:26">
      <c r="A1175" s="27">
        <v>949</v>
      </c>
      <c r="B1175" s="27">
        <v>76</v>
      </c>
      <c r="C1175" s="27" t="s">
        <v>1285</v>
      </c>
      <c r="D1175" s="27" t="s">
        <v>1721</v>
      </c>
      <c r="E1175" s="27" t="s">
        <v>2908</v>
      </c>
      <c r="F1175" s="27" t="str">
        <f t="shared" si="0"/>
        <v>Temporal Old English Origin</v>
      </c>
      <c r="G1175" s="27">
        <f t="shared" si="3"/>
        <v>7</v>
      </c>
      <c r="H1175" s="27" t="s">
        <v>4043</v>
      </c>
      <c r="I1175" s="27"/>
      <c r="J1175" s="27"/>
      <c r="K1175" s="27"/>
      <c r="L1175" s="27" t="str">
        <f t="shared" si="2"/>
        <v>N</v>
      </c>
      <c r="M1175" s="27" t="str">
        <f>IFERROR(__xludf.DUMMYFUNCTION("GOOGLETRANSLATE(C1175,""EN"",""KN"")"),"ನೆಟಲ್ಸ್")</f>
        <v>ನೆಟಲ್ಸ್</v>
      </c>
      <c r="N1175" s="27">
        <f t="array" ref="N1175">_xlfn.XLOOKUP(B1175,'Sets Progress'!I:I,'Sets Progress'!I:I,"NOT YET")</f>
        <v>76</v>
      </c>
      <c r="O1175" s="27" t="str">
        <f t="array" ref="O1175">_xlfn.XLOOKUP(L:L,'Overall Progress'!L:L,'Overall Progress'!L:L,"NOT YET")</f>
        <v>NOT YET</v>
      </c>
      <c r="P1175" s="27"/>
      <c r="Q1175" s="27"/>
      <c r="R1175" s="27"/>
      <c r="S1175" s="27"/>
      <c r="T1175" s="27"/>
      <c r="U1175" s="27"/>
      <c r="V1175" s="27"/>
      <c r="W1175" s="27"/>
      <c r="X1175" s="27"/>
      <c r="Y1175" s="27"/>
      <c r="Z1175" s="27"/>
    </row>
    <row r="1176" hidden="1" customHeight="1" spans="1:26">
      <c r="A1176" s="26">
        <v>1087</v>
      </c>
      <c r="B1176" s="26">
        <v>76</v>
      </c>
      <c r="C1176" s="26" t="s">
        <v>1422</v>
      </c>
      <c r="D1176" s="26" t="s">
        <v>1721</v>
      </c>
      <c r="E1176" s="26" t="s">
        <v>2889</v>
      </c>
      <c r="F1176" s="26" t="str">
        <f t="shared" si="0"/>
        <v>Temporal Latin Origin</v>
      </c>
      <c r="G1176" s="26">
        <f t="shared" si="3"/>
        <v>7</v>
      </c>
      <c r="H1176" s="26" t="s">
        <v>4044</v>
      </c>
      <c r="I1176" s="26"/>
      <c r="J1176" s="26"/>
      <c r="K1176" s="26"/>
      <c r="L1176" s="26" t="str">
        <f t="shared" si="2"/>
        <v>P</v>
      </c>
      <c r="M1176" s="26" t="str">
        <f>IFERROR(__xludf.DUMMYFUNCTION("GOOGLETRANSLATE(C1176,""EN"",""KN"")"),"ಪೋರ್ಟೆಂಡ್")</f>
        <v>ಪೋರ್ಟೆಂಡ್</v>
      </c>
      <c r="N1176" s="26">
        <f t="array" ref="N1176">_xlfn.XLOOKUP(B1176,'Sets Progress'!I:I,'Sets Progress'!I:I,"NOT YET")</f>
        <v>76</v>
      </c>
      <c r="O1176" s="26" t="str">
        <f t="array" ref="O1176">_xlfn.XLOOKUP(L:L,'Overall Progress'!L:L,'Overall Progress'!L:L,"NOT YET")</f>
        <v>NOT YET</v>
      </c>
      <c r="P1176" s="26"/>
      <c r="Q1176" s="26"/>
      <c r="R1176" s="26"/>
      <c r="S1176" s="26"/>
      <c r="T1176" s="26"/>
      <c r="U1176" s="26"/>
      <c r="V1176" s="26"/>
      <c r="W1176" s="26"/>
      <c r="X1176" s="26"/>
      <c r="Y1176" s="26"/>
      <c r="Z1176" s="26"/>
    </row>
    <row r="1177" hidden="1" customHeight="1" spans="1:26">
      <c r="A1177" s="27">
        <v>1242</v>
      </c>
      <c r="B1177" s="27">
        <v>76</v>
      </c>
      <c r="C1177" s="27" t="s">
        <v>1573</v>
      </c>
      <c r="D1177" s="27" t="s">
        <v>2717</v>
      </c>
      <c r="E1177" s="27" t="s">
        <v>2889</v>
      </c>
      <c r="F1177" s="27" t="str">
        <f t="shared" si="0"/>
        <v>Positive Traits Latin Origin</v>
      </c>
      <c r="G1177" s="27">
        <f t="shared" si="3"/>
        <v>10</v>
      </c>
      <c r="H1177" s="27" t="s">
        <v>4045</v>
      </c>
      <c r="I1177" s="27"/>
      <c r="J1177" s="27"/>
      <c r="K1177" s="27"/>
      <c r="L1177" s="27" t="str">
        <f t="shared" si="2"/>
        <v>S</v>
      </c>
      <c r="M1177" s="27" t="str">
        <f>IFERROR(__xludf.DUMMYFUNCTION("GOOGLETRANSLATE(C1177,""EN"",""KN"")"),"ಪವಿತ್ರವಾದ")</f>
        <v>ಪವಿತ್ರವಾದ</v>
      </c>
      <c r="N1177" s="27">
        <f t="array" ref="N1177">_xlfn.XLOOKUP(B1177,'Sets Progress'!I:I,'Sets Progress'!I:I,"NOT YET")</f>
        <v>76</v>
      </c>
      <c r="O1177" s="27" t="str">
        <f t="array" ref="O1177">_xlfn.XLOOKUP(L:L,'Overall Progress'!L:L,'Overall Progress'!L:L,"NOT YET")</f>
        <v>NOT YET</v>
      </c>
      <c r="P1177" s="27"/>
      <c r="Q1177" s="27"/>
      <c r="R1177" s="27"/>
      <c r="S1177" s="27"/>
      <c r="T1177" s="27"/>
      <c r="U1177" s="27"/>
      <c r="V1177" s="27"/>
      <c r="W1177" s="27"/>
      <c r="X1177" s="27"/>
      <c r="Y1177" s="27"/>
      <c r="Z1177" s="27"/>
    </row>
    <row r="1178" hidden="1" customHeight="1" spans="1:26">
      <c r="A1178" s="26">
        <v>1396</v>
      </c>
      <c r="B1178" s="26">
        <v>76</v>
      </c>
      <c r="C1178" s="26" t="s">
        <v>1727</v>
      </c>
      <c r="D1178" s="26" t="s">
        <v>2716</v>
      </c>
      <c r="E1178" s="26" t="s">
        <v>2889</v>
      </c>
      <c r="F1178" s="26" t="str">
        <f t="shared" si="0"/>
        <v>Negative Traits Latin Origin</v>
      </c>
      <c r="G1178" s="26">
        <f t="shared" si="3"/>
        <v>7</v>
      </c>
      <c r="H1178" s="26" t="s">
        <v>4046</v>
      </c>
      <c r="I1178" s="26"/>
      <c r="J1178" s="26"/>
      <c r="K1178" s="26"/>
      <c r="L1178" s="26" t="str">
        <f t="shared" si="2"/>
        <v>T</v>
      </c>
      <c r="M1178" s="26" t="str">
        <f>IFERROR(__xludf.DUMMYFUNCTION("GOOGLETRANSLATE(C1178,""EN"",""KN"")"),"ತೆಳ್ಳಗಿನ")</f>
        <v>ತೆಳ್ಳಗಿನ</v>
      </c>
      <c r="N1178" s="26">
        <f t="array" ref="N1178">_xlfn.XLOOKUP(B1178,'Sets Progress'!I:I,'Sets Progress'!I:I,"NOT YET")</f>
        <v>76</v>
      </c>
      <c r="O1178" s="26" t="str">
        <f t="array" ref="O1178">_xlfn.XLOOKUP(L:L,'Overall Progress'!L:L,'Overall Progress'!L:L,"NOT YET")</f>
        <v>NOT YET</v>
      </c>
      <c r="P1178" s="26"/>
      <c r="Q1178" s="26"/>
      <c r="R1178" s="26"/>
      <c r="S1178" s="26"/>
      <c r="T1178" s="26"/>
      <c r="U1178" s="26"/>
      <c r="V1178" s="26"/>
      <c r="W1178" s="26"/>
      <c r="X1178" s="26"/>
      <c r="Y1178" s="26"/>
      <c r="Z1178" s="26"/>
    </row>
    <row r="1179" hidden="1" customHeight="1" spans="1:26">
      <c r="A1179" s="27">
        <v>48</v>
      </c>
      <c r="B1179" s="27">
        <v>77</v>
      </c>
      <c r="C1179" s="27" t="s">
        <v>402</v>
      </c>
      <c r="D1179" s="27" t="s">
        <v>2946</v>
      </c>
      <c r="E1179" s="27" t="s">
        <v>2911</v>
      </c>
      <c r="F1179" s="27" t="str">
        <f t="shared" si="0"/>
        <v>Emotional French Origin</v>
      </c>
      <c r="G1179" s="27">
        <f t="shared" si="3"/>
        <v>7</v>
      </c>
      <c r="H1179" s="27" t="s">
        <v>4047</v>
      </c>
      <c r="I1179" s="27"/>
      <c r="J1179" s="27"/>
      <c r="K1179" s="27"/>
      <c r="L1179" s="27" t="str">
        <f t="shared" si="2"/>
        <v>A</v>
      </c>
      <c r="M1179" s="27" t="str">
        <f>IFERROR(__xludf.DUMMYFUNCTION("GOOGLETRANSLATE(C1179,""EN"",""KN"")"),"ಅಫ್ರೆಂಟ್")</f>
        <v>ಅಫ್ರೆಂಟ್</v>
      </c>
      <c r="N1179" s="27" t="str">
        <f t="array" ref="N1179">_xlfn.XLOOKUP(B1179,'Sets Progress'!I:I,'Sets Progress'!I:I,"NOT YET")</f>
        <v>NOT YET</v>
      </c>
      <c r="O1179" s="27" t="str">
        <f t="array" ref="O1179">_xlfn.XLOOKUP(L:L,'Overall Progress'!L:L,'Overall Progress'!L:L,"NOT YET")</f>
        <v>NOT YET</v>
      </c>
      <c r="P1179" s="27"/>
      <c r="Q1179" s="27"/>
      <c r="R1179" s="27"/>
      <c r="S1179" s="27"/>
      <c r="T1179" s="27"/>
      <c r="U1179" s="27"/>
      <c r="V1179" s="27"/>
      <c r="W1179" s="27"/>
      <c r="X1179" s="27"/>
      <c r="Y1179" s="27"/>
      <c r="Z1179" s="27"/>
    </row>
    <row r="1180" hidden="1" customHeight="1" spans="1:26">
      <c r="A1180" s="26">
        <v>178</v>
      </c>
      <c r="B1180" s="26">
        <v>77</v>
      </c>
      <c r="C1180" s="26" t="s">
        <v>528</v>
      </c>
      <c r="D1180" s="26" t="s">
        <v>2716</v>
      </c>
      <c r="E1180" s="26" t="s">
        <v>2899</v>
      </c>
      <c r="F1180" s="26" t="str">
        <f t="shared" si="0"/>
        <v>Negative Traits Middle English Origin</v>
      </c>
      <c r="G1180" s="26">
        <f t="shared" si="3"/>
        <v>7</v>
      </c>
      <c r="H1180" s="26" t="s">
        <v>4048</v>
      </c>
      <c r="I1180" s="26"/>
      <c r="J1180" s="26"/>
      <c r="K1180" s="26"/>
      <c r="L1180" s="26" t="str">
        <f t="shared" si="2"/>
        <v>B</v>
      </c>
      <c r="M1180" s="26" t="str">
        <f>IFERROR(__xludf.DUMMYFUNCTION("GOOGLETRANSLATE(C1180,""EN"",""KN"")"),"ಬೂರಿಶ್")</f>
        <v>ಬೂರಿಶ್</v>
      </c>
      <c r="N1180" s="26" t="str">
        <f t="array" ref="N1180">_xlfn.XLOOKUP(B1180,'Sets Progress'!I:I,'Sets Progress'!I:I,"NOT YET")</f>
        <v>NOT YET</v>
      </c>
      <c r="O1180" s="26" t="str">
        <f t="array" ref="O1180">_xlfn.XLOOKUP(L:L,'Overall Progress'!L:L,'Overall Progress'!L:L,"NOT YET")</f>
        <v>NOT YET</v>
      </c>
      <c r="P1180" s="26"/>
      <c r="Q1180" s="26"/>
      <c r="R1180" s="26"/>
      <c r="S1180" s="26"/>
      <c r="T1180" s="26"/>
      <c r="U1180" s="26"/>
      <c r="V1180" s="26"/>
      <c r="W1180" s="26"/>
      <c r="X1180" s="26"/>
      <c r="Y1180" s="26"/>
      <c r="Z1180" s="26"/>
    </row>
    <row r="1181" hidden="1" customHeight="1" spans="1:26">
      <c r="A1181" s="27">
        <v>199</v>
      </c>
      <c r="B1181" s="27">
        <v>77</v>
      </c>
      <c r="C1181" s="27" t="s">
        <v>549</v>
      </c>
      <c r="D1181" s="27" t="s">
        <v>2716</v>
      </c>
      <c r="E1181" s="27" t="s">
        <v>2899</v>
      </c>
      <c r="F1181" s="27" t="str">
        <f t="shared" si="0"/>
        <v>Negative Traits Middle English Origin</v>
      </c>
      <c r="G1181" s="27">
        <f t="shared" si="3"/>
        <v>6</v>
      </c>
      <c r="H1181" s="27" t="s">
        <v>4049</v>
      </c>
      <c r="I1181" s="27"/>
      <c r="J1181" s="27"/>
      <c r="K1181" s="27"/>
      <c r="L1181" s="27" t="str">
        <f t="shared" si="2"/>
        <v>C</v>
      </c>
      <c r="M1181" s="27" t="str">
        <f>IFERROR(__xludf.DUMMYFUNCTION("GOOGLETRANSLATE(C1181,""EN"",""KN"")"),"ಕಾಲೋ")</f>
        <v>ಕಾಲೋ</v>
      </c>
      <c r="N1181" s="27" t="str">
        <f t="array" ref="N1181">_xlfn.XLOOKUP(B1181,'Sets Progress'!I:I,'Sets Progress'!I:I,"NOT YET")</f>
        <v>NOT YET</v>
      </c>
      <c r="O1181" s="27" t="str">
        <f t="array" ref="O1181">_xlfn.XLOOKUP(L:L,'Overall Progress'!L:L,'Overall Progress'!L:L,"NOT YET")</f>
        <v>NOT YET</v>
      </c>
      <c r="P1181" s="27"/>
      <c r="Q1181" s="27"/>
      <c r="R1181" s="27"/>
      <c r="S1181" s="27"/>
      <c r="T1181" s="27"/>
      <c r="U1181" s="27"/>
      <c r="V1181" s="27"/>
      <c r="W1181" s="27"/>
      <c r="X1181" s="27"/>
      <c r="Y1181" s="27"/>
      <c r="Z1181" s="27"/>
    </row>
    <row r="1182" hidden="1" customHeight="1" spans="1:26">
      <c r="A1182" s="26">
        <v>329</v>
      </c>
      <c r="B1182" s="26">
        <v>77</v>
      </c>
      <c r="C1182" s="26" t="s">
        <v>679</v>
      </c>
      <c r="D1182" s="26" t="s">
        <v>1638</v>
      </c>
      <c r="E1182" s="26" t="s">
        <v>3019</v>
      </c>
      <c r="F1182" s="26" t="str">
        <f t="shared" si="0"/>
        <v>Sound Italian Origin</v>
      </c>
      <c r="G1182" s="26">
        <f t="shared" si="3"/>
        <v>9</v>
      </c>
      <c r="H1182" s="26" t="s">
        <v>4050</v>
      </c>
      <c r="I1182" s="26"/>
      <c r="J1182" s="26"/>
      <c r="K1182" s="26"/>
      <c r="L1182" s="26" t="str">
        <f t="shared" si="2"/>
        <v>C</v>
      </c>
      <c r="M1182" s="26" t="str">
        <f>IFERROR(__xludf.DUMMYFUNCTION("GOOGLETRANSLATE(C1182,""EN"",""KN"")"),"ಕ್ರೆಸೆಂಡೋ")</f>
        <v>ಕ್ರೆಸೆಂಡೋ</v>
      </c>
      <c r="N1182" s="26" t="str">
        <f t="array" ref="N1182">_xlfn.XLOOKUP(B1182,'Sets Progress'!I:I,'Sets Progress'!I:I,"NOT YET")</f>
        <v>NOT YET</v>
      </c>
      <c r="O1182" s="26" t="str">
        <f t="array" ref="O1182">_xlfn.XLOOKUP(L:L,'Overall Progress'!L:L,'Overall Progress'!L:L,"NOT YET")</f>
        <v>NOT YET</v>
      </c>
      <c r="P1182" s="26"/>
      <c r="Q1182" s="26"/>
      <c r="R1182" s="26"/>
      <c r="S1182" s="26"/>
      <c r="T1182" s="26"/>
      <c r="U1182" s="26"/>
      <c r="V1182" s="26"/>
      <c r="W1182" s="26"/>
      <c r="X1182" s="26"/>
      <c r="Y1182" s="26"/>
      <c r="Z1182" s="26"/>
    </row>
    <row r="1183" customHeight="1" spans="1:26">
      <c r="A1183" s="27">
        <v>420</v>
      </c>
      <c r="B1183" s="27">
        <v>77</v>
      </c>
      <c r="C1183" s="27" t="s">
        <v>769</v>
      </c>
      <c r="D1183" s="27" t="s">
        <v>1721</v>
      </c>
      <c r="E1183" s="27" t="s">
        <v>2908</v>
      </c>
      <c r="F1183" s="27" t="str">
        <f t="shared" si="0"/>
        <v>Temporal Old English Origin</v>
      </c>
      <c r="G1183" s="27">
        <f t="shared" si="3"/>
        <v>11</v>
      </c>
      <c r="H1183" s="27"/>
      <c r="I1183" s="27"/>
      <c r="J1183" s="27"/>
      <c r="K1183" s="27"/>
      <c r="L1183" s="27" t="str">
        <f t="shared" si="2"/>
        <v>D</v>
      </c>
      <c r="M1183" s="27" t="str">
        <f>IFERROR(__xludf.DUMMYFUNCTION("GOOGLETRANSLATE(C1183,""EN"",""KN"")"),"ಬಿಡಿಬಿಡಿ")</f>
        <v>ಬಿಡಿಬಿಡಿ</v>
      </c>
      <c r="N1183" s="27" t="str">
        <f t="array" ref="N1183">_xlfn.XLOOKUP(B1183,'Sets Progress'!I:I,'Sets Progress'!I:I,"NOT YET")</f>
        <v>NOT YET</v>
      </c>
      <c r="O1183" s="27" t="str">
        <f t="array" ref="O1183">_xlfn.XLOOKUP(L:L,'Overall Progress'!L:L,'Overall Progress'!L:L,"NOT YET")</f>
        <v>NOT YET</v>
      </c>
      <c r="P1183" s="27"/>
      <c r="Q1183" s="27"/>
      <c r="R1183" s="27"/>
      <c r="S1183" s="27"/>
      <c r="T1183" s="27"/>
      <c r="U1183" s="27"/>
      <c r="V1183" s="27"/>
      <c r="W1183" s="27"/>
      <c r="X1183" s="27"/>
      <c r="Y1183" s="27"/>
      <c r="Z1183" s="27"/>
    </row>
    <row r="1184" hidden="1" customHeight="1" spans="1:26">
      <c r="A1184" s="26">
        <v>590</v>
      </c>
      <c r="B1184" s="26">
        <v>77</v>
      </c>
      <c r="C1184" s="26" t="s">
        <v>934</v>
      </c>
      <c r="D1184" s="26" t="s">
        <v>2717</v>
      </c>
      <c r="E1184" s="26" t="s">
        <v>2889</v>
      </c>
      <c r="F1184" s="26" t="str">
        <f t="shared" si="0"/>
        <v>Positive Traits Latin Origin</v>
      </c>
      <c r="G1184" s="26">
        <f t="shared" si="3"/>
        <v>6</v>
      </c>
      <c r="H1184" s="26" t="s">
        <v>4051</v>
      </c>
      <c r="I1184" s="26"/>
      <c r="J1184" s="26"/>
      <c r="K1184" s="26"/>
      <c r="L1184" s="26" t="str">
        <f t="shared" si="2"/>
        <v>F</v>
      </c>
      <c r="M1184" s="26" t="str">
        <f>IFERROR(__xludf.DUMMYFUNCTION("GOOGLETRANSLATE(C1184,""EN"",""KN"")"),"ಫೆಕಂಡ್")</f>
        <v>ಫೆಕಂಡ್</v>
      </c>
      <c r="N1184" s="26" t="str">
        <f t="array" ref="N1184">_xlfn.XLOOKUP(B1184,'Sets Progress'!I:I,'Sets Progress'!I:I,"NOT YET")</f>
        <v>NOT YET</v>
      </c>
      <c r="O1184" s="26" t="str">
        <f t="array" ref="O1184">_xlfn.XLOOKUP(L:L,'Overall Progress'!L:L,'Overall Progress'!L:L,"NOT YET")</f>
        <v>NOT YET</v>
      </c>
      <c r="P1184" s="26"/>
      <c r="Q1184" s="26"/>
      <c r="R1184" s="26"/>
      <c r="S1184" s="26"/>
      <c r="T1184" s="26"/>
      <c r="U1184" s="26"/>
      <c r="V1184" s="26"/>
      <c r="W1184" s="26"/>
      <c r="X1184" s="26"/>
      <c r="Y1184" s="26"/>
      <c r="Z1184" s="26"/>
    </row>
    <row r="1185" hidden="1" customHeight="1" spans="1:26">
      <c r="A1185" s="27">
        <v>668</v>
      </c>
      <c r="B1185" s="27">
        <v>77</v>
      </c>
      <c r="C1185" s="27" t="s">
        <v>1011</v>
      </c>
      <c r="D1185" s="27" t="s">
        <v>2946</v>
      </c>
      <c r="E1185" s="27" t="s">
        <v>2921</v>
      </c>
      <c r="F1185" s="27" t="str">
        <f t="shared" si="0"/>
        <v>Emotional Unknown Origin</v>
      </c>
      <c r="G1185" s="27">
        <f t="shared" si="3"/>
        <v>7</v>
      </c>
      <c r="H1185" s="27" t="s">
        <v>4052</v>
      </c>
      <c r="I1185" s="27"/>
      <c r="J1185" s="27"/>
      <c r="K1185" s="27"/>
      <c r="L1185" s="27" t="str">
        <f t="shared" si="2"/>
        <v>G</v>
      </c>
      <c r="M1185" s="27" t="str">
        <f>IFERROR(__xludf.DUMMYFUNCTION("GOOGLETRANSLATE(C1185,""EN"",""KN"")"),"ಜಿಗುಪ್ಸೆಯ")</f>
        <v>ಜಿಗುಪ್ಸೆಯ</v>
      </c>
      <c r="N1185" s="27" t="str">
        <f t="array" ref="N1185">_xlfn.XLOOKUP(B1185,'Sets Progress'!I:I,'Sets Progress'!I:I,"NOT YET")</f>
        <v>NOT YET</v>
      </c>
      <c r="O1185" s="27" t="str">
        <f t="array" ref="O1185">_xlfn.XLOOKUP(L:L,'Overall Progress'!L:L,'Overall Progress'!L:L,"NOT YET")</f>
        <v>NOT YET</v>
      </c>
      <c r="P1185" s="27"/>
      <c r="Q1185" s="27"/>
      <c r="R1185" s="27"/>
      <c r="S1185" s="27"/>
      <c r="T1185" s="27"/>
      <c r="U1185" s="27"/>
      <c r="V1185" s="27"/>
      <c r="W1185" s="27"/>
      <c r="X1185" s="27"/>
      <c r="Y1185" s="27"/>
      <c r="Z1185" s="27"/>
    </row>
    <row r="1186" hidden="1" customHeight="1" spans="1:26">
      <c r="A1186" s="26">
        <v>822</v>
      </c>
      <c r="B1186" s="26">
        <v>77</v>
      </c>
      <c r="C1186" s="26" t="s">
        <v>1162</v>
      </c>
      <c r="D1186" s="26" t="s">
        <v>2717</v>
      </c>
      <c r="E1186" s="26" t="s">
        <v>2889</v>
      </c>
      <c r="F1186" s="26" t="str">
        <f t="shared" si="0"/>
        <v>Positive Traits Latin Origin</v>
      </c>
      <c r="G1186" s="26">
        <f t="shared" si="3"/>
        <v>10</v>
      </c>
      <c r="H1186" s="26" t="s">
        <v>4053</v>
      </c>
      <c r="I1186" s="26"/>
      <c r="J1186" s="26"/>
      <c r="K1186" s="26"/>
      <c r="L1186" s="26" t="str">
        <f t="shared" si="2"/>
        <v>I</v>
      </c>
      <c r="M1186" s="26" t="str">
        <f>IFERROR(__xludf.DUMMYFUNCTION("GOOGLETRANSLATE(C1186,""EN"",""KN"")"),"ಚೈತನ್ಯ ತುಂಬು")</f>
        <v>ಚೈತನ್ಯ ತುಂಬು</v>
      </c>
      <c r="N1186" s="26" t="str">
        <f t="array" ref="N1186">_xlfn.XLOOKUP(B1186,'Sets Progress'!I:I,'Sets Progress'!I:I,"NOT YET")</f>
        <v>NOT YET</v>
      </c>
      <c r="O1186" s="26" t="str">
        <f t="array" ref="O1186">_xlfn.XLOOKUP(L:L,'Overall Progress'!L:L,'Overall Progress'!L:L,"NOT YET")</f>
        <v>NOT YET</v>
      </c>
      <c r="P1186" s="26"/>
      <c r="Q1186" s="26"/>
      <c r="R1186" s="26"/>
      <c r="S1186" s="26"/>
      <c r="T1186" s="26"/>
      <c r="U1186" s="26"/>
      <c r="V1186" s="26"/>
      <c r="W1186" s="26"/>
      <c r="X1186" s="26"/>
      <c r="Y1186" s="26"/>
      <c r="Z1186" s="26"/>
    </row>
    <row r="1187" customHeight="1" spans="1:26">
      <c r="A1187" s="27">
        <v>825</v>
      </c>
      <c r="B1187" s="27">
        <v>77</v>
      </c>
      <c r="C1187" s="27" t="s">
        <v>1165</v>
      </c>
      <c r="D1187" s="27" t="s">
        <v>1721</v>
      </c>
      <c r="E1187" s="27" t="s">
        <v>2889</v>
      </c>
      <c r="F1187" s="27" t="str">
        <f t="shared" si="0"/>
        <v>Temporal Latin Origin</v>
      </c>
      <c r="G1187" s="27">
        <f t="shared" si="3"/>
        <v>8</v>
      </c>
      <c r="H1187" s="27"/>
      <c r="I1187" s="27"/>
      <c r="J1187" s="27"/>
      <c r="K1187" s="27"/>
      <c r="L1187" s="27" t="str">
        <f t="shared" si="2"/>
        <v>I</v>
      </c>
      <c r="M1187" s="27" t="str">
        <f>IFERROR(__xludf.DUMMYFUNCTION("GOOGLETRANSLATE(C1187,""EN"",""KN"")"),"ತೊಡಗಿಸಿಕೊಂಡಿದೆ")</f>
        <v>ತೊಡಗಿಸಿಕೊಂಡಿದೆ</v>
      </c>
      <c r="N1187" s="27" t="str">
        <f t="array" ref="N1187">_xlfn.XLOOKUP(B1187,'Sets Progress'!I:I,'Sets Progress'!I:I,"NOT YET")</f>
        <v>NOT YET</v>
      </c>
      <c r="O1187" s="27" t="str">
        <f t="array" ref="O1187">_xlfn.XLOOKUP(L:L,'Overall Progress'!L:L,'Overall Progress'!L:L,"NOT YET")</f>
        <v>NOT YET</v>
      </c>
      <c r="P1187" s="27"/>
      <c r="Q1187" s="27"/>
      <c r="R1187" s="27"/>
      <c r="S1187" s="27"/>
      <c r="T1187" s="27"/>
      <c r="U1187" s="27"/>
      <c r="V1187" s="27"/>
      <c r="W1187" s="27"/>
      <c r="X1187" s="27"/>
      <c r="Y1187" s="27"/>
      <c r="Z1187" s="27"/>
    </row>
    <row r="1188" hidden="1" customHeight="1" spans="1:26">
      <c r="A1188" s="26">
        <v>1035</v>
      </c>
      <c r="B1188" s="26">
        <v>77</v>
      </c>
      <c r="C1188" s="26" t="s">
        <v>1370</v>
      </c>
      <c r="D1188" s="26" t="s">
        <v>2717</v>
      </c>
      <c r="E1188" s="26" t="s">
        <v>2889</v>
      </c>
      <c r="F1188" s="26" t="str">
        <f t="shared" si="0"/>
        <v>Positive Traits Latin Origin</v>
      </c>
      <c r="G1188" s="26">
        <f t="shared" si="3"/>
        <v>8</v>
      </c>
      <c r="H1188" s="26" t="s">
        <v>4054</v>
      </c>
      <c r="I1188" s="26"/>
      <c r="J1188" s="26"/>
      <c r="K1188" s="26"/>
      <c r="L1188" s="26" t="str">
        <f t="shared" si="2"/>
        <v>P</v>
      </c>
      <c r="M1188" s="26" t="str">
        <f>IFERROR(__xludf.DUMMYFUNCTION("GOOGLETRANSLATE(C1188,""EN"",""KN"")"),"ಒಲವು")</f>
        <v>ಒಲವು</v>
      </c>
      <c r="N1188" s="26" t="str">
        <f t="array" ref="N1188">_xlfn.XLOOKUP(B1188,'Sets Progress'!I:I,'Sets Progress'!I:I,"NOT YET")</f>
        <v>NOT YET</v>
      </c>
      <c r="O1188" s="26" t="str">
        <f t="array" ref="O1188">_xlfn.XLOOKUP(L:L,'Overall Progress'!L:L,'Overall Progress'!L:L,"NOT YET")</f>
        <v>NOT YET</v>
      </c>
      <c r="P1188" s="26"/>
      <c r="Q1188" s="26"/>
      <c r="R1188" s="26"/>
      <c r="S1188" s="26"/>
      <c r="T1188" s="26"/>
      <c r="U1188" s="26"/>
      <c r="V1188" s="26"/>
      <c r="W1188" s="26"/>
      <c r="X1188" s="26"/>
      <c r="Y1188" s="26"/>
      <c r="Z1188" s="26"/>
    </row>
    <row r="1189" hidden="1" customHeight="1" spans="1:26">
      <c r="A1189" s="27">
        <v>1122</v>
      </c>
      <c r="B1189" s="27">
        <v>77</v>
      </c>
      <c r="C1189" s="27" t="s">
        <v>1455</v>
      </c>
      <c r="D1189" s="27" t="s">
        <v>2717</v>
      </c>
      <c r="E1189" s="27" t="s">
        <v>2889</v>
      </c>
      <c r="F1189" s="27" t="str">
        <f t="shared" si="0"/>
        <v>Positive Traits Latin Origin</v>
      </c>
      <c r="G1189" s="27">
        <f t="shared" si="3"/>
        <v>10</v>
      </c>
      <c r="H1189" s="27" t="s">
        <v>4055</v>
      </c>
      <c r="I1189" s="27"/>
      <c r="J1189" s="27"/>
      <c r="K1189" s="27"/>
      <c r="L1189" s="27" t="str">
        <f t="shared" si="2"/>
        <v>P</v>
      </c>
      <c r="M1189" s="27" t="str">
        <f>IFERROR(__xludf.DUMMYFUNCTION("GOOGLETRANSLATE(C1189,""EN"",""KN"")"),"ಪ್ರವೀಣ")</f>
        <v>ಪ್ರವೀಣ</v>
      </c>
      <c r="N1189" s="27" t="str">
        <f t="array" ref="N1189">_xlfn.XLOOKUP(B1189,'Sets Progress'!I:I,'Sets Progress'!I:I,"NOT YET")</f>
        <v>NOT YET</v>
      </c>
      <c r="O1189" s="27" t="str">
        <f t="array" ref="O1189">_xlfn.XLOOKUP(L:L,'Overall Progress'!L:L,'Overall Progress'!L:L,"NOT YET")</f>
        <v>NOT YET</v>
      </c>
      <c r="P1189" s="27"/>
      <c r="Q1189" s="27"/>
      <c r="R1189" s="27"/>
      <c r="S1189" s="27"/>
      <c r="T1189" s="27"/>
      <c r="U1189" s="27"/>
      <c r="V1189" s="27"/>
      <c r="W1189" s="27"/>
      <c r="X1189" s="27"/>
      <c r="Y1189" s="27"/>
      <c r="Z1189" s="27"/>
    </row>
    <row r="1190" hidden="1" customHeight="1" spans="1:26">
      <c r="A1190" s="26">
        <v>1136</v>
      </c>
      <c r="B1190" s="26">
        <v>77</v>
      </c>
      <c r="C1190" s="26" t="s">
        <v>1468</v>
      </c>
      <c r="D1190" s="26" t="s">
        <v>2717</v>
      </c>
      <c r="E1190" s="26" t="s">
        <v>2889</v>
      </c>
      <c r="F1190" s="26" t="str">
        <f t="shared" si="0"/>
        <v>Positive Traits Latin Origin</v>
      </c>
      <c r="G1190" s="26">
        <f t="shared" si="3"/>
        <v>13</v>
      </c>
      <c r="H1190" s="26" t="s">
        <v>4056</v>
      </c>
      <c r="I1190" s="26"/>
      <c r="J1190" s="26"/>
      <c r="K1190" s="26"/>
      <c r="L1190" s="26" t="str">
        <f t="shared" si="2"/>
        <v>P</v>
      </c>
      <c r="M1190" s="26" t="str">
        <f>IFERROR(__xludf.DUMMYFUNCTION("GOOGLETRANSLATE(C1190,""EN"",""KN"")"),"ಪ್ರಮಾಣಾನುಗುಣ")</f>
        <v>ಪ್ರಮಾಣಾನುಗುಣ</v>
      </c>
      <c r="N1190" s="26" t="str">
        <f t="array" ref="N1190">_xlfn.XLOOKUP(B1190,'Sets Progress'!I:I,'Sets Progress'!I:I,"NOT YET")</f>
        <v>NOT YET</v>
      </c>
      <c r="O1190" s="26" t="str">
        <f t="array" ref="O1190">_xlfn.XLOOKUP(L:L,'Overall Progress'!L:L,'Overall Progress'!L:L,"NOT YET")</f>
        <v>NOT YET</v>
      </c>
      <c r="P1190" s="26"/>
      <c r="Q1190" s="26"/>
      <c r="R1190" s="26"/>
      <c r="S1190" s="26"/>
      <c r="T1190" s="26"/>
      <c r="U1190" s="26"/>
      <c r="V1190" s="26"/>
      <c r="W1190" s="26"/>
      <c r="X1190" s="26"/>
      <c r="Y1190" s="26"/>
      <c r="Z1190" s="26"/>
    </row>
    <row r="1191" hidden="1" customHeight="1" spans="1:26">
      <c r="A1191" s="27">
        <v>1226</v>
      </c>
      <c r="B1191" s="27">
        <v>77</v>
      </c>
      <c r="C1191" s="27" t="s">
        <v>1557</v>
      </c>
      <c r="D1191" s="27" t="s">
        <v>2716</v>
      </c>
      <c r="E1191" s="27" t="s">
        <v>2889</v>
      </c>
      <c r="F1191" s="27" t="str">
        <f t="shared" si="0"/>
        <v>Negative Traits Latin Origin</v>
      </c>
      <c r="G1191" s="27">
        <f t="shared" si="3"/>
        <v>9</v>
      </c>
      <c r="H1191" s="27" t="s">
        <v>4057</v>
      </c>
      <c r="I1191" s="27"/>
      <c r="J1191" s="27"/>
      <c r="K1191" s="27"/>
      <c r="L1191" s="27" t="str">
        <f t="shared" si="2"/>
        <v>R</v>
      </c>
      <c r="M1191" s="27" t="str">
        <f>IFERROR(__xludf.DUMMYFUNCTION("GOOGLETRANSLATE(C1191,""EN"",""KN"")"),"ಪ್ರತೀಕಾರ ತೀರಿಸಿಕೊಳ್ಳಿ")</f>
        <v>ಪ್ರತೀಕಾರ ತೀರಿಸಿಕೊಳ್ಳಿ</v>
      </c>
      <c r="N1191" s="27" t="str">
        <f t="array" ref="N1191">_xlfn.XLOOKUP(B1191,'Sets Progress'!I:I,'Sets Progress'!I:I,"NOT YET")</f>
        <v>NOT YET</v>
      </c>
      <c r="O1191" s="27" t="str">
        <f t="array" ref="O1191">_xlfn.XLOOKUP(L:L,'Overall Progress'!L:L,'Overall Progress'!L:L,"NOT YET")</f>
        <v>NOT YET</v>
      </c>
      <c r="P1191" s="27"/>
      <c r="Q1191" s="27"/>
      <c r="R1191" s="27"/>
      <c r="S1191" s="27"/>
      <c r="T1191" s="27"/>
      <c r="U1191" s="27"/>
      <c r="V1191" s="27"/>
      <c r="W1191" s="27"/>
      <c r="X1191" s="27"/>
      <c r="Y1191" s="27"/>
      <c r="Z1191" s="27"/>
    </row>
    <row r="1192" hidden="1" customHeight="1" spans="1:26">
      <c r="A1192" s="26">
        <v>1448</v>
      </c>
      <c r="B1192" s="26">
        <v>77</v>
      </c>
      <c r="C1192" s="26" t="s">
        <v>1776</v>
      </c>
      <c r="D1192" s="26" t="s">
        <v>1721</v>
      </c>
      <c r="E1192" s="26" t="s">
        <v>2908</v>
      </c>
      <c r="F1192" s="26" t="str">
        <f t="shared" si="0"/>
        <v>Temporal Old English Origin</v>
      </c>
      <c r="G1192" s="26">
        <f t="shared" si="3"/>
        <v>8</v>
      </c>
      <c r="H1192" s="26" t="s">
        <v>4058</v>
      </c>
      <c r="I1192" s="26"/>
      <c r="J1192" s="26"/>
      <c r="K1192" s="26"/>
      <c r="L1192" s="26" t="str">
        <f t="shared" si="2"/>
        <v>U</v>
      </c>
      <c r="M1192" s="26" t="str">
        <f>IFERROR(__xludf.DUMMYFUNCTION("GOOGLETRANSLATE(C1192,""EN"",""KN"")"),"ಅಂಡರ್ಕಟ್")</f>
        <v>ಅಂಡರ್ಕಟ್</v>
      </c>
      <c r="N1192" s="26" t="str">
        <f t="array" ref="N1192">_xlfn.XLOOKUP(B1192,'Sets Progress'!I:I,'Sets Progress'!I:I,"NOT YET")</f>
        <v>NOT YET</v>
      </c>
      <c r="O1192" s="26" t="str">
        <f t="array" ref="O1192">_xlfn.XLOOKUP(L:L,'Overall Progress'!L:L,'Overall Progress'!L:L,"NOT YET")</f>
        <v>NOT YET</v>
      </c>
      <c r="P1192" s="26"/>
      <c r="Q1192" s="26"/>
      <c r="R1192" s="26"/>
      <c r="S1192" s="26"/>
      <c r="T1192" s="26"/>
      <c r="U1192" s="26"/>
      <c r="V1192" s="26"/>
      <c r="W1192" s="26"/>
      <c r="X1192" s="26"/>
      <c r="Y1192" s="26"/>
      <c r="Z1192" s="26"/>
    </row>
    <row r="1193" hidden="1" customHeight="1" spans="1:26">
      <c r="A1193" s="27">
        <v>33</v>
      </c>
      <c r="B1193" s="27">
        <v>78</v>
      </c>
      <c r="C1193" s="27" t="s">
        <v>391</v>
      </c>
      <c r="D1193" s="27" t="s">
        <v>2717</v>
      </c>
      <c r="E1193" s="27" t="s">
        <v>2889</v>
      </c>
      <c r="F1193" s="27" t="str">
        <f t="shared" si="0"/>
        <v>Positive Traits Latin Origin</v>
      </c>
      <c r="G1193" s="27">
        <f t="shared" si="3"/>
        <v>5</v>
      </c>
      <c r="H1193" s="27" t="s">
        <v>4059</v>
      </c>
      <c r="I1193" s="27"/>
      <c r="J1193" s="27"/>
      <c r="K1193" s="27"/>
      <c r="L1193" s="27" t="str">
        <f t="shared" si="2"/>
        <v>A</v>
      </c>
      <c r="M1193" s="27" t="str">
        <f>IFERROR(__xludf.DUMMYFUNCTION("GOOGLETRANSLATE(C1193,""EN"",""KN"")"),"ಪ್ರವೀಣ")</f>
        <v>ಪ್ರವೀಣ</v>
      </c>
      <c r="N1193" s="27">
        <f t="array" ref="N1193">_xlfn.XLOOKUP(B1193,'Sets Progress'!I:I,'Sets Progress'!I:I,"NOT YET")</f>
        <v>78</v>
      </c>
      <c r="O1193" s="27" t="str">
        <f t="array" ref="O1193">_xlfn.XLOOKUP(L:L,'Overall Progress'!L:L,'Overall Progress'!L:L,"NOT YET")</f>
        <v>NOT YET</v>
      </c>
      <c r="P1193" s="27"/>
      <c r="Q1193" s="27"/>
      <c r="R1193" s="27"/>
      <c r="S1193" s="27"/>
      <c r="T1193" s="27"/>
      <c r="U1193" s="27"/>
      <c r="V1193" s="27"/>
      <c r="W1193" s="27"/>
      <c r="X1193" s="27"/>
      <c r="Y1193" s="27"/>
      <c r="Z1193" s="27"/>
    </row>
    <row r="1194" hidden="1" customHeight="1" spans="1:26">
      <c r="A1194" s="26">
        <v>43</v>
      </c>
      <c r="B1194" s="26">
        <v>78</v>
      </c>
      <c r="C1194" s="26" t="s">
        <v>363</v>
      </c>
      <c r="D1194" s="26" t="s">
        <v>2717</v>
      </c>
      <c r="E1194" s="26" t="s">
        <v>2889</v>
      </c>
      <c r="F1194" s="26" t="str">
        <f t="shared" si="0"/>
        <v>Positive Traits Latin Origin</v>
      </c>
      <c r="G1194" s="26">
        <f t="shared" si="3"/>
        <v>7</v>
      </c>
      <c r="H1194" s="26" t="s">
        <v>4060</v>
      </c>
      <c r="I1194" s="26"/>
      <c r="J1194" s="26"/>
      <c r="K1194" s="26"/>
      <c r="L1194" s="26" t="str">
        <f t="shared" si="2"/>
        <v>A</v>
      </c>
      <c r="M1194" s="26" t="str">
        <f>IFERROR(__xludf.DUMMYFUNCTION("GOOGLETRANSLATE(C1194,""EN"",""KN"")"),"ಅಫೇಬಲ್")</f>
        <v>ಅಫೇಬಲ್</v>
      </c>
      <c r="N1194" s="26">
        <f t="array" ref="N1194">_xlfn.XLOOKUP(B1194,'Sets Progress'!I:I,'Sets Progress'!I:I,"NOT YET")</f>
        <v>78</v>
      </c>
      <c r="O1194" s="26" t="str">
        <f t="array" ref="O1194">_xlfn.XLOOKUP(L:L,'Overall Progress'!L:L,'Overall Progress'!L:L,"NOT YET")</f>
        <v>NOT YET</v>
      </c>
      <c r="P1194" s="26"/>
      <c r="Q1194" s="26"/>
      <c r="R1194" s="26"/>
      <c r="S1194" s="26"/>
      <c r="T1194" s="26"/>
      <c r="U1194" s="26"/>
      <c r="V1194" s="26"/>
      <c r="W1194" s="26"/>
      <c r="X1194" s="26"/>
      <c r="Y1194" s="26"/>
      <c r="Z1194" s="26"/>
    </row>
    <row r="1195" hidden="1" customHeight="1" spans="1:26">
      <c r="A1195" s="27">
        <v>192</v>
      </c>
      <c r="B1195" s="27">
        <v>78</v>
      </c>
      <c r="C1195" s="27" t="s">
        <v>542</v>
      </c>
      <c r="D1195" s="27" t="s">
        <v>2892</v>
      </c>
      <c r="E1195" s="27" t="s">
        <v>2896</v>
      </c>
      <c r="F1195" s="27" t="str">
        <f t="shared" si="0"/>
        <v>Spatial Old French Origin</v>
      </c>
      <c r="G1195" s="27">
        <f t="shared" si="3"/>
        <v>8</v>
      </c>
      <c r="H1195" s="27" t="s">
        <v>4061</v>
      </c>
      <c r="I1195" s="27"/>
      <c r="J1195" s="27"/>
      <c r="K1195" s="27"/>
      <c r="L1195" s="27" t="str">
        <f t="shared" si="2"/>
        <v>B</v>
      </c>
      <c r="M1195" s="27" t="str">
        <f>IFERROR(__xludf.DUMMYFUNCTION("GOOGLETRANSLATE(C1195,""EN"",""KN"")"),"ಬಟ್ರೆಸ್")</f>
        <v>ಬಟ್ರೆಸ್</v>
      </c>
      <c r="N1195" s="27">
        <f t="array" ref="N1195">_xlfn.XLOOKUP(B1195,'Sets Progress'!I:I,'Sets Progress'!I:I,"NOT YET")</f>
        <v>78</v>
      </c>
      <c r="O1195" s="27" t="str">
        <f t="array" ref="O1195">_xlfn.XLOOKUP(L:L,'Overall Progress'!L:L,'Overall Progress'!L:L,"NOT YET")</f>
        <v>NOT YET</v>
      </c>
      <c r="P1195" s="27"/>
      <c r="Q1195" s="27"/>
      <c r="R1195" s="27"/>
      <c r="S1195" s="27"/>
      <c r="T1195" s="27"/>
      <c r="U1195" s="27"/>
      <c r="V1195" s="27"/>
      <c r="W1195" s="27"/>
      <c r="X1195" s="27"/>
      <c r="Y1195" s="27"/>
      <c r="Z1195" s="27"/>
    </row>
    <row r="1196" hidden="1" customHeight="1" spans="1:26">
      <c r="A1196" s="26">
        <v>222</v>
      </c>
      <c r="B1196" s="26">
        <v>78</v>
      </c>
      <c r="C1196" s="26" t="s">
        <v>571</v>
      </c>
      <c r="D1196" s="26" t="s">
        <v>1721</v>
      </c>
      <c r="E1196" s="26" t="s">
        <v>2889</v>
      </c>
      <c r="F1196" s="26" t="str">
        <f t="shared" si="0"/>
        <v>Temporal Latin Origin</v>
      </c>
      <c r="G1196" s="26">
        <f t="shared" si="3"/>
        <v>9</v>
      </c>
      <c r="H1196" s="26" t="s">
        <v>4062</v>
      </c>
      <c r="I1196" s="26"/>
      <c r="J1196" s="26"/>
      <c r="K1196" s="26"/>
      <c r="L1196" s="26" t="str">
        <f t="shared" si="2"/>
        <v>C</v>
      </c>
      <c r="M1196" s="26" t="str">
        <f>IFERROR(__xludf.DUMMYFUNCTION("GOOGLETRANSLATE(C1196,""EN"",""KN"")"),"ನಿಲುಗಡೆ")</f>
        <v>ನಿಲುಗಡೆ</v>
      </c>
      <c r="N1196" s="26">
        <f t="array" ref="N1196">_xlfn.XLOOKUP(B1196,'Sets Progress'!I:I,'Sets Progress'!I:I,"NOT YET")</f>
        <v>78</v>
      </c>
      <c r="O1196" s="26" t="str">
        <f t="array" ref="O1196">_xlfn.XLOOKUP(L:L,'Overall Progress'!L:L,'Overall Progress'!L:L,"NOT YET")</f>
        <v>NOT YET</v>
      </c>
      <c r="P1196" s="26"/>
      <c r="Q1196" s="26"/>
      <c r="R1196" s="26"/>
      <c r="S1196" s="26"/>
      <c r="T1196" s="26"/>
      <c r="U1196" s="26"/>
      <c r="V1196" s="26"/>
      <c r="W1196" s="26"/>
      <c r="X1196" s="26"/>
      <c r="Y1196" s="26"/>
      <c r="Z1196" s="26"/>
    </row>
    <row r="1197" hidden="1" customHeight="1" spans="1:26">
      <c r="A1197" s="27">
        <v>224</v>
      </c>
      <c r="B1197" s="27">
        <v>78</v>
      </c>
      <c r="C1197" s="27" t="s">
        <v>573</v>
      </c>
      <c r="D1197" s="27" t="s">
        <v>2717</v>
      </c>
      <c r="E1197" s="27" t="s">
        <v>2889</v>
      </c>
      <c r="F1197" s="27" t="str">
        <f t="shared" si="0"/>
        <v>Positive Traits Latin Origin</v>
      </c>
      <c r="G1197" s="27">
        <f t="shared" si="3"/>
        <v>8</v>
      </c>
      <c r="H1197" s="27" t="s">
        <v>4063</v>
      </c>
      <c r="I1197" s="27"/>
      <c r="J1197" s="27"/>
      <c r="K1197" s="27"/>
      <c r="L1197" s="27" t="str">
        <f t="shared" si="2"/>
        <v>C</v>
      </c>
      <c r="M1197" s="27" t="str">
        <f>IFERROR(__xludf.DUMMYFUNCTION("GOOGLETRANSLATE(C1197,""EN"",""KN"")"),"ಚಾಂಪಿಯನ್")</f>
        <v>ಚಾಂಪಿಯನ್</v>
      </c>
      <c r="N1197" s="27">
        <f t="array" ref="N1197">_xlfn.XLOOKUP(B1197,'Sets Progress'!I:I,'Sets Progress'!I:I,"NOT YET")</f>
        <v>78</v>
      </c>
      <c r="O1197" s="27" t="str">
        <f t="array" ref="O1197">_xlfn.XLOOKUP(L:L,'Overall Progress'!L:L,'Overall Progress'!L:L,"NOT YET")</f>
        <v>NOT YET</v>
      </c>
      <c r="P1197" s="27"/>
      <c r="Q1197" s="27"/>
      <c r="R1197" s="27"/>
      <c r="S1197" s="27"/>
      <c r="T1197" s="27"/>
      <c r="U1197" s="27"/>
      <c r="V1197" s="27"/>
      <c r="W1197" s="27"/>
      <c r="X1197" s="27"/>
      <c r="Y1197" s="27"/>
      <c r="Z1197" s="27"/>
    </row>
    <row r="1198" hidden="1" customHeight="1" spans="1:26">
      <c r="A1198" s="26">
        <v>246</v>
      </c>
      <c r="B1198" s="26">
        <v>78</v>
      </c>
      <c r="C1198" s="26" t="s">
        <v>597</v>
      </c>
      <c r="D1198" s="26" t="s">
        <v>3022</v>
      </c>
      <c r="E1198" s="26" t="s">
        <v>2889</v>
      </c>
      <c r="F1198" s="26" t="str">
        <f t="shared" si="0"/>
        <v>Intellectual Latin Origin</v>
      </c>
      <c r="G1198" s="26">
        <f t="shared" si="3"/>
        <v>4</v>
      </c>
      <c r="H1198" s="26" t="s">
        <v>4064</v>
      </c>
      <c r="I1198" s="26"/>
      <c r="J1198" s="26"/>
      <c r="K1198" s="26"/>
      <c r="L1198" s="26" t="str">
        <f t="shared" si="2"/>
        <v>C</v>
      </c>
      <c r="M1198" s="26" t="str">
        <f>IFERROR(__xludf.DUMMYFUNCTION("GOOGLETRANSLATE(C1198,""EN"",""KN"")"),"ಕೋಡ್")</f>
        <v>ಕೋಡ್</v>
      </c>
      <c r="N1198" s="26">
        <f t="array" ref="N1198">_xlfn.XLOOKUP(B1198,'Sets Progress'!I:I,'Sets Progress'!I:I,"NOT YET")</f>
        <v>78</v>
      </c>
      <c r="O1198" s="26" t="str">
        <f t="array" ref="O1198">_xlfn.XLOOKUP(L:L,'Overall Progress'!L:L,'Overall Progress'!L:L,"NOT YET")</f>
        <v>NOT YET</v>
      </c>
      <c r="P1198" s="26"/>
      <c r="Q1198" s="26"/>
      <c r="R1198" s="26"/>
      <c r="S1198" s="26"/>
      <c r="T1198" s="26"/>
      <c r="U1198" s="26"/>
      <c r="V1198" s="26"/>
      <c r="W1198" s="26"/>
      <c r="X1198" s="26"/>
      <c r="Y1198" s="26"/>
      <c r="Z1198" s="26"/>
    </row>
    <row r="1199" hidden="1" customHeight="1" spans="1:26">
      <c r="A1199" s="27">
        <v>416</v>
      </c>
      <c r="B1199" s="27">
        <v>78</v>
      </c>
      <c r="C1199" s="27" t="s">
        <v>765</v>
      </c>
      <c r="D1199" s="27" t="s">
        <v>2946</v>
      </c>
      <c r="E1199" s="27" t="s">
        <v>2889</v>
      </c>
      <c r="F1199" s="27" t="str">
        <f t="shared" si="0"/>
        <v>Emotional Latin Origin</v>
      </c>
      <c r="G1199" s="27">
        <f t="shared" si="3"/>
        <v>8</v>
      </c>
      <c r="H1199" s="27" t="s">
        <v>4065</v>
      </c>
      <c r="I1199" s="27"/>
      <c r="J1199" s="27"/>
      <c r="K1199" s="27"/>
      <c r="L1199" s="27" t="str">
        <f t="shared" si="2"/>
        <v>D</v>
      </c>
      <c r="M1199" s="27" t="str">
        <f>IFERROR(__xludf.DUMMYFUNCTION("GOOGLETRANSLATE(C1199,""EN"",""KN"")"),"ವಿವೇಚನಾಯುಕ್ತ")</f>
        <v>ವಿವೇಚನಾಯುಕ್ತ</v>
      </c>
      <c r="N1199" s="27">
        <f t="array" ref="N1199">_xlfn.XLOOKUP(B1199,'Sets Progress'!I:I,'Sets Progress'!I:I,"NOT YET")</f>
        <v>78</v>
      </c>
      <c r="O1199" s="27" t="str">
        <f t="array" ref="O1199">_xlfn.XLOOKUP(L:L,'Overall Progress'!L:L,'Overall Progress'!L:L,"NOT YET")</f>
        <v>NOT YET</v>
      </c>
      <c r="P1199" s="27"/>
      <c r="Q1199" s="27"/>
      <c r="R1199" s="27"/>
      <c r="S1199" s="27"/>
      <c r="T1199" s="27"/>
      <c r="U1199" s="27"/>
      <c r="V1199" s="27"/>
      <c r="W1199" s="27"/>
      <c r="X1199" s="27"/>
      <c r="Y1199" s="27"/>
      <c r="Z1199" s="27"/>
    </row>
    <row r="1200" hidden="1" customHeight="1" spans="1:26">
      <c r="A1200" s="26">
        <v>441</v>
      </c>
      <c r="B1200" s="26">
        <v>78</v>
      </c>
      <c r="C1200" s="26" t="s">
        <v>790</v>
      </c>
      <c r="D1200" s="26" t="s">
        <v>2946</v>
      </c>
      <c r="E1200" s="26" t="s">
        <v>2896</v>
      </c>
      <c r="F1200" s="26" t="str">
        <f t="shared" si="0"/>
        <v>Emotional Old French Origin</v>
      </c>
      <c r="G1200" s="26">
        <f t="shared" si="3"/>
        <v>8</v>
      </c>
      <c r="H1200" s="26" t="s">
        <v>4066</v>
      </c>
      <c r="I1200" s="26"/>
      <c r="J1200" s="26"/>
      <c r="K1200" s="26"/>
      <c r="L1200" s="26" t="str">
        <f t="shared" si="2"/>
        <v>D</v>
      </c>
      <c r="M1200" s="26" t="str">
        <f>IFERROR(__xludf.DUMMYFUNCTION("GOOGLETRANSLATE(C1200,""EN"",""KN"")"),"ಅಸಹ್ಯ")</f>
        <v>ಅಸಹ್ಯ</v>
      </c>
      <c r="N1200" s="26">
        <f t="array" ref="N1200">_xlfn.XLOOKUP(B1200,'Sets Progress'!I:I,'Sets Progress'!I:I,"NOT YET")</f>
        <v>78</v>
      </c>
      <c r="O1200" s="26" t="str">
        <f t="array" ref="O1200">_xlfn.XLOOKUP(L:L,'Overall Progress'!L:L,'Overall Progress'!L:L,"NOT YET")</f>
        <v>NOT YET</v>
      </c>
      <c r="P1200" s="26"/>
      <c r="Q1200" s="26"/>
      <c r="R1200" s="26"/>
      <c r="S1200" s="26"/>
      <c r="T1200" s="26"/>
      <c r="U1200" s="26"/>
      <c r="V1200" s="26"/>
      <c r="W1200" s="26"/>
      <c r="X1200" s="26"/>
      <c r="Y1200" s="26"/>
      <c r="Z1200" s="26"/>
    </row>
    <row r="1201" hidden="1" customHeight="1" spans="1:26">
      <c r="A1201" s="27">
        <v>487</v>
      </c>
      <c r="B1201" s="27">
        <v>78</v>
      </c>
      <c r="C1201" s="27" t="s">
        <v>836</v>
      </c>
      <c r="D1201" s="27" t="s">
        <v>2716</v>
      </c>
      <c r="E1201" s="27" t="s">
        <v>2911</v>
      </c>
      <c r="F1201" s="27" t="str">
        <f t="shared" si="0"/>
        <v>Negative Traits French Origin</v>
      </c>
      <c r="G1201" s="27">
        <f t="shared" si="3"/>
        <v>7</v>
      </c>
      <c r="H1201" s="27" t="s">
        <v>4067</v>
      </c>
      <c r="I1201" s="27"/>
      <c r="J1201" s="27"/>
      <c r="K1201" s="27"/>
      <c r="L1201" s="27" t="str">
        <f t="shared" si="2"/>
        <v>E</v>
      </c>
      <c r="M1201" s="27" t="str">
        <f>IFERROR(__xludf.DUMMYFUNCTION("GOOGLETRANSLATE(C1201,""EN"",""KN"")"),"ಎಲಿಟಿಸ್ಟ್")</f>
        <v>ಎಲಿಟಿಸ್ಟ್</v>
      </c>
      <c r="N1201" s="27">
        <f t="array" ref="N1201">_xlfn.XLOOKUP(B1201,'Sets Progress'!I:I,'Sets Progress'!I:I,"NOT YET")</f>
        <v>78</v>
      </c>
      <c r="O1201" s="27" t="str">
        <f t="array" ref="O1201">_xlfn.XLOOKUP(L:L,'Overall Progress'!L:L,'Overall Progress'!L:L,"NOT YET")</f>
        <v>NOT YET</v>
      </c>
      <c r="P1201" s="27"/>
      <c r="Q1201" s="27"/>
      <c r="R1201" s="27"/>
      <c r="S1201" s="27"/>
      <c r="T1201" s="27"/>
      <c r="U1201" s="27"/>
      <c r="V1201" s="27"/>
      <c r="W1201" s="27"/>
      <c r="X1201" s="27"/>
      <c r="Y1201" s="27"/>
      <c r="Z1201" s="27"/>
    </row>
    <row r="1202" hidden="1" customHeight="1" spans="1:26">
      <c r="A1202" s="26">
        <v>540</v>
      </c>
      <c r="B1202" s="26">
        <v>78</v>
      </c>
      <c r="C1202" s="26" t="s">
        <v>886</v>
      </c>
      <c r="D1202" s="26" t="s">
        <v>1721</v>
      </c>
      <c r="E1202" s="26" t="s">
        <v>2889</v>
      </c>
      <c r="F1202" s="26" t="str">
        <f t="shared" si="0"/>
        <v>Temporal Latin Origin</v>
      </c>
      <c r="G1202" s="26">
        <f t="shared" si="3"/>
        <v>5</v>
      </c>
      <c r="H1202" s="26" t="s">
        <v>4068</v>
      </c>
      <c r="I1202" s="26"/>
      <c r="J1202" s="26"/>
      <c r="K1202" s="26"/>
      <c r="L1202" s="26" t="str">
        <f t="shared" si="2"/>
        <v>E</v>
      </c>
      <c r="M1202" s="26" t="str">
        <f>IFERROR(__xludf.DUMMYFUNCTION("GOOGLETRANSLATE(C1202,""EN"",""KN"")"),"ತಪ್ಪಿಸಿಕೊಳ್ಳು")</f>
        <v>ತಪ್ಪಿಸಿಕೊಳ್ಳು</v>
      </c>
      <c r="N1202" s="26">
        <f t="array" ref="N1202">_xlfn.XLOOKUP(B1202,'Sets Progress'!I:I,'Sets Progress'!I:I,"NOT YET")</f>
        <v>78</v>
      </c>
      <c r="O1202" s="26" t="str">
        <f t="array" ref="O1202">_xlfn.XLOOKUP(L:L,'Overall Progress'!L:L,'Overall Progress'!L:L,"NOT YET")</f>
        <v>NOT YET</v>
      </c>
      <c r="P1202" s="26"/>
      <c r="Q1202" s="26"/>
      <c r="R1202" s="26"/>
      <c r="S1202" s="26"/>
      <c r="T1202" s="26"/>
      <c r="U1202" s="26"/>
      <c r="V1202" s="26"/>
      <c r="W1202" s="26"/>
      <c r="X1202" s="26"/>
      <c r="Y1202" s="26"/>
      <c r="Z1202" s="26"/>
    </row>
    <row r="1203" hidden="1" customHeight="1" spans="1:26">
      <c r="A1203" s="27">
        <v>557</v>
      </c>
      <c r="B1203" s="27">
        <v>78</v>
      </c>
      <c r="C1203" s="27" t="s">
        <v>903</v>
      </c>
      <c r="D1203" s="27" t="s">
        <v>1721</v>
      </c>
      <c r="E1203" s="27" t="s">
        <v>2889</v>
      </c>
      <c r="F1203" s="27" t="str">
        <f t="shared" si="0"/>
        <v>Temporal Latin Origin</v>
      </c>
      <c r="G1203" s="27">
        <f t="shared" si="3"/>
        <v>9</v>
      </c>
      <c r="H1203" s="27" t="s">
        <v>4069</v>
      </c>
      <c r="I1203" s="27"/>
      <c r="J1203" s="27"/>
      <c r="K1203" s="27"/>
      <c r="L1203" s="27" t="str">
        <f t="shared" si="2"/>
        <v>E</v>
      </c>
      <c r="M1203" s="27" t="str">
        <f>IFERROR(__xludf.DUMMYFUNCTION("GOOGLETRANSLATE(C1203,""EN"",""KN"")"),"ದೋಷಮುಕ್ತಗೊಳಿಸು")</f>
        <v>ದೋಷಮುಕ್ತಗೊಳಿಸು</v>
      </c>
      <c r="N1203" s="27">
        <f t="array" ref="N1203">_xlfn.XLOOKUP(B1203,'Sets Progress'!I:I,'Sets Progress'!I:I,"NOT YET")</f>
        <v>78</v>
      </c>
      <c r="O1203" s="27" t="str">
        <f t="array" ref="O1203">_xlfn.XLOOKUP(L:L,'Overall Progress'!L:L,'Overall Progress'!L:L,"NOT YET")</f>
        <v>NOT YET</v>
      </c>
      <c r="P1203" s="27"/>
      <c r="Q1203" s="27"/>
      <c r="R1203" s="27"/>
      <c r="S1203" s="27"/>
      <c r="T1203" s="27"/>
      <c r="U1203" s="27"/>
      <c r="V1203" s="27"/>
      <c r="W1203" s="27"/>
      <c r="X1203" s="27"/>
      <c r="Y1203" s="27"/>
      <c r="Z1203" s="27"/>
    </row>
    <row r="1204" hidden="1" customHeight="1" spans="1:26">
      <c r="A1204" s="26">
        <v>680</v>
      </c>
      <c r="B1204" s="26">
        <v>78</v>
      </c>
      <c r="C1204" s="26" t="s">
        <v>1022</v>
      </c>
      <c r="D1204" s="26" t="s">
        <v>2716</v>
      </c>
      <c r="E1204" s="26" t="s">
        <v>2896</v>
      </c>
      <c r="F1204" s="26" t="str">
        <f t="shared" si="0"/>
        <v>Negative Traits Old French Origin</v>
      </c>
      <c r="G1204" s="26">
        <f t="shared" si="3"/>
        <v>7</v>
      </c>
      <c r="H1204" s="26" t="s">
        <v>4070</v>
      </c>
      <c r="I1204" s="26"/>
      <c r="J1204" s="26"/>
      <c r="K1204" s="26"/>
      <c r="L1204" s="26" t="str">
        <f t="shared" si="2"/>
        <v>H</v>
      </c>
      <c r="M1204" s="26" t="str">
        <f>IFERROR(__xludf.DUMMYFUNCTION("GOOGLETRANSLATE(C1204,""EN"",""KN"")"),"ಅಹಂಕಾರಿ")</f>
        <v>ಅಹಂಕಾರಿ</v>
      </c>
      <c r="N1204" s="26">
        <f t="array" ref="N1204">_xlfn.XLOOKUP(B1204,'Sets Progress'!I:I,'Sets Progress'!I:I,"NOT YET")</f>
        <v>78</v>
      </c>
      <c r="O1204" s="26" t="str">
        <f t="array" ref="O1204">_xlfn.XLOOKUP(L:L,'Overall Progress'!L:L,'Overall Progress'!L:L,"NOT YET")</f>
        <v>NOT YET</v>
      </c>
      <c r="P1204" s="26"/>
      <c r="Q1204" s="26"/>
      <c r="R1204" s="26"/>
      <c r="S1204" s="26"/>
      <c r="T1204" s="26"/>
      <c r="U1204" s="26"/>
      <c r="V1204" s="26"/>
      <c r="W1204" s="26"/>
      <c r="X1204" s="26"/>
      <c r="Y1204" s="26"/>
      <c r="Z1204" s="26"/>
    </row>
    <row r="1205" hidden="1" customHeight="1" spans="1:26">
      <c r="A1205" s="27">
        <v>717</v>
      </c>
      <c r="B1205" s="27">
        <v>78</v>
      </c>
      <c r="C1205" s="27" t="s">
        <v>1059</v>
      </c>
      <c r="D1205" s="27" t="s">
        <v>1721</v>
      </c>
      <c r="E1205" s="27" t="s">
        <v>2896</v>
      </c>
      <c r="F1205" s="27" t="str">
        <f t="shared" si="0"/>
        <v>Temporal Old French Origin</v>
      </c>
      <c r="G1205" s="27">
        <f t="shared" si="3"/>
        <v>6</v>
      </c>
      <c r="H1205" s="27" t="s">
        <v>4071</v>
      </c>
      <c r="I1205" s="27"/>
      <c r="J1205" s="27"/>
      <c r="K1205" s="27"/>
      <c r="L1205" s="27" t="str">
        <f t="shared" si="2"/>
        <v>I</v>
      </c>
      <c r="M1205" s="27" t="str">
        <f>IFERROR(__xludf.DUMMYFUNCTION("GOOGLETRANSLATE(C1205,""EN"",""KN"")"),"ದುರ್ಬಲಗೊಳಿಸು")</f>
        <v>ದುರ್ಬಲಗೊಳಿಸು</v>
      </c>
      <c r="N1205" s="27">
        <f t="array" ref="N1205">_xlfn.XLOOKUP(B1205,'Sets Progress'!I:I,'Sets Progress'!I:I,"NOT YET")</f>
        <v>78</v>
      </c>
      <c r="O1205" s="27" t="str">
        <f t="array" ref="O1205">_xlfn.XLOOKUP(L:L,'Overall Progress'!L:L,'Overall Progress'!L:L,"NOT YET")</f>
        <v>NOT YET</v>
      </c>
      <c r="P1205" s="27"/>
      <c r="Q1205" s="27"/>
      <c r="R1205" s="27"/>
      <c r="S1205" s="27"/>
      <c r="T1205" s="27"/>
      <c r="U1205" s="27"/>
      <c r="V1205" s="27"/>
      <c r="W1205" s="27"/>
      <c r="X1205" s="27"/>
      <c r="Y1205" s="27"/>
      <c r="Z1205" s="27"/>
    </row>
    <row r="1206" hidden="1" customHeight="1" spans="1:26">
      <c r="A1206" s="26">
        <v>740</v>
      </c>
      <c r="B1206" s="26">
        <v>78</v>
      </c>
      <c r="C1206" s="26" t="s">
        <v>1081</v>
      </c>
      <c r="D1206" s="26" t="s">
        <v>1721</v>
      </c>
      <c r="E1206" s="26" t="s">
        <v>2889</v>
      </c>
      <c r="F1206" s="26" t="str">
        <f t="shared" si="0"/>
        <v>Temporal Latin Origin</v>
      </c>
      <c r="G1206" s="26">
        <f t="shared" si="3"/>
        <v>11</v>
      </c>
      <c r="H1206" s="26" t="s">
        <v>4072</v>
      </c>
      <c r="I1206" s="26"/>
      <c r="J1206" s="26"/>
      <c r="K1206" s="26"/>
      <c r="L1206" s="26" t="str">
        <f t="shared" si="2"/>
        <v>I</v>
      </c>
      <c r="M1206" s="26" t="str">
        <f>IFERROR(__xludf.DUMMYFUNCTION("GOOGLETRANSLATE(C1206,""EN"",""KN"")"),"ಬೇರ್ಪಡಿಸಲಾಗದ")</f>
        <v>ಬೇರ್ಪಡಿಸಲಾಗದ</v>
      </c>
      <c r="N1206" s="26">
        <f t="array" ref="N1206">_xlfn.XLOOKUP(B1206,'Sets Progress'!I:I,'Sets Progress'!I:I,"NOT YET")</f>
        <v>78</v>
      </c>
      <c r="O1206" s="26" t="str">
        <f t="array" ref="O1206">_xlfn.XLOOKUP(L:L,'Overall Progress'!L:L,'Overall Progress'!L:L,"NOT YET")</f>
        <v>NOT YET</v>
      </c>
      <c r="P1206" s="26"/>
      <c r="Q1206" s="26"/>
      <c r="R1206" s="26"/>
      <c r="S1206" s="26"/>
      <c r="T1206" s="26"/>
      <c r="U1206" s="26"/>
      <c r="V1206" s="26"/>
      <c r="W1206" s="26"/>
      <c r="X1206" s="26"/>
      <c r="Y1206" s="26"/>
      <c r="Z1206" s="26"/>
    </row>
    <row r="1207" hidden="1" customHeight="1" spans="1:26">
      <c r="A1207" s="27">
        <v>814</v>
      </c>
      <c r="B1207" s="27">
        <v>78</v>
      </c>
      <c r="C1207" s="27" t="s">
        <v>1154</v>
      </c>
      <c r="D1207" s="27" t="s">
        <v>1721</v>
      </c>
      <c r="E1207" s="27" t="s">
        <v>2889</v>
      </c>
      <c r="F1207" s="27" t="str">
        <f t="shared" si="0"/>
        <v>Temporal Latin Origin</v>
      </c>
      <c r="G1207" s="27">
        <f t="shared" si="3"/>
        <v>8</v>
      </c>
      <c r="H1207" s="27" t="s">
        <v>4073</v>
      </c>
      <c r="I1207" s="27"/>
      <c r="J1207" s="27"/>
      <c r="K1207" s="27"/>
      <c r="L1207" s="27" t="str">
        <f t="shared" si="2"/>
        <v>I</v>
      </c>
      <c r="M1207" s="27" t="str">
        <f>IFERROR(__xludf.DUMMYFUNCTION("GOOGLETRANSLATE(C1207,""EN"",""KN"")"),"ಒಳಸಂಚು")</f>
        <v>ಒಳಸಂಚು</v>
      </c>
      <c r="N1207" s="27">
        <f t="array" ref="N1207">_xlfn.XLOOKUP(B1207,'Sets Progress'!I:I,'Sets Progress'!I:I,"NOT YET")</f>
        <v>78</v>
      </c>
      <c r="O1207" s="27" t="str">
        <f t="array" ref="O1207">_xlfn.XLOOKUP(L:L,'Overall Progress'!L:L,'Overall Progress'!L:L,"NOT YET")</f>
        <v>NOT YET</v>
      </c>
      <c r="P1207" s="27"/>
      <c r="Q1207" s="27"/>
      <c r="R1207" s="27"/>
      <c r="S1207" s="27"/>
      <c r="T1207" s="27"/>
      <c r="U1207" s="27"/>
      <c r="V1207" s="27"/>
      <c r="W1207" s="27"/>
      <c r="X1207" s="27"/>
      <c r="Y1207" s="27"/>
      <c r="Z1207" s="27"/>
    </row>
    <row r="1208" hidden="1" customHeight="1" spans="1:26">
      <c r="A1208" s="26">
        <v>909</v>
      </c>
      <c r="B1208" s="26">
        <v>78</v>
      </c>
      <c r="C1208" s="26" t="s">
        <v>1246</v>
      </c>
      <c r="D1208" s="26" t="s">
        <v>2717</v>
      </c>
      <c r="E1208" s="26" t="s">
        <v>2889</v>
      </c>
      <c r="F1208" s="26" t="str">
        <f t="shared" si="0"/>
        <v>Positive Traits Latin Origin</v>
      </c>
      <c r="G1208" s="26">
        <f t="shared" si="3"/>
        <v>11</v>
      </c>
      <c r="H1208" s="26" t="s">
        <v>4074</v>
      </c>
      <c r="I1208" s="26"/>
      <c r="J1208" s="26"/>
      <c r="K1208" s="26"/>
      <c r="L1208" s="26" t="str">
        <f t="shared" si="2"/>
        <v>M</v>
      </c>
      <c r="M1208" s="26" t="str">
        <f>IFERROR(__xludf.DUMMYFUNCTION("GOOGLETRANSLATE(C1208,""EN"",""KN"")"),"ಸಾರ್ಥಕ")</f>
        <v>ಸಾರ್ಥಕ</v>
      </c>
      <c r="N1208" s="26">
        <f t="array" ref="N1208">_xlfn.XLOOKUP(B1208,'Sets Progress'!I:I,'Sets Progress'!I:I,"NOT YET")</f>
        <v>78</v>
      </c>
      <c r="O1208" s="26" t="str">
        <f t="array" ref="O1208">_xlfn.XLOOKUP(L:L,'Overall Progress'!L:L,'Overall Progress'!L:L,"NOT YET")</f>
        <v>NOT YET</v>
      </c>
      <c r="P1208" s="26"/>
      <c r="Q1208" s="26"/>
      <c r="R1208" s="26"/>
      <c r="S1208" s="26"/>
      <c r="T1208" s="26"/>
      <c r="U1208" s="26"/>
      <c r="V1208" s="26"/>
      <c r="W1208" s="26"/>
      <c r="X1208" s="26"/>
      <c r="Y1208" s="26"/>
      <c r="Z1208" s="26"/>
    </row>
    <row r="1209" hidden="1" customHeight="1" spans="1:26">
      <c r="A1209" s="27">
        <v>936</v>
      </c>
      <c r="B1209" s="27">
        <v>78</v>
      </c>
      <c r="C1209" s="27" t="s">
        <v>1272</v>
      </c>
      <c r="D1209" s="27" t="s">
        <v>2716</v>
      </c>
      <c r="E1209" s="27" t="s">
        <v>2969</v>
      </c>
      <c r="F1209" s="27" t="str">
        <f t="shared" si="0"/>
        <v>Negative Traits Old Norse Origin</v>
      </c>
      <c r="G1209" s="27">
        <f t="shared" si="3"/>
        <v>5</v>
      </c>
      <c r="H1209" s="27" t="s">
        <v>4075</v>
      </c>
      <c r="I1209" s="27"/>
      <c r="J1209" s="27"/>
      <c r="K1209" s="27"/>
      <c r="L1209" s="27" t="str">
        <f t="shared" si="2"/>
        <v>M</v>
      </c>
      <c r="M1209" s="27" t="str">
        <f>IFERROR(__xludf.DUMMYFUNCTION("GOOGLETRANSLATE(C1209,""EN"",""KN"")"),"ಮುರ್ಕಿ")</f>
        <v>ಮುರ್ಕಿ</v>
      </c>
      <c r="N1209" s="27">
        <f t="array" ref="N1209">_xlfn.XLOOKUP(B1209,'Sets Progress'!I:I,'Sets Progress'!I:I,"NOT YET")</f>
        <v>78</v>
      </c>
      <c r="O1209" s="27" t="str">
        <f t="array" ref="O1209">_xlfn.XLOOKUP(L:L,'Overall Progress'!L:L,'Overall Progress'!L:L,"NOT YET")</f>
        <v>NOT YET</v>
      </c>
      <c r="P1209" s="27"/>
      <c r="Q1209" s="27"/>
      <c r="R1209" s="27"/>
      <c r="S1209" s="27"/>
      <c r="T1209" s="27"/>
      <c r="U1209" s="27"/>
      <c r="V1209" s="27"/>
      <c r="W1209" s="27"/>
      <c r="X1209" s="27"/>
      <c r="Y1209" s="27"/>
      <c r="Z1209" s="27"/>
    </row>
    <row r="1210" hidden="1" customHeight="1" spans="1:26">
      <c r="A1210" s="26">
        <v>945</v>
      </c>
      <c r="B1210" s="26">
        <v>78</v>
      </c>
      <c r="C1210" s="26" t="s">
        <v>1281</v>
      </c>
      <c r="D1210" s="26" t="s">
        <v>1721</v>
      </c>
      <c r="E1210" s="26" t="s">
        <v>2889</v>
      </c>
      <c r="F1210" s="26" t="str">
        <f t="shared" si="0"/>
        <v>Temporal Latin Origin</v>
      </c>
      <c r="G1210" s="26">
        <f t="shared" si="3"/>
        <v>7</v>
      </c>
      <c r="H1210" s="26" t="s">
        <v>4076</v>
      </c>
      <c r="I1210" s="26"/>
      <c r="J1210" s="26"/>
      <c r="K1210" s="26"/>
      <c r="L1210" s="26" t="str">
        <f t="shared" si="2"/>
        <v>N</v>
      </c>
      <c r="M1210" s="26" t="str">
        <f>IFERROR(__xludf.DUMMYFUNCTION("GOOGLETRANSLATE(C1210,""EN"",""KN"")"),"ನಾಸೆಂಟ್")</f>
        <v>ನಾಸೆಂಟ್</v>
      </c>
      <c r="N1210" s="26">
        <f t="array" ref="N1210">_xlfn.XLOOKUP(B1210,'Sets Progress'!I:I,'Sets Progress'!I:I,"NOT YET")</f>
        <v>78</v>
      </c>
      <c r="O1210" s="26" t="str">
        <f t="array" ref="O1210">_xlfn.XLOOKUP(L:L,'Overall Progress'!L:L,'Overall Progress'!L:L,"NOT YET")</f>
        <v>NOT YET</v>
      </c>
      <c r="P1210" s="26"/>
      <c r="Q1210" s="26"/>
      <c r="R1210" s="26"/>
      <c r="S1210" s="26"/>
      <c r="T1210" s="26"/>
      <c r="U1210" s="26"/>
      <c r="V1210" s="26"/>
      <c r="W1210" s="26"/>
      <c r="X1210" s="26"/>
      <c r="Y1210" s="26"/>
      <c r="Z1210" s="26"/>
    </row>
    <row r="1211" hidden="1" customHeight="1" spans="1:26">
      <c r="A1211" s="27">
        <v>1223</v>
      </c>
      <c r="B1211" s="27">
        <v>78</v>
      </c>
      <c r="C1211" s="27" t="s">
        <v>1554</v>
      </c>
      <c r="D1211" s="27" t="s">
        <v>2716</v>
      </c>
      <c r="E1211" s="27" t="s">
        <v>2908</v>
      </c>
      <c r="F1211" s="27" t="str">
        <f t="shared" si="0"/>
        <v>Negative Traits Old English Origin</v>
      </c>
      <c r="G1211" s="27">
        <f t="shared" si="3"/>
        <v>8</v>
      </c>
      <c r="H1211" s="27" t="s">
        <v>4077</v>
      </c>
      <c r="I1211" s="27"/>
      <c r="J1211" s="27"/>
      <c r="K1211" s="27"/>
      <c r="L1211" s="27" t="str">
        <f t="shared" si="2"/>
        <v>R</v>
      </c>
      <c r="M1211" s="27" t="str">
        <f>IFERROR(__xludf.DUMMYFUNCTION("GOOGLETRANSLATE(C1211,""EN"",""KN"")"),"ಪ್ರಕ್ಷುಬ್ಧ")</f>
        <v>ಪ್ರಕ್ಷುಬ್ಧ</v>
      </c>
      <c r="N1211" s="27">
        <f t="array" ref="N1211">_xlfn.XLOOKUP(B1211,'Sets Progress'!I:I,'Sets Progress'!I:I,"NOT YET")</f>
        <v>78</v>
      </c>
      <c r="O1211" s="27" t="str">
        <f t="array" ref="O1211">_xlfn.XLOOKUP(L:L,'Overall Progress'!L:L,'Overall Progress'!L:L,"NOT YET")</f>
        <v>NOT YET</v>
      </c>
      <c r="P1211" s="27"/>
      <c r="Q1211" s="27"/>
      <c r="R1211" s="27"/>
      <c r="S1211" s="27"/>
      <c r="T1211" s="27"/>
      <c r="U1211" s="27"/>
      <c r="V1211" s="27"/>
      <c r="W1211" s="27"/>
      <c r="X1211" s="27"/>
      <c r="Y1211" s="27"/>
      <c r="Z1211" s="27"/>
    </row>
    <row r="1212" hidden="1" customHeight="1" spans="1:26">
      <c r="A1212" s="26">
        <v>1278</v>
      </c>
      <c r="B1212" s="26">
        <v>78</v>
      </c>
      <c r="C1212" s="26" t="s">
        <v>1609</v>
      </c>
      <c r="D1212" s="26" t="s">
        <v>2716</v>
      </c>
      <c r="E1212" s="26" t="s">
        <v>2908</v>
      </c>
      <c r="F1212" s="26" t="str">
        <f t="shared" si="0"/>
        <v>Negative Traits Old English Origin</v>
      </c>
      <c r="G1212" s="26">
        <f t="shared" si="3"/>
        <v>5</v>
      </c>
      <c r="H1212" s="26" t="s">
        <v>4078</v>
      </c>
      <c r="I1212" s="26"/>
      <c r="J1212" s="26"/>
      <c r="K1212" s="26"/>
      <c r="L1212" s="26" t="str">
        <f t="shared" si="2"/>
        <v>S</v>
      </c>
      <c r="M1212" s="26" t="str">
        <f>IFERROR(__xludf.DUMMYFUNCTION("GOOGLETRANSLATE(C1212,""EN"",""KN"")"),"ತೋರಿಕೆಯ")</f>
        <v>ತೋರಿಕೆಯ</v>
      </c>
      <c r="N1212" s="26">
        <f t="array" ref="N1212">_xlfn.XLOOKUP(B1212,'Sets Progress'!I:I,'Sets Progress'!I:I,"NOT YET")</f>
        <v>78</v>
      </c>
      <c r="O1212" s="26" t="str">
        <f t="array" ref="O1212">_xlfn.XLOOKUP(L:L,'Overall Progress'!L:L,'Overall Progress'!L:L,"NOT YET")</f>
        <v>NOT YET</v>
      </c>
      <c r="P1212" s="26"/>
      <c r="Q1212" s="26"/>
      <c r="R1212" s="26"/>
      <c r="S1212" s="26"/>
      <c r="T1212" s="26"/>
      <c r="U1212" s="26"/>
      <c r="V1212" s="26"/>
      <c r="W1212" s="26"/>
      <c r="X1212" s="26"/>
      <c r="Y1212" s="26"/>
      <c r="Z1212" s="26"/>
    </row>
    <row r="1213" hidden="1" customHeight="1" spans="1:26">
      <c r="A1213" s="27">
        <v>1336</v>
      </c>
      <c r="B1213" s="27">
        <v>78</v>
      </c>
      <c r="C1213" s="27" t="s">
        <v>1667</v>
      </c>
      <c r="D1213" s="27" t="s">
        <v>1721</v>
      </c>
      <c r="E1213" s="27" t="s">
        <v>2908</v>
      </c>
      <c r="F1213" s="27" t="str">
        <f t="shared" si="0"/>
        <v>Temporal Old English Origin</v>
      </c>
      <c r="G1213" s="27">
        <f t="shared" si="3"/>
        <v>4</v>
      </c>
      <c r="H1213" s="27" t="s">
        <v>4079</v>
      </c>
      <c r="I1213" s="27"/>
      <c r="J1213" s="27"/>
      <c r="K1213" s="27"/>
      <c r="L1213" s="27" t="str">
        <f t="shared" si="2"/>
        <v>S</v>
      </c>
      <c r="M1213" s="27" t="str">
        <f>IFERROR(__xludf.DUMMYFUNCTION("GOOGLETRANSLATE(C1213,""EN"",""KN"")"),"ದಿಗ್ಭ್ರಮೆಗೊಳಿಸು")</f>
        <v>ದಿಗ್ಭ್ರಮೆಗೊಳಿಸು</v>
      </c>
      <c r="N1213" s="27">
        <f t="array" ref="N1213">_xlfn.XLOOKUP(B1213,'Sets Progress'!I:I,'Sets Progress'!I:I,"NOT YET")</f>
        <v>78</v>
      </c>
      <c r="O1213" s="27" t="str">
        <f t="array" ref="O1213">_xlfn.XLOOKUP(L:L,'Overall Progress'!L:L,'Overall Progress'!L:L,"NOT YET")</f>
        <v>NOT YET</v>
      </c>
      <c r="P1213" s="27"/>
      <c r="Q1213" s="27"/>
      <c r="R1213" s="27"/>
      <c r="S1213" s="27"/>
      <c r="T1213" s="27"/>
      <c r="U1213" s="27"/>
      <c r="V1213" s="27"/>
      <c r="W1213" s="27"/>
      <c r="X1213" s="27"/>
      <c r="Y1213" s="27"/>
      <c r="Z1213" s="27"/>
    </row>
    <row r="1214" hidden="1" customHeight="1" spans="1:26">
      <c r="A1214" s="26">
        <v>1346</v>
      </c>
      <c r="B1214" s="26">
        <v>78</v>
      </c>
      <c r="C1214" s="26" t="s">
        <v>1677</v>
      </c>
      <c r="D1214" s="26" t="s">
        <v>2716</v>
      </c>
      <c r="E1214" s="26" t="s">
        <v>2889</v>
      </c>
      <c r="F1214" s="26" t="str">
        <f t="shared" si="0"/>
        <v>Negative Traits Latin Origin</v>
      </c>
      <c r="G1214" s="26">
        <f t="shared" si="3"/>
        <v>10</v>
      </c>
      <c r="H1214" s="26" t="s">
        <v>4080</v>
      </c>
      <c r="I1214" s="26"/>
      <c r="J1214" s="26"/>
      <c r="K1214" s="26"/>
      <c r="L1214" s="26" t="str">
        <f t="shared" si="2"/>
        <v>S</v>
      </c>
      <c r="M1214" s="26" t="str">
        <f>IFERROR(__xludf.DUMMYFUNCTION("GOOGLETRANSLATE(C1214,""EN"",""KN"")"),"ಸಬ್ವರ್ಶನ್")</f>
        <v>ಸಬ್ವರ್ಶನ್</v>
      </c>
      <c r="N1214" s="26">
        <f t="array" ref="N1214">_xlfn.XLOOKUP(B1214,'Sets Progress'!I:I,'Sets Progress'!I:I,"NOT YET")</f>
        <v>78</v>
      </c>
      <c r="O1214" s="26" t="str">
        <f t="array" ref="O1214">_xlfn.XLOOKUP(L:L,'Overall Progress'!L:L,'Overall Progress'!L:L,"NOT YET")</f>
        <v>NOT YET</v>
      </c>
      <c r="P1214" s="26"/>
      <c r="Q1214" s="26"/>
      <c r="R1214" s="26"/>
      <c r="S1214" s="26"/>
      <c r="T1214" s="26"/>
      <c r="U1214" s="26"/>
      <c r="V1214" s="26"/>
      <c r="W1214" s="26"/>
      <c r="X1214" s="26"/>
      <c r="Y1214" s="26"/>
      <c r="Z1214" s="26"/>
    </row>
    <row r="1215" hidden="1" customHeight="1" spans="1:26">
      <c r="A1215" s="27">
        <v>75</v>
      </c>
      <c r="B1215" s="27">
        <v>79</v>
      </c>
      <c r="C1215" s="27" t="s">
        <v>427</v>
      </c>
      <c r="D1215" s="27" t="s">
        <v>1721</v>
      </c>
      <c r="E1215" s="27" t="s">
        <v>2893</v>
      </c>
      <c r="F1215" s="27" t="str">
        <f t="shared" si="0"/>
        <v>Temporal Greek Origin</v>
      </c>
      <c r="G1215" s="27">
        <f t="shared" si="3"/>
        <v>8</v>
      </c>
      <c r="H1215" s="27" t="s">
        <v>4081</v>
      </c>
      <c r="I1215" s="27"/>
      <c r="J1215" s="27"/>
      <c r="K1215" s="27"/>
      <c r="L1215" s="27" t="str">
        <f t="shared" si="2"/>
        <v>A</v>
      </c>
      <c r="M1215" s="27" t="str">
        <f>IFERROR(__xludf.DUMMYFUNCTION("GOOGLETRANSLATE(C1215,""EN"",""KN"")"),"ಉಪಾಖ್ಯಾನ")</f>
        <v>ಉಪಾಖ್ಯಾನ</v>
      </c>
      <c r="N1215" s="27">
        <f t="array" ref="N1215">_xlfn.XLOOKUP(B1215,'Sets Progress'!I:I,'Sets Progress'!I:I,"NOT YET")</f>
        <v>79</v>
      </c>
      <c r="O1215" s="27" t="str">
        <f t="array" ref="O1215">_xlfn.XLOOKUP(L:L,'Overall Progress'!L:L,'Overall Progress'!L:L,"NOT YET")</f>
        <v>NOT YET</v>
      </c>
      <c r="P1215" s="27"/>
      <c r="Q1215" s="27"/>
      <c r="R1215" s="27"/>
      <c r="S1215" s="27"/>
      <c r="T1215" s="27"/>
      <c r="U1215" s="27"/>
      <c r="V1215" s="27"/>
      <c r="W1215" s="27"/>
      <c r="X1215" s="27"/>
      <c r="Y1215" s="27"/>
      <c r="Z1215" s="27"/>
    </row>
    <row r="1216" hidden="1" customHeight="1" spans="1:26">
      <c r="A1216" s="26">
        <v>179</v>
      </c>
      <c r="B1216" s="26">
        <v>79</v>
      </c>
      <c r="C1216" s="26" t="s">
        <v>529</v>
      </c>
      <c r="D1216" s="26" t="s">
        <v>2716</v>
      </c>
      <c r="E1216" s="26" t="s">
        <v>2899</v>
      </c>
      <c r="F1216" s="26" t="str">
        <f t="shared" si="0"/>
        <v>Negative Traits Middle English Origin</v>
      </c>
      <c r="G1216" s="26">
        <f t="shared" si="3"/>
        <v>8</v>
      </c>
      <c r="H1216" s="26" t="s">
        <v>4082</v>
      </c>
      <c r="I1216" s="26"/>
      <c r="J1216" s="26"/>
      <c r="K1216" s="26"/>
      <c r="L1216" s="26" t="str">
        <f t="shared" si="2"/>
        <v>B</v>
      </c>
      <c r="M1216" s="26" t="str">
        <f>IFERROR(__xludf.DUMMYFUNCTION("GOOGLETRANSLATE(C1216,""EN"",""KN"")"),"ಬಡಿವಾರ")</f>
        <v>ಬಡಿವಾರ</v>
      </c>
      <c r="N1216" s="26">
        <f t="array" ref="N1216">_xlfn.XLOOKUP(B1216,'Sets Progress'!I:I,'Sets Progress'!I:I,"NOT YET")</f>
        <v>79</v>
      </c>
      <c r="O1216" s="26" t="str">
        <f t="array" ref="O1216">_xlfn.XLOOKUP(L:L,'Overall Progress'!L:L,'Overall Progress'!L:L,"NOT YET")</f>
        <v>NOT YET</v>
      </c>
      <c r="P1216" s="26"/>
      <c r="Q1216" s="26"/>
      <c r="R1216" s="26"/>
      <c r="S1216" s="26"/>
      <c r="T1216" s="26"/>
      <c r="U1216" s="26"/>
      <c r="V1216" s="26"/>
      <c r="W1216" s="26"/>
      <c r="X1216" s="26"/>
      <c r="Y1216" s="26"/>
      <c r="Z1216" s="26"/>
    </row>
    <row r="1217" hidden="1" customHeight="1" spans="1:26">
      <c r="A1217" s="27">
        <v>259</v>
      </c>
      <c r="B1217" s="27">
        <v>79</v>
      </c>
      <c r="C1217" s="27" t="s">
        <v>612</v>
      </c>
      <c r="D1217" s="27" t="s">
        <v>2717</v>
      </c>
      <c r="E1217" s="27" t="s">
        <v>2889</v>
      </c>
      <c r="F1217" s="27" t="str">
        <f t="shared" si="0"/>
        <v>Positive Traits Latin Origin</v>
      </c>
      <c r="G1217" s="27">
        <f t="shared" si="3"/>
        <v>11</v>
      </c>
      <c r="H1217" s="27" t="s">
        <v>4083</v>
      </c>
      <c r="I1217" s="27"/>
      <c r="J1217" s="27"/>
      <c r="K1217" s="27"/>
      <c r="L1217" s="27" t="str">
        <f t="shared" si="2"/>
        <v>C</v>
      </c>
      <c r="M1217" s="27" t="str">
        <f>IFERROR(__xludf.DUMMYFUNCTION("GOOGLETRANSLATE(C1217,""EN"",""KN"")"),"ಸಮ್ಮತಿಸಿ")</f>
        <v>ಸಮ್ಮತಿಸಿ</v>
      </c>
      <c r="N1217" s="27">
        <f t="array" ref="N1217">_xlfn.XLOOKUP(B1217,'Sets Progress'!I:I,'Sets Progress'!I:I,"NOT YET")</f>
        <v>79</v>
      </c>
      <c r="O1217" s="27" t="str">
        <f t="array" ref="O1217">_xlfn.XLOOKUP(L:L,'Overall Progress'!L:L,'Overall Progress'!L:L,"NOT YET")</f>
        <v>NOT YET</v>
      </c>
      <c r="P1217" s="27"/>
      <c r="Q1217" s="27"/>
      <c r="R1217" s="27"/>
      <c r="S1217" s="27"/>
      <c r="T1217" s="27"/>
      <c r="U1217" s="27"/>
      <c r="V1217" s="27"/>
      <c r="W1217" s="27"/>
      <c r="X1217" s="27"/>
      <c r="Y1217" s="27"/>
      <c r="Z1217" s="27"/>
    </row>
    <row r="1218" hidden="1" customHeight="1" spans="1:26">
      <c r="A1218" s="26">
        <v>720</v>
      </c>
      <c r="B1218" s="26">
        <v>79</v>
      </c>
      <c r="C1218" s="26" t="s">
        <v>1062</v>
      </c>
      <c r="D1218" s="26" t="s">
        <v>1721</v>
      </c>
      <c r="E1218" s="26" t="s">
        <v>2889</v>
      </c>
      <c r="F1218" s="26" t="str">
        <f t="shared" si="0"/>
        <v>Temporal Latin Origin</v>
      </c>
      <c r="G1218" s="26">
        <f t="shared" si="3"/>
        <v>6</v>
      </c>
      <c r="H1218" s="26" t="s">
        <v>4084</v>
      </c>
      <c r="I1218" s="26"/>
      <c r="J1218" s="26"/>
      <c r="K1218" s="26"/>
      <c r="L1218" s="26" t="str">
        <f t="shared" si="2"/>
        <v>I</v>
      </c>
      <c r="M1218" s="26" t="str">
        <f>IFERROR(__xludf.DUMMYFUNCTION("GOOGLETRANSLATE(C1218,""EN"",""KN"")"),"ಅಡ್ಡಿಪಡಿಸಿ")</f>
        <v>ಅಡ್ಡಿಪಡಿಸಿ</v>
      </c>
      <c r="N1218" s="26">
        <f t="array" ref="N1218">_xlfn.XLOOKUP(B1218,'Sets Progress'!I:I,'Sets Progress'!I:I,"NOT YET")</f>
        <v>79</v>
      </c>
      <c r="O1218" s="26" t="str">
        <f t="array" ref="O1218">_xlfn.XLOOKUP(L:L,'Overall Progress'!L:L,'Overall Progress'!L:L,"NOT YET")</f>
        <v>NOT YET</v>
      </c>
      <c r="P1218" s="26"/>
      <c r="Q1218" s="26"/>
      <c r="R1218" s="26"/>
      <c r="S1218" s="26"/>
      <c r="T1218" s="26"/>
      <c r="U1218" s="26"/>
      <c r="V1218" s="26"/>
      <c r="W1218" s="26"/>
      <c r="X1218" s="26"/>
      <c r="Y1218" s="26"/>
      <c r="Z1218" s="26"/>
    </row>
    <row r="1219" hidden="1" customHeight="1" spans="1:26">
      <c r="A1219" s="27">
        <v>1057</v>
      </c>
      <c r="B1219" s="27">
        <v>79</v>
      </c>
      <c r="C1219" s="27" t="s">
        <v>1392</v>
      </c>
      <c r="D1219" s="27" t="s">
        <v>2717</v>
      </c>
      <c r="E1219" s="27" t="s">
        <v>2889</v>
      </c>
      <c r="F1219" s="27" t="str">
        <f t="shared" si="0"/>
        <v>Positive Traits Latin Origin</v>
      </c>
      <c r="G1219" s="27">
        <f t="shared" si="3"/>
        <v>9</v>
      </c>
      <c r="H1219" s="27" t="s">
        <v>4085</v>
      </c>
      <c r="I1219" s="27"/>
      <c r="J1219" s="27"/>
      <c r="K1219" s="27"/>
      <c r="L1219" s="27" t="str">
        <f t="shared" si="2"/>
        <v>P</v>
      </c>
      <c r="M1219" s="27" t="str">
        <f>IFERROR(__xludf.DUMMYFUNCTION("GOOGLETRANSLATE(C1219,""EN"",""KN"")"),"ಸಂಬಂಧಿತ")</f>
        <v>ಸಂಬಂಧಿತ</v>
      </c>
      <c r="N1219" s="27">
        <f t="array" ref="N1219">_xlfn.XLOOKUP(B1219,'Sets Progress'!I:I,'Sets Progress'!I:I,"NOT YET")</f>
        <v>79</v>
      </c>
      <c r="O1219" s="27" t="str">
        <f t="array" ref="O1219">_xlfn.XLOOKUP(L:L,'Overall Progress'!L:L,'Overall Progress'!L:L,"NOT YET")</f>
        <v>NOT YET</v>
      </c>
      <c r="P1219" s="27"/>
      <c r="Q1219" s="27"/>
      <c r="R1219" s="27"/>
      <c r="S1219" s="27"/>
      <c r="T1219" s="27"/>
      <c r="U1219" s="27"/>
      <c r="V1219" s="27"/>
      <c r="W1219" s="27"/>
      <c r="X1219" s="27"/>
      <c r="Y1219" s="27"/>
      <c r="Z1219" s="27"/>
    </row>
    <row r="1220" hidden="1" customHeight="1" spans="1:26">
      <c r="A1220" s="26">
        <v>1161</v>
      </c>
      <c r="B1220" s="26">
        <v>79</v>
      </c>
      <c r="C1220" s="26" t="s">
        <v>1492</v>
      </c>
      <c r="D1220" s="26" t="s">
        <v>2716</v>
      </c>
      <c r="E1220" s="26" t="s">
        <v>2987</v>
      </c>
      <c r="F1220" s="26" t="str">
        <f t="shared" si="0"/>
        <v>Negative Traits Spanish Origin</v>
      </c>
      <c r="G1220" s="26">
        <f t="shared" si="3"/>
        <v>8</v>
      </c>
      <c r="H1220" s="26" t="s">
        <v>4086</v>
      </c>
      <c r="I1220" s="26"/>
      <c r="J1220" s="26"/>
      <c r="K1220" s="26"/>
      <c r="L1220" s="26" t="str">
        <f t="shared" si="2"/>
        <v>Q</v>
      </c>
      <c r="M1220" s="26" t="str">
        <f>IFERROR(__xludf.DUMMYFUNCTION("GOOGLETRANSLATE(C1220,""EN"",""KN"")"),"ಕ್ವಿಕ್ಸೋಟಿಕ್")</f>
        <v>ಕ್ವಿಕ್ಸೋಟಿಕ್</v>
      </c>
      <c r="N1220" s="26">
        <f t="array" ref="N1220">_xlfn.XLOOKUP(B1220,'Sets Progress'!I:I,'Sets Progress'!I:I,"NOT YET")</f>
        <v>79</v>
      </c>
      <c r="O1220" s="26" t="str">
        <f t="array" ref="O1220">_xlfn.XLOOKUP(L:L,'Overall Progress'!L:L,'Overall Progress'!L:L,"NOT YET")</f>
        <v>NOT YET</v>
      </c>
      <c r="P1220" s="26"/>
      <c r="Q1220" s="26"/>
      <c r="R1220" s="26"/>
      <c r="S1220" s="26"/>
      <c r="T1220" s="26"/>
      <c r="U1220" s="26"/>
      <c r="V1220" s="26"/>
      <c r="W1220" s="26"/>
      <c r="X1220" s="26"/>
      <c r="Y1220" s="26"/>
      <c r="Z1220" s="26"/>
    </row>
    <row r="1221" hidden="1" customHeight="1" spans="1:26">
      <c r="A1221" s="27">
        <v>1166</v>
      </c>
      <c r="B1221" s="27">
        <v>79</v>
      </c>
      <c r="C1221" s="27" t="s">
        <v>1497</v>
      </c>
      <c r="D1221" s="27" t="s">
        <v>1721</v>
      </c>
      <c r="E1221" s="27" t="s">
        <v>2921</v>
      </c>
      <c r="F1221" s="27" t="str">
        <f t="shared" si="0"/>
        <v>Temporal Unknown Origin</v>
      </c>
      <c r="G1221" s="27">
        <f t="shared" si="3"/>
        <v>6</v>
      </c>
      <c r="H1221" s="27" t="s">
        <v>4087</v>
      </c>
      <c r="I1221" s="27"/>
      <c r="J1221" s="27"/>
      <c r="K1221" s="27" t="s">
        <v>4088</v>
      </c>
      <c r="L1221" s="27" t="str">
        <f t="shared" si="2"/>
        <v>R</v>
      </c>
      <c r="M1221" s="27" t="str">
        <f>IFERROR(__xludf.DUMMYFUNCTION("GOOGLETRANSLATE(C1221,""EN"",""KN"")"),"ರಾಂಬಲ್")</f>
        <v>ರಾಂಬಲ್</v>
      </c>
      <c r="N1221" s="27">
        <f t="array" ref="N1221">_xlfn.XLOOKUP(B1221,'Sets Progress'!I:I,'Sets Progress'!I:I,"NOT YET")</f>
        <v>79</v>
      </c>
      <c r="O1221" s="27" t="str">
        <f t="array" ref="O1221">_xlfn.XLOOKUP(L:L,'Overall Progress'!L:L,'Overall Progress'!L:L,"NOT YET")</f>
        <v>NOT YET</v>
      </c>
      <c r="P1221" s="27"/>
      <c r="Q1221" s="27"/>
      <c r="R1221" s="27"/>
      <c r="S1221" s="27"/>
      <c r="T1221" s="27"/>
      <c r="U1221" s="27"/>
      <c r="V1221" s="27"/>
      <c r="W1221" s="27"/>
      <c r="X1221" s="27"/>
      <c r="Y1221" s="27"/>
      <c r="Z1221" s="27"/>
    </row>
    <row r="1222" hidden="1" customHeight="1" spans="1:26">
      <c r="A1222" s="26">
        <v>1239</v>
      </c>
      <c r="B1222" s="26">
        <v>79</v>
      </c>
      <c r="C1222" s="26" t="s">
        <v>1570</v>
      </c>
      <c r="D1222" s="26" t="s">
        <v>2717</v>
      </c>
      <c r="E1222" s="26" t="s">
        <v>2889</v>
      </c>
      <c r="F1222" s="26" t="str">
        <f t="shared" si="0"/>
        <v>Positive Traits Latin Origin</v>
      </c>
      <c r="G1222" s="26">
        <f t="shared" si="3"/>
        <v>11</v>
      </c>
      <c r="H1222" s="26" t="s">
        <v>4089</v>
      </c>
      <c r="I1222" s="26"/>
      <c r="J1222" s="26"/>
      <c r="K1222" s="26"/>
      <c r="L1222" s="26" t="str">
        <f t="shared" si="2"/>
        <v>R</v>
      </c>
      <c r="M1222" s="26" t="str">
        <f>IFERROR(__xludf.DUMMYFUNCTION("GOOGLETRANSLATE(C1222,""EN"",""KN"")"),"ರೂಡಿಮೆಂಟರಿ")</f>
        <v>ರೂಡಿಮೆಂಟರಿ</v>
      </c>
      <c r="N1222" s="26">
        <f t="array" ref="N1222">_xlfn.XLOOKUP(B1222,'Sets Progress'!I:I,'Sets Progress'!I:I,"NOT YET")</f>
        <v>79</v>
      </c>
      <c r="O1222" s="26" t="str">
        <f t="array" ref="O1222">_xlfn.XLOOKUP(L:L,'Overall Progress'!L:L,'Overall Progress'!L:L,"NOT YET")</f>
        <v>NOT YET</v>
      </c>
      <c r="P1222" s="26"/>
      <c r="Q1222" s="26"/>
      <c r="R1222" s="26"/>
      <c r="S1222" s="26"/>
      <c r="T1222" s="26"/>
      <c r="U1222" s="26"/>
      <c r="V1222" s="26"/>
      <c r="W1222" s="26"/>
      <c r="X1222" s="26"/>
      <c r="Y1222" s="26"/>
      <c r="Z1222" s="26"/>
    </row>
    <row r="1223" hidden="1" customHeight="1" spans="1:26">
      <c r="A1223" s="27">
        <v>1264</v>
      </c>
      <c r="B1223" s="27">
        <v>79</v>
      </c>
      <c r="C1223" s="27" t="s">
        <v>1595</v>
      </c>
      <c r="D1223" s="27" t="s">
        <v>2717</v>
      </c>
      <c r="E1223" s="27" t="s">
        <v>2908</v>
      </c>
      <c r="F1223" s="27" t="str">
        <f t="shared" si="0"/>
        <v>Positive Traits Old English Origin</v>
      </c>
      <c r="G1223" s="27">
        <f t="shared" si="3"/>
        <v>12</v>
      </c>
      <c r="H1223" s="27" t="s">
        <v>4090</v>
      </c>
      <c r="I1223" s="27"/>
      <c r="J1223" s="27"/>
      <c r="K1223" s="27"/>
      <c r="L1223" s="27" t="str">
        <f t="shared" si="2"/>
        <v>S</v>
      </c>
      <c r="M1223" s="27" t="str">
        <f>IFERROR(__xludf.DUMMYFUNCTION("GOOGLETRANSLATE(C1223,""EN"",""KN"")"),"ಸ್ವಯಂ ಸಾಕ್ಷಿ")</f>
        <v>ಸ್ವಯಂ ಸಾಕ್ಷಿ</v>
      </c>
      <c r="N1223" s="27">
        <f t="array" ref="N1223">_xlfn.XLOOKUP(B1223,'Sets Progress'!I:I,'Sets Progress'!I:I,"NOT YET")</f>
        <v>79</v>
      </c>
      <c r="O1223" s="27" t="str">
        <f t="array" ref="O1223">_xlfn.XLOOKUP(L:L,'Overall Progress'!L:L,'Overall Progress'!L:L,"NOT YET")</f>
        <v>NOT YET</v>
      </c>
      <c r="P1223" s="27"/>
      <c r="Q1223" s="27"/>
      <c r="R1223" s="27"/>
      <c r="S1223" s="27"/>
      <c r="T1223" s="27"/>
      <c r="U1223" s="27"/>
      <c r="V1223" s="27"/>
      <c r="W1223" s="27"/>
      <c r="X1223" s="27"/>
      <c r="Y1223" s="27"/>
      <c r="Z1223" s="27"/>
    </row>
    <row r="1224" hidden="1" customHeight="1" spans="1:26">
      <c r="A1224" s="26">
        <v>1385</v>
      </c>
      <c r="B1224" s="26">
        <v>79</v>
      </c>
      <c r="C1224" s="26" t="s">
        <v>1716</v>
      </c>
      <c r="D1224" s="26" t="s">
        <v>2716</v>
      </c>
      <c r="E1224" s="26" t="s">
        <v>2889</v>
      </c>
      <c r="F1224" s="26" t="str">
        <f t="shared" si="0"/>
        <v>Negative Traits Latin Origin</v>
      </c>
      <c r="G1224" s="26">
        <f t="shared" si="3"/>
        <v>11</v>
      </c>
      <c r="H1224" s="26" t="s">
        <v>4091</v>
      </c>
      <c r="I1224" s="26"/>
      <c r="J1224" s="26"/>
      <c r="K1224" s="26"/>
      <c r="L1224" s="26" t="str">
        <f t="shared" si="2"/>
        <v>T</v>
      </c>
      <c r="M1224" s="26" t="str">
        <f>IFERROR(__xludf.DUMMYFUNCTION("GOOGLETRANSLATE(C1224,""EN"",""KN"")"),"ಟೆಮೆರೇರಿಯಸ್")</f>
        <v>ಟೆಮೆರೇರಿಯಸ್</v>
      </c>
      <c r="N1224" s="26">
        <f t="array" ref="N1224">_xlfn.XLOOKUP(B1224,'Sets Progress'!I:I,'Sets Progress'!I:I,"NOT YET")</f>
        <v>79</v>
      </c>
      <c r="O1224" s="26" t="str">
        <f t="array" ref="O1224">_xlfn.XLOOKUP(L:L,'Overall Progress'!L:L,'Overall Progress'!L:L,"NOT YET")</f>
        <v>NOT YET</v>
      </c>
      <c r="P1224" s="26"/>
      <c r="Q1224" s="26"/>
      <c r="R1224" s="26"/>
      <c r="S1224" s="26"/>
      <c r="T1224" s="26"/>
      <c r="U1224" s="26"/>
      <c r="V1224" s="26"/>
      <c r="W1224" s="26"/>
      <c r="X1224" s="26"/>
      <c r="Y1224" s="26"/>
      <c r="Z1224" s="26"/>
    </row>
    <row r="1225" hidden="1" customHeight="1" spans="1:26">
      <c r="A1225" s="27">
        <v>1433</v>
      </c>
      <c r="B1225" s="27">
        <v>79</v>
      </c>
      <c r="C1225" s="27" t="s">
        <v>1762</v>
      </c>
      <c r="D1225" s="27" t="s">
        <v>2716</v>
      </c>
      <c r="E1225" s="27" t="s">
        <v>2889</v>
      </c>
      <c r="F1225" s="27" t="str">
        <f t="shared" si="0"/>
        <v>Negative Traits Latin Origin</v>
      </c>
      <c r="G1225" s="27">
        <f t="shared" si="3"/>
        <v>10</v>
      </c>
      <c r="H1225" s="27" t="s">
        <v>4092</v>
      </c>
      <c r="I1225" s="27"/>
      <c r="J1225" s="27"/>
      <c r="K1225" s="27"/>
      <c r="L1225" s="27" t="str">
        <f t="shared" si="2"/>
        <v>T</v>
      </c>
      <c r="M1225" s="27" t="str">
        <f>IFERROR(__xludf.DUMMYFUNCTION("GOOGLETRANSLATE(C1225,""EN"",""KN"")"),"ದಬ್ಬಾಳಿಕೆಯ")</f>
        <v>ದಬ್ಬಾಳಿಕೆಯ</v>
      </c>
      <c r="N1225" s="27">
        <f t="array" ref="N1225">_xlfn.XLOOKUP(B1225,'Sets Progress'!I:I,'Sets Progress'!I:I,"NOT YET")</f>
        <v>79</v>
      </c>
      <c r="O1225" s="27" t="str">
        <f t="array" ref="O1225">_xlfn.XLOOKUP(L:L,'Overall Progress'!L:L,'Overall Progress'!L:L,"NOT YET")</f>
        <v>NOT YET</v>
      </c>
      <c r="P1225" s="27"/>
      <c r="Q1225" s="27"/>
      <c r="R1225" s="27"/>
      <c r="S1225" s="27"/>
      <c r="T1225" s="27"/>
      <c r="U1225" s="27"/>
      <c r="V1225" s="27"/>
      <c r="W1225" s="27"/>
      <c r="X1225" s="27"/>
      <c r="Y1225" s="27"/>
      <c r="Z1225" s="27"/>
    </row>
    <row r="1226" hidden="1" customHeight="1" spans="1:26">
      <c r="A1226" s="26">
        <v>254</v>
      </c>
      <c r="B1226" s="26">
        <v>80</v>
      </c>
      <c r="C1226" s="26" t="s">
        <v>605</v>
      </c>
      <c r="D1226" s="26" t="s">
        <v>2716</v>
      </c>
      <c r="E1226" s="26" t="s">
        <v>2889</v>
      </c>
      <c r="F1226" s="26" t="str">
        <f t="shared" si="0"/>
        <v>Negative Traits Latin Origin</v>
      </c>
      <c r="G1226" s="26">
        <f t="shared" si="3"/>
        <v>7</v>
      </c>
      <c r="H1226" s="26" t="s">
        <v>4093</v>
      </c>
      <c r="I1226" s="26"/>
      <c r="J1226" s="26"/>
      <c r="K1226" s="26"/>
      <c r="L1226" s="26" t="str">
        <f t="shared" si="2"/>
        <v>C</v>
      </c>
      <c r="M1226" s="26" t="str">
        <f>IFERROR(__xludf.DUMMYFUNCTION("GOOGLETRANSLATE(C1226,""EN"",""KN"")"),"ಕೂಟ")</f>
        <v>ಕೂಟ</v>
      </c>
      <c r="N1226" s="26">
        <f t="array" ref="N1226">_xlfn.XLOOKUP(B1226,'Sets Progress'!I:I,'Sets Progress'!I:I,"NOT YET")</f>
        <v>80</v>
      </c>
      <c r="O1226" s="26" t="str">
        <f t="array" ref="O1226">_xlfn.XLOOKUP(L:L,'Overall Progress'!L:L,'Overall Progress'!L:L,"NOT YET")</f>
        <v>NOT YET</v>
      </c>
      <c r="P1226" s="26"/>
      <c r="Q1226" s="26"/>
      <c r="R1226" s="26"/>
      <c r="S1226" s="26"/>
      <c r="T1226" s="26"/>
      <c r="U1226" s="26"/>
      <c r="V1226" s="26"/>
      <c r="W1226" s="26"/>
      <c r="X1226" s="26"/>
      <c r="Y1226" s="26"/>
      <c r="Z1226" s="26"/>
    </row>
    <row r="1227" hidden="1" customHeight="1" spans="1:26">
      <c r="A1227" s="27">
        <v>362</v>
      </c>
      <c r="B1227" s="27">
        <v>80</v>
      </c>
      <c r="C1227" s="27" t="s">
        <v>712</v>
      </c>
      <c r="D1227" s="27" t="s">
        <v>3234</v>
      </c>
      <c r="E1227" s="27" t="s">
        <v>2889</v>
      </c>
      <c r="F1227" s="27" t="str">
        <f t="shared" si="0"/>
        <v>Religious Latin Origin</v>
      </c>
      <c r="G1227" s="27">
        <f t="shared" si="3"/>
        <v>5</v>
      </c>
      <c r="H1227" s="27" t="s">
        <v>4094</v>
      </c>
      <c r="I1227" s="27"/>
      <c r="J1227" s="27"/>
      <c r="K1227" s="27"/>
      <c r="L1227" s="27" t="str">
        <f t="shared" si="2"/>
        <v>D</v>
      </c>
      <c r="M1227" s="27" t="str">
        <f>IFERROR(__xludf.DUMMYFUNCTION("GOOGLETRANSLATE(C1227,""EN"",""KN"")"),"ದೈವೀಕರಿಸು")</f>
        <v>ದೈವೀಕರಿಸು</v>
      </c>
      <c r="N1227" s="27">
        <f t="array" ref="N1227">_xlfn.XLOOKUP(B1227,'Sets Progress'!I:I,'Sets Progress'!I:I,"NOT YET")</f>
        <v>80</v>
      </c>
      <c r="O1227" s="27" t="str">
        <f t="array" ref="O1227">_xlfn.XLOOKUP(L:L,'Overall Progress'!L:L,'Overall Progress'!L:L,"NOT YET")</f>
        <v>NOT YET</v>
      </c>
      <c r="P1227" s="27"/>
      <c r="Q1227" s="27"/>
      <c r="R1227" s="27"/>
      <c r="S1227" s="27"/>
      <c r="T1227" s="27"/>
      <c r="U1227" s="27"/>
      <c r="V1227" s="27"/>
      <c r="W1227" s="27"/>
      <c r="X1227" s="27"/>
      <c r="Y1227" s="27"/>
      <c r="Z1227" s="27"/>
    </row>
    <row r="1228" hidden="1" customHeight="1" spans="1:26">
      <c r="A1228" s="26">
        <v>808</v>
      </c>
      <c r="B1228" s="26">
        <v>80</v>
      </c>
      <c r="C1228" s="26" t="s">
        <v>1148</v>
      </c>
      <c r="D1228" s="26" t="s">
        <v>1721</v>
      </c>
      <c r="E1228" s="26" t="s">
        <v>2889</v>
      </c>
      <c r="F1228" s="26" t="str">
        <f t="shared" si="0"/>
        <v>Temporal Latin Origin</v>
      </c>
      <c r="G1228" s="26">
        <f t="shared" si="3"/>
        <v>10</v>
      </c>
      <c r="H1228" s="26" t="s">
        <v>4095</v>
      </c>
      <c r="I1228" s="26"/>
      <c r="J1228" s="26"/>
      <c r="K1228" s="26"/>
      <c r="L1228" s="26" t="str">
        <f t="shared" si="2"/>
        <v>I</v>
      </c>
      <c r="M1228" s="26" t="str">
        <f>IFERROR(__xludf.DUMMYFUNCTION("GOOGLETRANSLATE(C1228,""EN"",""KN"")"),"ಇಂಟರ್ವೀವ್")</f>
        <v>ಇಂಟರ್ವೀವ್</v>
      </c>
      <c r="N1228" s="26">
        <f t="array" ref="N1228">_xlfn.XLOOKUP(B1228,'Sets Progress'!I:I,'Sets Progress'!I:I,"NOT YET")</f>
        <v>80</v>
      </c>
      <c r="O1228" s="26" t="str">
        <f t="array" ref="O1228">_xlfn.XLOOKUP(L:L,'Overall Progress'!L:L,'Overall Progress'!L:L,"NOT YET")</f>
        <v>NOT YET</v>
      </c>
      <c r="P1228" s="26"/>
      <c r="Q1228" s="26"/>
      <c r="R1228" s="26"/>
      <c r="S1228" s="26"/>
      <c r="T1228" s="26"/>
      <c r="U1228" s="26"/>
      <c r="V1228" s="26"/>
      <c r="W1228" s="26"/>
      <c r="X1228" s="26"/>
      <c r="Y1228" s="26"/>
      <c r="Z1228" s="26"/>
    </row>
    <row r="1229" hidden="1" customHeight="1" spans="1:26">
      <c r="A1229" s="27">
        <v>893</v>
      </c>
      <c r="B1229" s="27">
        <v>80</v>
      </c>
      <c r="C1229" s="27" t="s">
        <v>1230</v>
      </c>
      <c r="D1229" s="27" t="s">
        <v>1721</v>
      </c>
      <c r="E1229" s="27" t="s">
        <v>2908</v>
      </c>
      <c r="F1229" s="27" t="str">
        <f t="shared" si="0"/>
        <v>Temporal Old English Origin</v>
      </c>
      <c r="G1229" s="27">
        <f t="shared" si="3"/>
        <v>10</v>
      </c>
      <c r="H1229" s="27" t="s">
        <v>4096</v>
      </c>
      <c r="I1229" s="27"/>
      <c r="J1229" s="27"/>
      <c r="K1229" s="27"/>
      <c r="L1229" s="27" t="str">
        <f t="shared" si="2"/>
        <v>M</v>
      </c>
      <c r="M1229" s="27" t="str">
        <f>IFERROR(__xludf.DUMMYFUNCTION("GOOGLETRANSLATE(C1229,""EN"",""KN"")"),"ಮಾರುಕಟ್ಟೆ ಮಾಡಬಹುದಾದ")</f>
        <v>ಮಾರುಕಟ್ಟೆ ಮಾಡಬಹುದಾದ</v>
      </c>
      <c r="N1229" s="27">
        <f t="array" ref="N1229">_xlfn.XLOOKUP(B1229,'Sets Progress'!I:I,'Sets Progress'!I:I,"NOT YET")</f>
        <v>80</v>
      </c>
      <c r="O1229" s="27" t="str">
        <f t="array" ref="O1229">_xlfn.XLOOKUP(L:L,'Overall Progress'!L:L,'Overall Progress'!L:L,"NOT YET")</f>
        <v>NOT YET</v>
      </c>
      <c r="P1229" s="27"/>
      <c r="Q1229" s="27"/>
      <c r="R1229" s="27"/>
      <c r="S1229" s="27"/>
      <c r="T1229" s="27"/>
      <c r="U1229" s="27"/>
      <c r="V1229" s="27"/>
      <c r="W1229" s="27"/>
      <c r="X1229" s="27"/>
      <c r="Y1229" s="27"/>
      <c r="Z1229" s="27"/>
    </row>
    <row r="1230" hidden="1" customHeight="1" spans="1:26">
      <c r="A1230" s="26">
        <v>990</v>
      </c>
      <c r="B1230" s="26">
        <v>80</v>
      </c>
      <c r="C1230" s="26" t="s">
        <v>1325</v>
      </c>
      <c r="D1230" s="26" t="s">
        <v>2717</v>
      </c>
      <c r="E1230" s="26" t="s">
        <v>2889</v>
      </c>
      <c r="F1230" s="26" t="str">
        <f t="shared" si="0"/>
        <v>Positive Traits Latin Origin</v>
      </c>
      <c r="G1230" s="26">
        <f t="shared" si="3"/>
        <v>7</v>
      </c>
      <c r="H1230" s="26" t="s">
        <v>4097</v>
      </c>
      <c r="I1230" s="26"/>
      <c r="J1230" s="26"/>
      <c r="K1230" s="26"/>
      <c r="L1230" s="26" t="str">
        <f t="shared" si="2"/>
        <v>O</v>
      </c>
      <c r="M1230" s="26" t="str">
        <f>IFERROR(__xludf.DUMMYFUNCTION("GOOGLETRANSLATE(C1230,""EN"",""KN"")"),"ಐಶ್ವರ್ಯವಂತ")</f>
        <v>ಐಶ್ವರ್ಯವಂತ</v>
      </c>
      <c r="N1230" s="26">
        <f t="array" ref="N1230">_xlfn.XLOOKUP(B1230,'Sets Progress'!I:I,'Sets Progress'!I:I,"NOT YET")</f>
        <v>80</v>
      </c>
      <c r="O1230" s="26" t="str">
        <f t="array" ref="O1230">_xlfn.XLOOKUP(L:L,'Overall Progress'!L:L,'Overall Progress'!L:L,"NOT YET")</f>
        <v>NOT YET</v>
      </c>
      <c r="P1230" s="26"/>
      <c r="Q1230" s="26"/>
      <c r="R1230" s="26"/>
      <c r="S1230" s="26"/>
      <c r="T1230" s="26"/>
      <c r="U1230" s="26"/>
      <c r="V1230" s="26"/>
      <c r="W1230" s="26"/>
      <c r="X1230" s="26"/>
      <c r="Y1230" s="26"/>
      <c r="Z1230" s="26"/>
    </row>
    <row r="1231" hidden="1" customHeight="1" spans="1:26">
      <c r="A1231" s="27">
        <v>996</v>
      </c>
      <c r="B1231" s="27">
        <v>80</v>
      </c>
      <c r="C1231" s="27" t="s">
        <v>1331</v>
      </c>
      <c r="D1231" s="27" t="s">
        <v>1721</v>
      </c>
      <c r="E1231" s="27" t="s">
        <v>2908</v>
      </c>
      <c r="F1231" s="27" t="str">
        <f t="shared" si="0"/>
        <v>Temporal Old English Origin</v>
      </c>
      <c r="G1231" s="27">
        <f t="shared" si="3"/>
        <v>8</v>
      </c>
      <c r="H1231" s="27" t="s">
        <v>4098</v>
      </c>
      <c r="I1231" s="27"/>
      <c r="J1231" s="27"/>
      <c r="K1231" s="27"/>
      <c r="L1231" s="27" t="str">
        <f t="shared" si="2"/>
        <v>O</v>
      </c>
      <c r="M1231" s="27" t="str">
        <f>IFERROR(__xludf.DUMMYFUNCTION("GOOGLETRANSLATE(C1231,""EN"",""KN"")"),"ಹಳತಾಗಿದೆ")</f>
        <v>ಹಳತಾಗಿದೆ</v>
      </c>
      <c r="N1231" s="27">
        <f t="array" ref="N1231">_xlfn.XLOOKUP(B1231,'Sets Progress'!I:I,'Sets Progress'!I:I,"NOT YET")</f>
        <v>80</v>
      </c>
      <c r="O1231" s="27" t="str">
        <f t="array" ref="O1231">_xlfn.XLOOKUP(L:L,'Overall Progress'!L:L,'Overall Progress'!L:L,"NOT YET")</f>
        <v>NOT YET</v>
      </c>
      <c r="P1231" s="27"/>
      <c r="Q1231" s="27"/>
      <c r="R1231" s="27"/>
      <c r="S1231" s="27"/>
      <c r="T1231" s="27"/>
      <c r="U1231" s="27"/>
      <c r="V1231" s="27"/>
      <c r="W1231" s="27"/>
      <c r="X1231" s="27"/>
      <c r="Y1231" s="27"/>
      <c r="Z1231" s="27"/>
    </row>
    <row r="1232" hidden="1" customHeight="1" spans="1:26">
      <c r="A1232" s="26">
        <v>1134</v>
      </c>
      <c r="B1232" s="26">
        <v>80</v>
      </c>
      <c r="C1232" s="26" t="s">
        <v>1466</v>
      </c>
      <c r="D1232" s="26" t="s">
        <v>2717</v>
      </c>
      <c r="E1232" s="26" t="s">
        <v>2893</v>
      </c>
      <c r="F1232" s="26" t="str">
        <f t="shared" si="0"/>
        <v>Positive Traits Greek Origin</v>
      </c>
      <c r="G1232" s="26">
        <f t="shared" si="3"/>
        <v>9</v>
      </c>
      <c r="H1232" s="26" t="s">
        <v>4099</v>
      </c>
      <c r="I1232" s="26"/>
      <c r="J1232" s="26"/>
      <c r="K1232" s="26"/>
      <c r="L1232" s="26" t="str">
        <f t="shared" si="2"/>
        <v>P</v>
      </c>
      <c r="M1232" s="26" t="str">
        <f>IFERROR(__xludf.DUMMYFUNCTION("GOOGLETRANSLATE(C1232,""EN"",""KN"")"),"ಪ್ರವಾದಿಯ")</f>
        <v>ಪ್ರವಾದಿಯ</v>
      </c>
      <c r="N1232" s="26">
        <f t="array" ref="N1232">_xlfn.XLOOKUP(B1232,'Sets Progress'!I:I,'Sets Progress'!I:I,"NOT YET")</f>
        <v>80</v>
      </c>
      <c r="O1232" s="26" t="str">
        <f t="array" ref="O1232">_xlfn.XLOOKUP(L:L,'Overall Progress'!L:L,'Overall Progress'!L:L,"NOT YET")</f>
        <v>NOT YET</v>
      </c>
      <c r="P1232" s="26"/>
      <c r="Q1232" s="26"/>
      <c r="R1232" s="26"/>
      <c r="S1232" s="26"/>
      <c r="T1232" s="26"/>
      <c r="U1232" s="26"/>
      <c r="V1232" s="26"/>
      <c r="W1232" s="26"/>
      <c r="X1232" s="26"/>
      <c r="Y1232" s="26"/>
      <c r="Z1232" s="26"/>
    </row>
    <row r="1233" hidden="1" customHeight="1" spans="1:26">
      <c r="A1233" s="27">
        <v>1362</v>
      </c>
      <c r="B1233" s="27">
        <v>80</v>
      </c>
      <c r="C1233" s="27" t="s">
        <v>1693</v>
      </c>
      <c r="D1233" s="27" t="s">
        <v>2716</v>
      </c>
      <c r="E1233" s="27" t="s">
        <v>2889</v>
      </c>
      <c r="F1233" s="27" t="str">
        <f t="shared" si="0"/>
        <v>Negative Traits Latin Origin</v>
      </c>
      <c r="G1233" s="27">
        <f t="shared" si="3"/>
        <v>13</v>
      </c>
      <c r="H1233" s="27" t="s">
        <v>4100</v>
      </c>
      <c r="I1233" s="27"/>
      <c r="J1233" s="27"/>
      <c r="K1233" s="27"/>
      <c r="L1233" s="27" t="str">
        <f t="shared" si="2"/>
        <v>S</v>
      </c>
      <c r="M1233" s="27" t="str">
        <f>IFERROR(__xludf.DUMMYFUNCTION("GOOGLETRANSLATE(C1233,""EN"",""KN"")"),"ಗುಟ್ಟಾದ")</f>
        <v>ಗುಟ್ಟಾದ</v>
      </c>
      <c r="N1233" s="27">
        <f t="array" ref="N1233">_xlfn.XLOOKUP(B1233,'Sets Progress'!I:I,'Sets Progress'!I:I,"NOT YET")</f>
        <v>80</v>
      </c>
      <c r="O1233" s="27" t="str">
        <f t="array" ref="O1233">_xlfn.XLOOKUP(L:L,'Overall Progress'!L:L,'Overall Progress'!L:L,"NOT YET")</f>
        <v>NOT YET</v>
      </c>
      <c r="P1233" s="27"/>
      <c r="Q1233" s="27"/>
      <c r="R1233" s="27"/>
      <c r="S1233" s="27"/>
      <c r="T1233" s="27"/>
      <c r="U1233" s="27"/>
      <c r="V1233" s="27"/>
      <c r="W1233" s="27"/>
      <c r="X1233" s="27"/>
      <c r="Y1233" s="27"/>
      <c r="Z1233" s="27"/>
    </row>
    <row r="1234" hidden="1" customHeight="1" spans="1:26">
      <c r="A1234" s="26">
        <v>1390</v>
      </c>
      <c r="B1234" s="26">
        <v>80</v>
      </c>
      <c r="C1234" s="26" t="s">
        <v>1721</v>
      </c>
      <c r="D1234" s="26" t="s">
        <v>1721</v>
      </c>
      <c r="E1234" s="26" t="s">
        <v>2889</v>
      </c>
      <c r="F1234" s="26" t="str">
        <f t="shared" si="0"/>
        <v>Temporal Latin Origin</v>
      </c>
      <c r="G1234" s="26">
        <f t="shared" si="3"/>
        <v>8</v>
      </c>
      <c r="H1234" s="26" t="s">
        <v>4101</v>
      </c>
      <c r="I1234" s="26"/>
      <c r="J1234" s="26"/>
      <c r="K1234" s="26"/>
      <c r="L1234" s="26" t="str">
        <f t="shared" si="2"/>
        <v>T</v>
      </c>
      <c r="M1234" s="26" t="str">
        <f>IFERROR(__xludf.DUMMYFUNCTION("GOOGLETRANSLATE(C1234,""EN"",""KN"")"),"ತಾತ್ಕಾಲಿಕ")</f>
        <v>ತಾತ್ಕಾಲಿಕ</v>
      </c>
      <c r="N1234" s="26">
        <f t="array" ref="N1234">_xlfn.XLOOKUP(B1234,'Sets Progress'!I:I,'Sets Progress'!I:I,"NOT YET")</f>
        <v>80</v>
      </c>
      <c r="O1234" s="26" t="str">
        <f t="array" ref="O1234">_xlfn.XLOOKUP(L:L,'Overall Progress'!L:L,'Overall Progress'!L:L,"NOT YET")</f>
        <v>NOT YET</v>
      </c>
      <c r="P1234" s="26"/>
      <c r="Q1234" s="26"/>
      <c r="R1234" s="26"/>
      <c r="S1234" s="26"/>
      <c r="T1234" s="26"/>
      <c r="U1234" s="26"/>
      <c r="V1234" s="26"/>
      <c r="W1234" s="26"/>
      <c r="X1234" s="26"/>
      <c r="Y1234" s="26"/>
      <c r="Z1234" s="26"/>
    </row>
    <row r="1235" hidden="1" customHeight="1" spans="1:26">
      <c r="A1235" s="27">
        <v>1436</v>
      </c>
      <c r="B1235" s="27">
        <v>80</v>
      </c>
      <c r="C1235" s="27" t="s">
        <v>1764</v>
      </c>
      <c r="D1235" s="27" t="s">
        <v>1721</v>
      </c>
      <c r="E1235" s="27" t="s">
        <v>2889</v>
      </c>
      <c r="F1235" s="27" t="str">
        <f t="shared" si="0"/>
        <v>Temporal Latin Origin</v>
      </c>
      <c r="G1235" s="27">
        <f t="shared" si="3"/>
        <v>7</v>
      </c>
      <c r="H1235" s="27" t="s">
        <v>4102</v>
      </c>
      <c r="I1235" s="27"/>
      <c r="J1235" s="27"/>
      <c r="K1235" s="27"/>
      <c r="L1235" s="27" t="str">
        <f t="shared" si="2"/>
        <v>U</v>
      </c>
      <c r="M1235" s="27" t="str">
        <f>IFERROR(__xludf.DUMMYFUNCTION("GOOGLETRANSLATE(C1235,""EN"",""KN"")"),"ಅಂಬ್ರೇಜ್")</f>
        <v>ಅಂಬ್ರೇಜ್</v>
      </c>
      <c r="N1235" s="27">
        <f t="array" ref="N1235">_xlfn.XLOOKUP(B1235,'Sets Progress'!I:I,'Sets Progress'!I:I,"NOT YET")</f>
        <v>80</v>
      </c>
      <c r="O1235" s="27" t="str">
        <f t="array" ref="O1235">_xlfn.XLOOKUP(L:L,'Overall Progress'!L:L,'Overall Progress'!L:L,"NOT YET")</f>
        <v>NOT YET</v>
      </c>
      <c r="P1235" s="27"/>
      <c r="Q1235" s="27"/>
      <c r="R1235" s="27"/>
      <c r="S1235" s="27"/>
      <c r="T1235" s="27"/>
      <c r="U1235" s="27"/>
      <c r="V1235" s="27"/>
      <c r="W1235" s="27"/>
      <c r="X1235" s="27"/>
      <c r="Y1235" s="27"/>
      <c r="Z1235" s="27"/>
    </row>
    <row r="1236" hidden="1" customHeight="1" spans="1:26">
      <c r="A1236" s="26">
        <v>1524</v>
      </c>
      <c r="B1236" s="26">
        <v>80</v>
      </c>
      <c r="C1236" s="26" t="s">
        <v>1852</v>
      </c>
      <c r="D1236" s="26" t="s">
        <v>1721</v>
      </c>
      <c r="E1236" s="26" t="s">
        <v>2908</v>
      </c>
      <c r="F1236" s="26" t="str">
        <f t="shared" si="0"/>
        <v>Temporal Old English Origin</v>
      </c>
      <c r="G1236" s="26">
        <f t="shared" si="3"/>
        <v>6</v>
      </c>
      <c r="H1236" s="26" t="s">
        <v>4103</v>
      </c>
      <c r="I1236" s="26"/>
      <c r="J1236" s="26"/>
      <c r="K1236" s="26"/>
      <c r="L1236" s="26" t="str">
        <f t="shared" si="2"/>
        <v>W</v>
      </c>
      <c r="M1236" s="26" t="str">
        <f>IFERROR(__xludf.DUMMYFUNCTION("GOOGLETRANSLATE(C1236,""EN"",""KN"")"),"ಕ್ಷೀಣಿಸುತ್ತಿದೆ")</f>
        <v>ಕ್ಷೀಣಿಸುತ್ತಿದೆ</v>
      </c>
      <c r="N1236" s="26">
        <f t="array" ref="N1236">_xlfn.XLOOKUP(B1236,'Sets Progress'!I:I,'Sets Progress'!I:I,"NOT YET")</f>
        <v>80</v>
      </c>
      <c r="O1236" s="26" t="str">
        <f t="array" ref="O1236">_xlfn.XLOOKUP(L:L,'Overall Progress'!L:L,'Overall Progress'!L:L,"NOT YET")</f>
        <v>NOT YET</v>
      </c>
      <c r="P1236" s="26"/>
      <c r="Q1236" s="26"/>
      <c r="R1236" s="26"/>
      <c r="S1236" s="26"/>
      <c r="T1236" s="26"/>
      <c r="U1236" s="26"/>
      <c r="V1236" s="26"/>
      <c r="W1236" s="26"/>
      <c r="X1236" s="26"/>
      <c r="Y1236" s="26"/>
      <c r="Z1236" s="26"/>
    </row>
    <row r="1237" hidden="1" customHeight="1" spans="1:26">
      <c r="A1237" s="27">
        <v>54</v>
      </c>
      <c r="B1237" s="27">
        <v>81</v>
      </c>
      <c r="C1237" s="27" t="s">
        <v>53</v>
      </c>
      <c r="D1237" s="27" t="s">
        <v>2717</v>
      </c>
      <c r="E1237" s="27" t="s">
        <v>2889</v>
      </c>
      <c r="F1237" s="27" t="str">
        <f t="shared" si="0"/>
        <v>Positive Traits Latin Origin</v>
      </c>
      <c r="G1237" s="27">
        <f t="shared" si="3"/>
        <v>8</v>
      </c>
      <c r="H1237" s="27" t="s">
        <v>4104</v>
      </c>
      <c r="I1237" s="27"/>
      <c r="J1237" s="27"/>
      <c r="K1237" s="27"/>
      <c r="L1237" s="27" t="str">
        <f t="shared" si="2"/>
        <v>A</v>
      </c>
      <c r="M1237" s="27" t="str">
        <f>IFERROR(__xludf.DUMMYFUNCTION("GOOGLETRANSLATE(C1237,""EN"",""KN"")"),"ಅಚಾತುರ್ಯ")</f>
        <v>ಅಚಾತುರ್ಯ</v>
      </c>
      <c r="N1237" s="27">
        <f t="array" ref="N1237">_xlfn.XLOOKUP(B1237,'Sets Progress'!I:I,'Sets Progress'!I:I,"NOT YET")</f>
        <v>81</v>
      </c>
      <c r="O1237" s="27" t="str">
        <f t="array" ref="O1237">_xlfn.XLOOKUP(L:L,'Overall Progress'!L:L,'Overall Progress'!L:L,"NOT YET")</f>
        <v>NOT YET</v>
      </c>
      <c r="P1237" s="27"/>
      <c r="Q1237" s="27"/>
      <c r="R1237" s="27"/>
      <c r="S1237" s="27"/>
      <c r="T1237" s="27"/>
      <c r="U1237" s="27"/>
      <c r="V1237" s="27"/>
      <c r="W1237" s="27"/>
      <c r="X1237" s="27"/>
      <c r="Y1237" s="27"/>
      <c r="Z1237" s="27"/>
    </row>
    <row r="1238" hidden="1" customHeight="1" spans="1:26">
      <c r="A1238" s="26">
        <v>140</v>
      </c>
      <c r="B1238" s="26">
        <v>81</v>
      </c>
      <c r="C1238" s="26" t="s">
        <v>489</v>
      </c>
      <c r="D1238" s="26" t="s">
        <v>2717</v>
      </c>
      <c r="E1238" s="26" t="s">
        <v>2889</v>
      </c>
      <c r="F1238" s="26" t="str">
        <f t="shared" si="0"/>
        <v>Positive Traits Latin Origin</v>
      </c>
      <c r="G1238" s="26">
        <f t="shared" si="3"/>
        <v>4</v>
      </c>
      <c r="H1238" s="26" t="s">
        <v>4105</v>
      </c>
      <c r="I1238" s="26"/>
      <c r="J1238" s="26"/>
      <c r="K1238" s="26"/>
      <c r="L1238" s="26" t="str">
        <f t="shared" si="2"/>
        <v>A</v>
      </c>
      <c r="M1238" s="26" t="str">
        <f>IFERROR(__xludf.DUMMYFUNCTION("GOOGLETRANSLATE(C1238,""EN"",""KN"")"),"ಉತ್ಸಾಹಿ")</f>
        <v>ಉತ್ಸಾಹಿ</v>
      </c>
      <c r="N1238" s="26">
        <f t="array" ref="N1238">_xlfn.XLOOKUP(B1238,'Sets Progress'!I:I,'Sets Progress'!I:I,"NOT YET")</f>
        <v>81</v>
      </c>
      <c r="O1238" s="26" t="str">
        <f t="array" ref="O1238">_xlfn.XLOOKUP(L:L,'Overall Progress'!L:L,'Overall Progress'!L:L,"NOT YET")</f>
        <v>NOT YET</v>
      </c>
      <c r="P1238" s="26"/>
      <c r="Q1238" s="26"/>
      <c r="R1238" s="26"/>
      <c r="S1238" s="26"/>
      <c r="T1238" s="26"/>
      <c r="U1238" s="26"/>
      <c r="V1238" s="26"/>
      <c r="W1238" s="26"/>
      <c r="X1238" s="26"/>
      <c r="Y1238" s="26"/>
      <c r="Z1238" s="26"/>
    </row>
    <row r="1239" hidden="1" customHeight="1" spans="1:26">
      <c r="A1239" s="27">
        <v>320</v>
      </c>
      <c r="B1239" s="27">
        <v>81</v>
      </c>
      <c r="C1239" s="27" t="s">
        <v>670</v>
      </c>
      <c r="D1239" s="27" t="s">
        <v>1721</v>
      </c>
      <c r="E1239" s="27" t="s">
        <v>2889</v>
      </c>
      <c r="F1239" s="27" t="str">
        <f t="shared" si="0"/>
        <v>Temporal Latin Origin</v>
      </c>
      <c r="G1239" s="27">
        <f t="shared" si="3"/>
        <v>17</v>
      </c>
      <c r="H1239" s="27" t="s">
        <v>4106</v>
      </c>
      <c r="I1239" s="27"/>
      <c r="J1239" s="27"/>
      <c r="K1239" s="27"/>
      <c r="L1239" s="27" t="str">
        <f t="shared" si="2"/>
        <v>C</v>
      </c>
      <c r="M1239" s="27" t="str">
        <f>IFERROR(__xludf.DUMMYFUNCTION("GOOGLETRANSLATE(C1239,""EN"",""KN"")"),"ವ್ಯತಿರಿಕ್ತ")</f>
        <v>ವ್ಯತಿರಿಕ್ತ</v>
      </c>
      <c r="N1239" s="27">
        <f t="array" ref="N1239">_xlfn.XLOOKUP(B1239,'Sets Progress'!I:I,'Sets Progress'!I:I,"NOT YET")</f>
        <v>81</v>
      </c>
      <c r="O1239" s="27" t="str">
        <f t="array" ref="O1239">_xlfn.XLOOKUP(L:L,'Overall Progress'!L:L,'Overall Progress'!L:L,"NOT YET")</f>
        <v>NOT YET</v>
      </c>
      <c r="P1239" s="27"/>
      <c r="Q1239" s="27"/>
      <c r="R1239" s="27"/>
      <c r="S1239" s="27"/>
      <c r="T1239" s="27"/>
      <c r="U1239" s="27"/>
      <c r="V1239" s="27"/>
      <c r="W1239" s="27"/>
      <c r="X1239" s="27"/>
      <c r="Y1239" s="27"/>
      <c r="Z1239" s="27"/>
    </row>
    <row r="1240" hidden="1" customHeight="1" spans="1:26">
      <c r="A1240" s="26">
        <v>432</v>
      </c>
      <c r="B1240" s="26">
        <v>81</v>
      </c>
      <c r="C1240" s="26" t="s">
        <v>781</v>
      </c>
      <c r="D1240" s="26" t="s">
        <v>1721</v>
      </c>
      <c r="E1240" s="26" t="s">
        <v>2889</v>
      </c>
      <c r="F1240" s="26" t="str">
        <f t="shared" si="0"/>
        <v>Temporal Latin Origin</v>
      </c>
      <c r="G1240" s="26">
        <f t="shared" si="3"/>
        <v>8</v>
      </c>
      <c r="H1240" s="26" t="s">
        <v>4107</v>
      </c>
      <c r="I1240" s="26"/>
      <c r="J1240" s="26"/>
      <c r="K1240" s="26"/>
      <c r="L1240" s="26" t="str">
        <f t="shared" si="2"/>
        <v>D</v>
      </c>
      <c r="M1240" s="26" t="str">
        <f>IFERROR(__xludf.DUMMYFUNCTION("GOOGLETRANSLATE(C1240,""EN"",""KN"")"),"ವಿತರಿಸು")</f>
        <v>ವಿತರಿಸು</v>
      </c>
      <c r="N1240" s="26">
        <f t="array" ref="N1240">_xlfn.XLOOKUP(B1240,'Sets Progress'!I:I,'Sets Progress'!I:I,"NOT YET")</f>
        <v>81</v>
      </c>
      <c r="O1240" s="26" t="str">
        <f t="array" ref="O1240">_xlfn.XLOOKUP(L:L,'Overall Progress'!L:L,'Overall Progress'!L:L,"NOT YET")</f>
        <v>NOT YET</v>
      </c>
      <c r="P1240" s="26"/>
      <c r="Q1240" s="26"/>
      <c r="R1240" s="26"/>
      <c r="S1240" s="26"/>
      <c r="T1240" s="26"/>
      <c r="U1240" s="26"/>
      <c r="V1240" s="26"/>
      <c r="W1240" s="26"/>
      <c r="X1240" s="26"/>
      <c r="Y1240" s="26"/>
      <c r="Z1240" s="26"/>
    </row>
    <row r="1241" hidden="1" customHeight="1" spans="1:26">
      <c r="A1241" s="27">
        <v>524</v>
      </c>
      <c r="B1241" s="27">
        <v>81</v>
      </c>
      <c r="C1241" s="27" t="s">
        <v>872</v>
      </c>
      <c r="D1241" s="27" t="s">
        <v>2717</v>
      </c>
      <c r="E1241" s="27" t="s">
        <v>2889</v>
      </c>
      <c r="F1241" s="27" t="str">
        <f t="shared" si="0"/>
        <v>Positive Traits Latin Origin</v>
      </c>
      <c r="G1241" s="27">
        <f t="shared" si="3"/>
        <v>9</v>
      </c>
      <c r="H1241" s="27" t="s">
        <v>4108</v>
      </c>
      <c r="I1241" s="27"/>
      <c r="J1241" s="27"/>
      <c r="K1241" s="27"/>
      <c r="L1241" s="27" t="str">
        <f t="shared" si="2"/>
        <v>E</v>
      </c>
      <c r="M1241" s="27" t="str">
        <f>IFERROR(__xludf.DUMMYFUNCTION("GOOGLETRANSLATE(C1241,""EN"",""KN"")"),"ಸಮಾನ")</f>
        <v>ಸಮಾನ</v>
      </c>
      <c r="N1241" s="27">
        <f t="array" ref="N1241">_xlfn.XLOOKUP(B1241,'Sets Progress'!I:I,'Sets Progress'!I:I,"NOT YET")</f>
        <v>81</v>
      </c>
      <c r="O1241" s="27" t="str">
        <f t="array" ref="O1241">_xlfn.XLOOKUP(L:L,'Overall Progress'!L:L,'Overall Progress'!L:L,"NOT YET")</f>
        <v>NOT YET</v>
      </c>
      <c r="P1241" s="27"/>
      <c r="Q1241" s="27"/>
      <c r="R1241" s="27"/>
      <c r="S1241" s="27"/>
      <c r="T1241" s="27"/>
      <c r="U1241" s="27"/>
      <c r="V1241" s="27"/>
      <c r="W1241" s="27"/>
      <c r="X1241" s="27"/>
      <c r="Y1241" s="27"/>
      <c r="Z1241" s="27"/>
    </row>
    <row r="1242" hidden="1" customHeight="1" spans="1:26">
      <c r="A1242" s="26">
        <v>587</v>
      </c>
      <c r="B1242" s="26">
        <v>81</v>
      </c>
      <c r="C1242" s="26" t="s">
        <v>931</v>
      </c>
      <c r="D1242" s="26" t="s">
        <v>1638</v>
      </c>
      <c r="E1242" s="26" t="s">
        <v>2908</v>
      </c>
      <c r="F1242" s="26" t="str">
        <f t="shared" si="0"/>
        <v>Sound Old English Origin</v>
      </c>
      <c r="G1242" s="26">
        <f t="shared" si="3"/>
        <v>4</v>
      </c>
      <c r="H1242" s="26" t="s">
        <v>4109</v>
      </c>
      <c r="I1242" s="26"/>
      <c r="J1242" s="26"/>
      <c r="K1242" s="26"/>
      <c r="L1242" s="26" t="str">
        <f t="shared" si="2"/>
        <v>F</v>
      </c>
      <c r="M1242" s="26" t="str">
        <f>IFERROR(__xludf.DUMMYFUNCTION("GOOGLETRANSLATE(C1242,""EN"",""KN"")"),"ಜಿಂಕೆ")</f>
        <v>ಜಿಂಕೆ</v>
      </c>
      <c r="N1242" s="26">
        <f t="array" ref="N1242">_xlfn.XLOOKUP(B1242,'Sets Progress'!I:I,'Sets Progress'!I:I,"NOT YET")</f>
        <v>81</v>
      </c>
      <c r="O1242" s="26" t="str">
        <f t="array" ref="O1242">_xlfn.XLOOKUP(L:L,'Overall Progress'!L:L,'Overall Progress'!L:L,"NOT YET")</f>
        <v>NOT YET</v>
      </c>
      <c r="P1242" s="26"/>
      <c r="Q1242" s="26"/>
      <c r="R1242" s="26"/>
      <c r="S1242" s="26"/>
      <c r="T1242" s="26"/>
      <c r="U1242" s="26"/>
      <c r="V1242" s="26"/>
      <c r="W1242" s="26"/>
      <c r="X1242" s="26"/>
      <c r="Y1242" s="26"/>
      <c r="Z1242" s="26"/>
    </row>
    <row r="1243" hidden="1" customHeight="1" spans="1:26">
      <c r="A1243" s="27">
        <v>632</v>
      </c>
      <c r="B1243" s="27">
        <v>81</v>
      </c>
      <c r="C1243" s="27" t="s">
        <v>976</v>
      </c>
      <c r="D1243" s="27" t="s">
        <v>1721</v>
      </c>
      <c r="E1243" s="27" t="s">
        <v>2899</v>
      </c>
      <c r="F1243" s="27" t="str">
        <f t="shared" si="0"/>
        <v>Temporal Middle English Origin</v>
      </c>
      <c r="G1243" s="27">
        <f t="shared" si="3"/>
        <v>7</v>
      </c>
      <c r="H1243" s="27" t="s">
        <v>4110</v>
      </c>
      <c r="I1243" s="27"/>
      <c r="J1243" s="27"/>
      <c r="K1243" s="27"/>
      <c r="L1243" s="27" t="str">
        <f t="shared" si="2"/>
        <v>F</v>
      </c>
      <c r="M1243" s="27" t="str">
        <f>IFERROR(__xludf.DUMMYFUNCTION("GOOGLETRANSLATE(C1243,""EN"",""KN"")"),"ತುಂಬಿದೆ")</f>
        <v>ತುಂಬಿದೆ</v>
      </c>
      <c r="N1243" s="27">
        <f t="array" ref="N1243">_xlfn.XLOOKUP(B1243,'Sets Progress'!I:I,'Sets Progress'!I:I,"NOT YET")</f>
        <v>81</v>
      </c>
      <c r="O1243" s="27" t="str">
        <f t="array" ref="O1243">_xlfn.XLOOKUP(L:L,'Overall Progress'!L:L,'Overall Progress'!L:L,"NOT YET")</f>
        <v>NOT YET</v>
      </c>
      <c r="P1243" s="27"/>
      <c r="Q1243" s="27"/>
      <c r="R1243" s="27"/>
      <c r="S1243" s="27"/>
      <c r="T1243" s="27"/>
      <c r="U1243" s="27"/>
      <c r="V1243" s="27"/>
      <c r="W1243" s="27"/>
      <c r="X1243" s="27"/>
      <c r="Y1243" s="27"/>
      <c r="Z1243" s="27"/>
    </row>
    <row r="1244" hidden="1" customHeight="1" spans="1:26">
      <c r="A1244" s="26">
        <v>765</v>
      </c>
      <c r="B1244" s="26">
        <v>81</v>
      </c>
      <c r="C1244" s="26" t="s">
        <v>1106</v>
      </c>
      <c r="D1244" s="26" t="s">
        <v>1721</v>
      </c>
      <c r="E1244" s="26" t="s">
        <v>2889</v>
      </c>
      <c r="F1244" s="26" t="str">
        <f t="shared" si="0"/>
        <v>Temporal Latin Origin</v>
      </c>
      <c r="G1244" s="26">
        <f t="shared" si="3"/>
        <v>12</v>
      </c>
      <c r="H1244" s="26" t="s">
        <v>4111</v>
      </c>
      <c r="I1244" s="26"/>
      <c r="J1244" s="26"/>
      <c r="K1244" s="26"/>
      <c r="L1244" s="26" t="str">
        <f t="shared" si="2"/>
        <v>I</v>
      </c>
      <c r="M1244" s="26" t="str">
        <f>IFERROR(__xludf.DUMMYFUNCTION("GOOGLETRANSLATE(C1244,""EN"",""KN"")"),"ಅಚಾತುರ್ಯ")</f>
        <v>ಅಚಾತುರ್ಯ</v>
      </c>
      <c r="N1244" s="26">
        <f t="array" ref="N1244">_xlfn.XLOOKUP(B1244,'Sets Progress'!I:I,'Sets Progress'!I:I,"NOT YET")</f>
        <v>81</v>
      </c>
      <c r="O1244" s="26" t="str">
        <f t="array" ref="O1244">_xlfn.XLOOKUP(L:L,'Overall Progress'!L:L,'Overall Progress'!L:L,"NOT YET")</f>
        <v>NOT YET</v>
      </c>
      <c r="P1244" s="26"/>
      <c r="Q1244" s="26"/>
      <c r="R1244" s="26"/>
      <c r="S1244" s="26"/>
      <c r="T1244" s="26"/>
      <c r="U1244" s="26"/>
      <c r="V1244" s="26"/>
      <c r="W1244" s="26"/>
      <c r="X1244" s="26"/>
      <c r="Y1244" s="26"/>
      <c r="Z1244" s="26"/>
    </row>
    <row r="1245" hidden="1" customHeight="1" spans="1:26">
      <c r="A1245" s="27">
        <v>885</v>
      </c>
      <c r="B1245" s="27">
        <v>81</v>
      </c>
      <c r="C1245" s="27" t="s">
        <v>1222</v>
      </c>
      <c r="D1245" s="27" t="s">
        <v>2716</v>
      </c>
      <c r="E1245" s="27" t="s">
        <v>2889</v>
      </c>
      <c r="F1245" s="27" t="str">
        <f t="shared" si="0"/>
        <v>Negative Traits Latin Origin</v>
      </c>
      <c r="G1245" s="27">
        <f t="shared" si="3"/>
        <v>11</v>
      </c>
      <c r="H1245" s="27" t="s">
        <v>4112</v>
      </c>
      <c r="I1245" s="27"/>
      <c r="J1245" s="27"/>
      <c r="K1245" s="27"/>
      <c r="L1245" s="27" t="str">
        <f t="shared" si="2"/>
        <v>M</v>
      </c>
      <c r="M1245" s="27" t="str">
        <f>IFERROR(__xludf.DUMMYFUNCTION("GOOGLETRANSLATE(C1245,""EN"",""KN"")"),"ದುಷ್ಕೃತ್ಯ")</f>
        <v>ದುಷ್ಕೃತ್ಯ</v>
      </c>
      <c r="N1245" s="27">
        <f t="array" ref="N1245">_xlfn.XLOOKUP(B1245,'Sets Progress'!I:I,'Sets Progress'!I:I,"NOT YET")</f>
        <v>81</v>
      </c>
      <c r="O1245" s="27" t="str">
        <f t="array" ref="O1245">_xlfn.XLOOKUP(L:L,'Overall Progress'!L:L,'Overall Progress'!L:L,"NOT YET")</f>
        <v>NOT YET</v>
      </c>
      <c r="P1245" s="27"/>
      <c r="Q1245" s="27"/>
      <c r="R1245" s="27"/>
      <c r="S1245" s="27"/>
      <c r="T1245" s="27"/>
      <c r="U1245" s="27"/>
      <c r="V1245" s="27"/>
      <c r="W1245" s="27"/>
      <c r="X1245" s="27"/>
      <c r="Y1245" s="27"/>
      <c r="Z1245" s="27"/>
    </row>
    <row r="1246" hidden="1" customHeight="1" spans="1:26">
      <c r="A1246" s="26">
        <v>921</v>
      </c>
      <c r="B1246" s="26">
        <v>81</v>
      </c>
      <c r="C1246" s="26" t="s">
        <v>1257</v>
      </c>
      <c r="D1246" s="26" t="s">
        <v>2717</v>
      </c>
      <c r="E1246" s="26" t="s">
        <v>2889</v>
      </c>
      <c r="F1246" s="26" t="str">
        <f t="shared" si="0"/>
        <v>Positive Traits Latin Origin</v>
      </c>
      <c r="G1246" s="26">
        <f t="shared" si="3"/>
        <v>6</v>
      </c>
      <c r="H1246" s="26" t="s">
        <v>4113</v>
      </c>
      <c r="I1246" s="26"/>
      <c r="J1246" s="26"/>
      <c r="K1246" s="26"/>
      <c r="L1246" s="26" t="str">
        <f t="shared" si="2"/>
        <v>M</v>
      </c>
      <c r="M1246" s="26" t="str">
        <f>IFERROR(__xludf.DUMMYFUNCTION("GOOGLETRANSLATE(C1246,""EN"",""KN"")"),"ಸಾಧಾರಣ")</f>
        <v>ಸಾಧಾರಣ</v>
      </c>
      <c r="N1246" s="26">
        <f t="array" ref="N1246">_xlfn.XLOOKUP(B1246,'Sets Progress'!I:I,'Sets Progress'!I:I,"NOT YET")</f>
        <v>81</v>
      </c>
      <c r="O1246" s="26" t="str">
        <f t="array" ref="O1246">_xlfn.XLOOKUP(L:L,'Overall Progress'!L:L,'Overall Progress'!L:L,"NOT YET")</f>
        <v>NOT YET</v>
      </c>
      <c r="P1246" s="26"/>
      <c r="Q1246" s="26"/>
      <c r="R1246" s="26"/>
      <c r="S1246" s="26"/>
      <c r="T1246" s="26"/>
      <c r="U1246" s="26"/>
      <c r="V1246" s="26"/>
      <c r="W1246" s="26"/>
      <c r="X1246" s="26"/>
      <c r="Y1246" s="26"/>
      <c r="Z1246" s="26"/>
    </row>
    <row r="1247" hidden="1" customHeight="1" spans="1:26">
      <c r="A1247" s="27">
        <v>1055</v>
      </c>
      <c r="B1247" s="27">
        <v>81</v>
      </c>
      <c r="C1247" s="27" t="s">
        <v>1390</v>
      </c>
      <c r="D1247" s="27" t="s">
        <v>2717</v>
      </c>
      <c r="E1247" s="27" t="s">
        <v>2889</v>
      </c>
      <c r="F1247" s="27" t="str">
        <f t="shared" si="0"/>
        <v>Positive Traits Latin Origin</v>
      </c>
      <c r="G1247" s="27">
        <f t="shared" si="3"/>
        <v>10</v>
      </c>
      <c r="H1247" s="27" t="s">
        <v>4114</v>
      </c>
      <c r="I1247" s="27"/>
      <c r="J1247" s="27"/>
      <c r="K1247" s="27"/>
      <c r="L1247" s="27" t="str">
        <f t="shared" si="2"/>
        <v>P</v>
      </c>
      <c r="M1247" s="27" t="str">
        <f>IFERROR(__xludf.DUMMYFUNCTION("GOOGLETRANSLATE(C1247,""EN"",""KN"")"),"ಮನವೊಲಿಸುವ")</f>
        <v>ಮನವೊಲಿಸುವ</v>
      </c>
      <c r="N1247" s="27">
        <f t="array" ref="N1247">_xlfn.XLOOKUP(B1247,'Sets Progress'!I:I,'Sets Progress'!I:I,"NOT YET")</f>
        <v>81</v>
      </c>
      <c r="O1247" s="27" t="str">
        <f t="array" ref="O1247">_xlfn.XLOOKUP(L:L,'Overall Progress'!L:L,'Overall Progress'!L:L,"NOT YET")</f>
        <v>NOT YET</v>
      </c>
      <c r="P1247" s="27"/>
      <c r="Q1247" s="27"/>
      <c r="R1247" s="27"/>
      <c r="S1247" s="27"/>
      <c r="T1247" s="27"/>
      <c r="U1247" s="27"/>
      <c r="V1247" s="27"/>
      <c r="W1247" s="27"/>
      <c r="X1247" s="27"/>
      <c r="Y1247" s="27"/>
      <c r="Z1247" s="27"/>
    </row>
    <row r="1248" hidden="1" customHeight="1" spans="1:26">
      <c r="A1248" s="26">
        <v>1075</v>
      </c>
      <c r="B1248" s="26">
        <v>81</v>
      </c>
      <c r="C1248" s="26" t="s">
        <v>1410</v>
      </c>
      <c r="D1248" s="26" t="s">
        <v>2717</v>
      </c>
      <c r="E1248" s="26" t="s">
        <v>2889</v>
      </c>
      <c r="F1248" s="26" t="str">
        <f t="shared" si="0"/>
        <v>Positive Traits Latin Origin</v>
      </c>
      <c r="G1248" s="26">
        <f t="shared" si="3"/>
        <v>6</v>
      </c>
      <c r="H1248" s="26" t="s">
        <v>4115</v>
      </c>
      <c r="I1248" s="26"/>
      <c r="J1248" s="26"/>
      <c r="K1248" s="26"/>
      <c r="L1248" s="26" t="str">
        <f t="shared" si="2"/>
        <v>P</v>
      </c>
      <c r="M1248" s="26" t="str">
        <f>IFERROR(__xludf.DUMMYFUNCTION("GOOGLETRANSLATE(C1248,""EN"",""KN"")"),"ಪ್ಲೈಂಟ್")</f>
        <v>ಪ್ಲೈಂಟ್</v>
      </c>
      <c r="N1248" s="26">
        <f t="array" ref="N1248">_xlfn.XLOOKUP(B1248,'Sets Progress'!I:I,'Sets Progress'!I:I,"NOT YET")</f>
        <v>81</v>
      </c>
      <c r="O1248" s="26" t="str">
        <f t="array" ref="O1248">_xlfn.XLOOKUP(L:L,'Overall Progress'!L:L,'Overall Progress'!L:L,"NOT YET")</f>
        <v>NOT YET</v>
      </c>
      <c r="P1248" s="26"/>
      <c r="Q1248" s="26"/>
      <c r="R1248" s="26"/>
      <c r="S1248" s="26"/>
      <c r="T1248" s="26"/>
      <c r="U1248" s="26"/>
      <c r="V1248" s="26"/>
      <c r="W1248" s="26"/>
      <c r="X1248" s="26"/>
      <c r="Y1248" s="26"/>
      <c r="Z1248" s="26"/>
    </row>
    <row r="1249" hidden="1" customHeight="1" spans="1:26">
      <c r="A1249" s="27">
        <v>1295</v>
      </c>
      <c r="B1249" s="27">
        <v>81</v>
      </c>
      <c r="C1249" s="27" t="s">
        <v>1626</v>
      </c>
      <c r="D1249" s="27" t="s">
        <v>2716</v>
      </c>
      <c r="E1249" s="27" t="s">
        <v>2908</v>
      </c>
      <c r="F1249" s="27" t="str">
        <f t="shared" si="0"/>
        <v>Negative Traits Old English Origin</v>
      </c>
      <c r="G1249" s="27">
        <f t="shared" si="3"/>
        <v>5</v>
      </c>
      <c r="H1249" s="27" t="s">
        <v>4116</v>
      </c>
      <c r="I1249" s="27"/>
      <c r="J1249" s="27"/>
      <c r="K1249" s="27"/>
      <c r="L1249" s="27" t="str">
        <f t="shared" si="2"/>
        <v>S</v>
      </c>
      <c r="M1249" s="27" t="str">
        <f>IFERROR(__xludf.DUMMYFUNCTION("GOOGLETRANSLATE(C1249,""EN"",""KN"")"),"ಸೋಮಾರಿತನ")</f>
        <v>ಸೋಮಾರಿತನ</v>
      </c>
      <c r="N1249" s="27">
        <f t="array" ref="N1249">_xlfn.XLOOKUP(B1249,'Sets Progress'!I:I,'Sets Progress'!I:I,"NOT YET")</f>
        <v>81</v>
      </c>
      <c r="O1249" s="27" t="str">
        <f t="array" ref="O1249">_xlfn.XLOOKUP(L:L,'Overall Progress'!L:L,'Overall Progress'!L:L,"NOT YET")</f>
        <v>NOT YET</v>
      </c>
      <c r="P1249" s="27"/>
      <c r="Q1249" s="27"/>
      <c r="R1249" s="27"/>
      <c r="S1249" s="27"/>
      <c r="T1249" s="27"/>
      <c r="U1249" s="27"/>
      <c r="V1249" s="27"/>
      <c r="W1249" s="27"/>
      <c r="X1249" s="27"/>
      <c r="Y1249" s="27"/>
      <c r="Z1249" s="27"/>
    </row>
    <row r="1250" hidden="1" customHeight="1" spans="1:26">
      <c r="A1250" s="26">
        <v>1513</v>
      </c>
      <c r="B1250" s="26">
        <v>81</v>
      </c>
      <c r="C1250" s="26" t="s">
        <v>1841</v>
      </c>
      <c r="D1250" s="26" t="s">
        <v>2716</v>
      </c>
      <c r="E1250" s="26" t="s">
        <v>2889</v>
      </c>
      <c r="F1250" s="26" t="str">
        <f t="shared" si="0"/>
        <v>Negative Traits Latin Origin</v>
      </c>
      <c r="G1250" s="26">
        <f t="shared" si="3"/>
        <v>8</v>
      </c>
      <c r="H1250" s="26" t="s">
        <v>4117</v>
      </c>
      <c r="I1250" s="26"/>
      <c r="J1250" s="26"/>
      <c r="K1250" s="26"/>
      <c r="L1250" s="26" t="str">
        <f t="shared" si="2"/>
        <v>V</v>
      </c>
      <c r="M1250" s="26" t="str">
        <f>IFERROR(__xludf.DUMMYFUNCTION("GOOGLETRANSLATE(C1250,""EN"",""KN"")"),"ಮಾರಣಾಂತಿಕ")</f>
        <v>ಮಾರಣಾಂತಿಕ</v>
      </c>
      <c r="N1250" s="26">
        <f t="array" ref="N1250">_xlfn.XLOOKUP(B1250,'Sets Progress'!I:I,'Sets Progress'!I:I,"NOT YET")</f>
        <v>81</v>
      </c>
      <c r="O1250" s="26" t="str">
        <f t="array" ref="O1250">_xlfn.XLOOKUP(L:L,'Overall Progress'!L:L,'Overall Progress'!L:L,"NOT YET")</f>
        <v>NOT YET</v>
      </c>
      <c r="P1250" s="26"/>
      <c r="Q1250" s="26"/>
      <c r="R1250" s="26"/>
      <c r="S1250" s="26"/>
      <c r="T1250" s="26"/>
      <c r="U1250" s="26"/>
      <c r="V1250" s="26"/>
      <c r="W1250" s="26"/>
      <c r="X1250" s="26"/>
      <c r="Y1250" s="26"/>
      <c r="Z1250" s="26"/>
    </row>
    <row r="1251" hidden="1" customHeight="1" spans="1:26">
      <c r="A1251" s="27">
        <v>27</v>
      </c>
      <c r="B1251" s="27">
        <v>82</v>
      </c>
      <c r="C1251" s="27" t="s">
        <v>389</v>
      </c>
      <c r="D1251" s="27" t="s">
        <v>2928</v>
      </c>
      <c r="E1251" s="27" t="s">
        <v>2889</v>
      </c>
      <c r="F1251" s="27" t="str">
        <f t="shared" si="0"/>
        <v>Philosophical Latin Origin</v>
      </c>
      <c r="G1251" s="27">
        <f t="shared" si="3"/>
        <v>9</v>
      </c>
      <c r="H1251" s="27" t="s">
        <v>4118</v>
      </c>
      <c r="I1251" s="27"/>
      <c r="J1251" s="27"/>
      <c r="K1251" s="27"/>
      <c r="L1251" s="27" t="str">
        <f t="shared" si="2"/>
        <v>A</v>
      </c>
      <c r="M1251" s="27" t="str">
        <f>IFERROR(__xludf.DUMMYFUNCTION("GOOGLETRANSLATE(C1251,""EN"",""KN"")"),"ಒಪ್ಪಿಗೆ")</f>
        <v>ಒಪ್ಪಿಗೆ</v>
      </c>
      <c r="N1251" s="27">
        <f t="array" ref="N1251">_xlfn.XLOOKUP(B1251,'Sets Progress'!I:I,'Sets Progress'!I:I,"NOT YET")</f>
        <v>82</v>
      </c>
      <c r="O1251" s="27" t="str">
        <f t="array" ref="O1251">_xlfn.XLOOKUP(L:L,'Overall Progress'!L:L,'Overall Progress'!L:L,"NOT YET")</f>
        <v>NOT YET</v>
      </c>
      <c r="P1251" s="27"/>
      <c r="Q1251" s="27"/>
      <c r="R1251" s="27"/>
      <c r="S1251" s="27"/>
      <c r="T1251" s="27"/>
      <c r="U1251" s="27"/>
      <c r="V1251" s="27"/>
      <c r="W1251" s="27"/>
      <c r="X1251" s="27"/>
      <c r="Y1251" s="27"/>
      <c r="Z1251" s="27"/>
    </row>
    <row r="1252" hidden="1" customHeight="1" spans="1:26">
      <c r="A1252" s="26">
        <v>70</v>
      </c>
      <c r="B1252" s="26">
        <v>82</v>
      </c>
      <c r="C1252" s="26" t="s">
        <v>423</v>
      </c>
      <c r="D1252" s="26" t="s">
        <v>2892</v>
      </c>
      <c r="E1252" s="26" t="s">
        <v>2893</v>
      </c>
      <c r="F1252" s="26" t="str">
        <f t="shared" si="0"/>
        <v>Spatial Greek Origin</v>
      </c>
      <c r="G1252" s="26">
        <f t="shared" si="3"/>
        <v>9</v>
      </c>
      <c r="H1252" s="26" t="s">
        <v>4119</v>
      </c>
      <c r="I1252" s="26"/>
      <c r="J1252" s="26"/>
      <c r="K1252" s="26"/>
      <c r="L1252" s="26" t="str">
        <f t="shared" si="2"/>
        <v>A</v>
      </c>
      <c r="M1252" s="26" t="str">
        <f>IFERROR(__xludf.DUMMYFUNCTION("GOOGLETRANSLATE(C1252,""EN"",""KN"")"),"ಅಸ್ಫಾಟಿಕ")</f>
        <v>ಅಸ್ಫಾಟಿಕ</v>
      </c>
      <c r="N1252" s="26">
        <f t="array" ref="N1252">_xlfn.XLOOKUP(B1252,'Sets Progress'!I:I,'Sets Progress'!I:I,"NOT YET")</f>
        <v>82</v>
      </c>
      <c r="O1252" s="26" t="str">
        <f t="array" ref="O1252">_xlfn.XLOOKUP(L:L,'Overall Progress'!L:L,'Overall Progress'!L:L,"NOT YET")</f>
        <v>NOT YET</v>
      </c>
      <c r="P1252" s="26"/>
      <c r="Q1252" s="26"/>
      <c r="R1252" s="26"/>
      <c r="S1252" s="26"/>
      <c r="T1252" s="26"/>
      <c r="U1252" s="26"/>
      <c r="V1252" s="26"/>
      <c r="W1252" s="26"/>
      <c r="X1252" s="26"/>
      <c r="Y1252" s="26"/>
      <c r="Z1252" s="26"/>
    </row>
    <row r="1253" hidden="1" customHeight="1" spans="1:26">
      <c r="A1253" s="27">
        <v>169</v>
      </c>
      <c r="B1253" s="27">
        <v>82</v>
      </c>
      <c r="C1253" s="27" t="s">
        <v>518</v>
      </c>
      <c r="D1253" s="27" t="s">
        <v>2716</v>
      </c>
      <c r="E1253" s="27" t="s">
        <v>2896</v>
      </c>
      <c r="F1253" s="27" t="str">
        <f t="shared" si="0"/>
        <v>Negative Traits Old French Origin</v>
      </c>
      <c r="G1253" s="27">
        <f t="shared" si="3"/>
        <v>7</v>
      </c>
      <c r="H1253" s="27" t="s">
        <v>4120</v>
      </c>
      <c r="I1253" s="27"/>
      <c r="J1253" s="27"/>
      <c r="K1253" s="27"/>
      <c r="L1253" s="27" t="str">
        <f t="shared" si="2"/>
        <v>B</v>
      </c>
      <c r="M1253" s="27" t="str">
        <f>IFERROR(__xludf.DUMMYFUNCTION("GOOGLETRANSLATE(C1253,""EN"",""KN"")"),"ಕಳಂಕ")</f>
        <v>ಕಳಂಕ</v>
      </c>
      <c r="N1253" s="27">
        <f t="array" ref="N1253">_xlfn.XLOOKUP(B1253,'Sets Progress'!I:I,'Sets Progress'!I:I,"NOT YET")</f>
        <v>82</v>
      </c>
      <c r="O1253" s="27" t="str">
        <f t="array" ref="O1253">_xlfn.XLOOKUP(L:L,'Overall Progress'!L:L,'Overall Progress'!L:L,"NOT YET")</f>
        <v>NOT YET</v>
      </c>
      <c r="P1253" s="27"/>
      <c r="Q1253" s="27"/>
      <c r="R1253" s="27"/>
      <c r="S1253" s="27"/>
      <c r="T1253" s="27"/>
      <c r="U1253" s="27"/>
      <c r="V1253" s="27"/>
      <c r="W1253" s="27"/>
      <c r="X1253" s="27"/>
      <c r="Y1253" s="27"/>
      <c r="Z1253" s="27"/>
    </row>
    <row r="1254" hidden="1" customHeight="1" spans="1:26">
      <c r="A1254" s="26">
        <v>183</v>
      </c>
      <c r="B1254" s="26">
        <v>82</v>
      </c>
      <c r="C1254" s="26" t="s">
        <v>533</v>
      </c>
      <c r="D1254" s="26" t="s">
        <v>1721</v>
      </c>
      <c r="E1254" s="26" t="s">
        <v>2889</v>
      </c>
      <c r="F1254" s="26" t="str">
        <f t="shared" si="0"/>
        <v>Temporal Latin Origin</v>
      </c>
      <c r="G1254" s="26">
        <f t="shared" si="3"/>
        <v>7</v>
      </c>
      <c r="H1254" s="26" t="s">
        <v>4121</v>
      </c>
      <c r="I1254" s="26"/>
      <c r="J1254" s="26"/>
      <c r="K1254" s="26"/>
      <c r="L1254" s="26" t="str">
        <f t="shared" si="2"/>
        <v>B</v>
      </c>
      <c r="M1254" s="26" t="str">
        <f>IFERROR(__xludf.DUMMYFUNCTION("GOOGLETRANSLATE(C1254,""EN"",""KN"")"),"ಸಂಕ್ಷಿಪ್ತತೆ")</f>
        <v>ಸಂಕ್ಷಿಪ್ತತೆ</v>
      </c>
      <c r="N1254" s="26">
        <f t="array" ref="N1254">_xlfn.XLOOKUP(B1254,'Sets Progress'!I:I,'Sets Progress'!I:I,"NOT YET")</f>
        <v>82</v>
      </c>
      <c r="O1254" s="26" t="str">
        <f t="array" ref="O1254">_xlfn.XLOOKUP(L:L,'Overall Progress'!L:L,'Overall Progress'!L:L,"NOT YET")</f>
        <v>NOT YET</v>
      </c>
      <c r="P1254" s="26"/>
      <c r="Q1254" s="26"/>
      <c r="R1254" s="26"/>
      <c r="S1254" s="26"/>
      <c r="T1254" s="26"/>
      <c r="U1254" s="26"/>
      <c r="V1254" s="26"/>
      <c r="W1254" s="26"/>
      <c r="X1254" s="26"/>
      <c r="Y1254" s="26"/>
      <c r="Z1254" s="26"/>
    </row>
    <row r="1255" hidden="1" customHeight="1" spans="1:26">
      <c r="A1255" s="27">
        <v>370</v>
      </c>
      <c r="B1255" s="27">
        <v>82</v>
      </c>
      <c r="C1255" s="27" t="s">
        <v>720</v>
      </c>
      <c r="D1255" s="27" t="s">
        <v>3022</v>
      </c>
      <c r="E1255" s="27" t="s">
        <v>2893</v>
      </c>
      <c r="F1255" s="27" t="str">
        <f t="shared" si="0"/>
        <v>Intellectual Greek Origin</v>
      </c>
      <c r="G1255" s="27">
        <f t="shared" si="3"/>
        <v>9</v>
      </c>
      <c r="H1255" s="27" t="s">
        <v>4122</v>
      </c>
      <c r="I1255" s="27"/>
      <c r="J1255" s="27"/>
      <c r="K1255" s="27"/>
      <c r="L1255" s="27" t="str">
        <f t="shared" si="2"/>
        <v>D</v>
      </c>
      <c r="M1255" s="27" t="str">
        <f>IFERROR(__xludf.DUMMYFUNCTION("GOOGLETRANSLATE(C1255,""EN"",""KN"")"),"ಡಿಮಿಸ್ಟಿಫೈ")</f>
        <v>ಡಿಮಿಸ್ಟಿಫೈ</v>
      </c>
      <c r="N1255" s="27">
        <f t="array" ref="N1255">_xlfn.XLOOKUP(B1255,'Sets Progress'!I:I,'Sets Progress'!I:I,"NOT YET")</f>
        <v>82</v>
      </c>
      <c r="O1255" s="27" t="str">
        <f t="array" ref="O1255">_xlfn.XLOOKUP(L:L,'Overall Progress'!L:L,'Overall Progress'!L:L,"NOT YET")</f>
        <v>NOT YET</v>
      </c>
      <c r="P1255" s="27"/>
      <c r="Q1255" s="27"/>
      <c r="R1255" s="27"/>
      <c r="S1255" s="27"/>
      <c r="T1255" s="27"/>
      <c r="U1255" s="27"/>
      <c r="V1255" s="27"/>
      <c r="W1255" s="27"/>
      <c r="X1255" s="27"/>
      <c r="Y1255" s="27"/>
      <c r="Z1255" s="27"/>
    </row>
    <row r="1256" hidden="1" customHeight="1" spans="1:26">
      <c r="A1256" s="26">
        <v>458</v>
      </c>
      <c r="B1256" s="26">
        <v>82</v>
      </c>
      <c r="C1256" s="26" t="s">
        <v>807</v>
      </c>
      <c r="D1256" s="26" t="s">
        <v>2716</v>
      </c>
      <c r="E1256" s="26" t="s">
        <v>2911</v>
      </c>
      <c r="F1256" s="26" t="str">
        <f t="shared" si="0"/>
        <v>Negative Traits French Origin</v>
      </c>
      <c r="G1256" s="26">
        <f t="shared" si="3"/>
        <v>4</v>
      </c>
      <c r="H1256" s="26" t="s">
        <v>4123</v>
      </c>
      <c r="I1256" s="26"/>
      <c r="J1256" s="26"/>
      <c r="K1256" s="26"/>
      <c r="L1256" s="26" t="str">
        <f t="shared" si="2"/>
        <v>D</v>
      </c>
      <c r="M1256" s="26" t="str">
        <f>IFERROR(__xludf.DUMMYFUNCTION("GOOGLETRANSLATE(C1256,""EN"",""KN"")"),"ನಕಲಿ")</f>
        <v>ನಕಲಿ</v>
      </c>
      <c r="N1256" s="26">
        <f t="array" ref="N1256">_xlfn.XLOOKUP(B1256,'Sets Progress'!I:I,'Sets Progress'!I:I,"NOT YET")</f>
        <v>82</v>
      </c>
      <c r="O1256" s="26" t="str">
        <f t="array" ref="O1256">_xlfn.XLOOKUP(L:L,'Overall Progress'!L:L,'Overall Progress'!L:L,"NOT YET")</f>
        <v>NOT YET</v>
      </c>
      <c r="P1256" s="26"/>
      <c r="Q1256" s="26"/>
      <c r="R1256" s="26"/>
      <c r="S1256" s="26"/>
      <c r="T1256" s="26"/>
      <c r="U1256" s="26"/>
      <c r="V1256" s="26"/>
      <c r="W1256" s="26"/>
      <c r="X1256" s="26"/>
      <c r="Y1256" s="26"/>
      <c r="Z1256" s="26"/>
    </row>
    <row r="1257" hidden="1" customHeight="1" spans="1:26">
      <c r="A1257" s="27">
        <v>658</v>
      </c>
      <c r="B1257" s="27">
        <v>82</v>
      </c>
      <c r="C1257" s="27" t="s">
        <v>1001</v>
      </c>
      <c r="D1257" s="27" t="s">
        <v>2717</v>
      </c>
      <c r="E1257" s="27" t="s">
        <v>2889</v>
      </c>
      <c r="F1257" s="27" t="str">
        <f t="shared" si="0"/>
        <v>Positive Traits Latin Origin</v>
      </c>
      <c r="G1257" s="27">
        <f t="shared" si="3"/>
        <v>13</v>
      </c>
      <c r="H1257" s="27" t="s">
        <v>4124</v>
      </c>
      <c r="I1257" s="27"/>
      <c r="J1257" s="27"/>
      <c r="K1257" s="27"/>
      <c r="L1257" s="27" t="str">
        <f t="shared" si="2"/>
        <v>G</v>
      </c>
      <c r="M1257" s="27" t="str">
        <f>IFERROR(__xludf.DUMMYFUNCTION("GOOGLETRANSLATE(C1257,""EN"",""KN"")"),"ವೈಭವೀಕರಣ")</f>
        <v>ವೈಭವೀಕರಣ</v>
      </c>
      <c r="N1257" s="27">
        <f t="array" ref="N1257">_xlfn.XLOOKUP(B1257,'Sets Progress'!I:I,'Sets Progress'!I:I,"NOT YET")</f>
        <v>82</v>
      </c>
      <c r="O1257" s="27" t="str">
        <f t="array" ref="O1257">_xlfn.XLOOKUP(L:L,'Overall Progress'!L:L,'Overall Progress'!L:L,"NOT YET")</f>
        <v>NOT YET</v>
      </c>
      <c r="P1257" s="27"/>
      <c r="Q1257" s="27"/>
      <c r="R1257" s="27"/>
      <c r="S1257" s="27"/>
      <c r="T1257" s="27"/>
      <c r="U1257" s="27"/>
      <c r="V1257" s="27"/>
      <c r="W1257" s="27"/>
      <c r="X1257" s="27"/>
      <c r="Y1257" s="27"/>
      <c r="Z1257" s="27"/>
    </row>
    <row r="1258" hidden="1" customHeight="1" spans="1:26">
      <c r="A1258" s="26">
        <v>681</v>
      </c>
      <c r="B1258" s="26">
        <v>82</v>
      </c>
      <c r="C1258" s="26" t="s">
        <v>1023</v>
      </c>
      <c r="D1258" s="26" t="s">
        <v>2716</v>
      </c>
      <c r="E1258" s="26" t="s">
        <v>2908</v>
      </c>
      <c r="F1258" s="26" t="str">
        <f t="shared" si="0"/>
        <v>Negative Traits Old English Origin</v>
      </c>
      <c r="G1258" s="26">
        <f t="shared" si="3"/>
        <v>10</v>
      </c>
      <c r="H1258" s="26" t="s">
        <v>4125</v>
      </c>
      <c r="I1258" s="26"/>
      <c r="J1258" s="26"/>
      <c r="K1258" s="26"/>
      <c r="L1258" s="26" t="str">
        <f t="shared" si="2"/>
        <v>H</v>
      </c>
      <c r="M1258" s="26" t="str">
        <f>IFERROR(__xludf.DUMMYFUNCTION("GOOGLETRANSLATE(C1258,""EN"",""KN"")"),"ಹೆಡ್ ಸ್ಟ್ರಾಂಗ್")</f>
        <v>ಹೆಡ್ ಸ್ಟ್ರಾಂಗ್</v>
      </c>
      <c r="N1258" s="26">
        <f t="array" ref="N1258">_xlfn.XLOOKUP(B1258,'Sets Progress'!I:I,'Sets Progress'!I:I,"NOT YET")</f>
        <v>82</v>
      </c>
      <c r="O1258" s="26" t="str">
        <f t="array" ref="O1258">_xlfn.XLOOKUP(L:L,'Overall Progress'!L:L,'Overall Progress'!L:L,"NOT YET")</f>
        <v>NOT YET</v>
      </c>
      <c r="P1258" s="26"/>
      <c r="Q1258" s="26"/>
      <c r="R1258" s="26"/>
      <c r="S1258" s="26"/>
      <c r="T1258" s="26"/>
      <c r="U1258" s="26"/>
      <c r="V1258" s="26"/>
      <c r="W1258" s="26"/>
      <c r="X1258" s="26"/>
      <c r="Y1258" s="26"/>
      <c r="Z1258" s="26"/>
    </row>
    <row r="1259" hidden="1" customHeight="1" spans="1:26">
      <c r="A1259" s="27">
        <v>852</v>
      </c>
      <c r="B1259" s="27">
        <v>82</v>
      </c>
      <c r="C1259" s="27" t="s">
        <v>1192</v>
      </c>
      <c r="D1259" s="27" t="s">
        <v>2716</v>
      </c>
      <c r="E1259" s="27" t="s">
        <v>2889</v>
      </c>
      <c r="F1259" s="27" t="str">
        <f t="shared" si="0"/>
        <v>Negative Traits Latin Origin</v>
      </c>
      <c r="G1259" s="27">
        <f t="shared" si="3"/>
        <v>9</v>
      </c>
      <c r="H1259" s="27" t="s">
        <v>4126</v>
      </c>
      <c r="I1259" s="27"/>
      <c r="J1259" s="27"/>
      <c r="K1259" s="27"/>
      <c r="L1259" s="27" t="str">
        <f t="shared" si="2"/>
        <v>L</v>
      </c>
      <c r="M1259" s="27" t="str">
        <f>IFERROR(__xludf.DUMMYFUNCTION("GOOGLETRANSLATE(C1259,""EN"",""KN"")"),"ಆಲಸ್ಯ")</f>
        <v>ಆಲಸ್ಯ</v>
      </c>
      <c r="N1259" s="27">
        <f t="array" ref="N1259">_xlfn.XLOOKUP(B1259,'Sets Progress'!I:I,'Sets Progress'!I:I,"NOT YET")</f>
        <v>82</v>
      </c>
      <c r="O1259" s="27" t="str">
        <f t="array" ref="O1259">_xlfn.XLOOKUP(L:L,'Overall Progress'!L:L,'Overall Progress'!L:L,"NOT YET")</f>
        <v>NOT YET</v>
      </c>
      <c r="P1259" s="27"/>
      <c r="Q1259" s="27"/>
      <c r="R1259" s="27"/>
      <c r="S1259" s="27"/>
      <c r="T1259" s="27"/>
      <c r="U1259" s="27"/>
      <c r="V1259" s="27"/>
      <c r="W1259" s="27"/>
      <c r="X1259" s="27"/>
      <c r="Y1259" s="27"/>
      <c r="Z1259" s="27"/>
    </row>
    <row r="1260" hidden="1" customHeight="1" spans="1:26">
      <c r="A1260" s="26">
        <v>959</v>
      </c>
      <c r="B1260" s="26">
        <v>82</v>
      </c>
      <c r="C1260" s="26" t="s">
        <v>1295</v>
      </c>
      <c r="D1260" s="26" t="s">
        <v>1721</v>
      </c>
      <c r="E1260" s="26" t="s">
        <v>3562</v>
      </c>
      <c r="F1260" s="26" t="str">
        <f t="shared" si="0"/>
        <v>Temporal Old French/Latin Origin</v>
      </c>
      <c r="G1260" s="26">
        <f t="shared" si="3"/>
        <v>5</v>
      </c>
      <c r="H1260" s="26" t="s">
        <v>4127</v>
      </c>
      <c r="I1260" s="26"/>
      <c r="J1260" s="26"/>
      <c r="K1260" s="26"/>
      <c r="L1260" s="26" t="str">
        <f t="shared" si="2"/>
        <v>N</v>
      </c>
      <c r="M1260" s="26" t="str">
        <f>IFERROR(__xludf.DUMMYFUNCTION("GOOGLETRANSLATE(C1260,""EN"",""KN"")"),"ಕಾದಂಬರಿ")</f>
        <v>ಕಾದಂಬರಿ</v>
      </c>
      <c r="N1260" s="26">
        <f t="array" ref="N1260">_xlfn.XLOOKUP(B1260,'Sets Progress'!I:I,'Sets Progress'!I:I,"NOT YET")</f>
        <v>82</v>
      </c>
      <c r="O1260" s="26" t="str">
        <f t="array" ref="O1260">_xlfn.XLOOKUP(L:L,'Overall Progress'!L:L,'Overall Progress'!L:L,"NOT YET")</f>
        <v>NOT YET</v>
      </c>
      <c r="P1260" s="26"/>
      <c r="Q1260" s="26"/>
      <c r="R1260" s="26"/>
      <c r="S1260" s="26"/>
      <c r="T1260" s="26"/>
      <c r="U1260" s="26"/>
      <c r="V1260" s="26"/>
      <c r="W1260" s="26"/>
      <c r="X1260" s="26"/>
      <c r="Y1260" s="26"/>
      <c r="Z1260" s="26"/>
    </row>
    <row r="1261" hidden="1" customHeight="1" spans="1:26">
      <c r="A1261" s="27">
        <v>1259</v>
      </c>
      <c r="B1261" s="27">
        <v>82</v>
      </c>
      <c r="C1261" s="27" t="s">
        <v>1590</v>
      </c>
      <c r="D1261" s="27" t="s">
        <v>1721</v>
      </c>
      <c r="E1261" s="27" t="s">
        <v>2889</v>
      </c>
      <c r="F1261" s="27" t="str">
        <f t="shared" si="0"/>
        <v>Temporal Latin Origin</v>
      </c>
      <c r="G1261" s="27">
        <f t="shared" si="3"/>
        <v>10</v>
      </c>
      <c r="H1261" s="27" t="s">
        <v>4128</v>
      </c>
      <c r="I1261" s="27"/>
      <c r="J1261" s="27"/>
      <c r="K1261" s="27"/>
      <c r="L1261" s="27" t="str">
        <f t="shared" si="2"/>
        <v>S</v>
      </c>
      <c r="M1261" s="27" t="str">
        <f>IFERROR(__xludf.DUMMYFUNCTION("GOOGLETRANSLATE(C1261,""EN"",""KN"")"),"ಸೂಕ್ಷ್ಮವಾಗಿ ಪರಿಶೀಲಿಸು")</f>
        <v>ಸೂಕ್ಷ್ಮವಾಗಿ ಪರಿಶೀಲಿಸು</v>
      </c>
      <c r="N1261" s="27">
        <f t="array" ref="N1261">_xlfn.XLOOKUP(B1261,'Sets Progress'!I:I,'Sets Progress'!I:I,"NOT YET")</f>
        <v>82</v>
      </c>
      <c r="O1261" s="27" t="str">
        <f t="array" ref="O1261">_xlfn.XLOOKUP(L:L,'Overall Progress'!L:L,'Overall Progress'!L:L,"NOT YET")</f>
        <v>NOT YET</v>
      </c>
      <c r="P1261" s="27"/>
      <c r="Q1261" s="27"/>
      <c r="R1261" s="27"/>
      <c r="S1261" s="27"/>
      <c r="T1261" s="27"/>
      <c r="U1261" s="27"/>
      <c r="V1261" s="27"/>
      <c r="W1261" s="27"/>
      <c r="X1261" s="27"/>
      <c r="Y1261" s="27"/>
      <c r="Z1261" s="27"/>
    </row>
    <row r="1262" hidden="1" customHeight="1" spans="1:26">
      <c r="A1262" s="26">
        <v>225</v>
      </c>
      <c r="B1262" s="26">
        <v>83</v>
      </c>
      <c r="C1262" s="26" t="s">
        <v>575</v>
      </c>
      <c r="D1262" s="26" t="s">
        <v>2946</v>
      </c>
      <c r="E1262" s="26" t="s">
        <v>2908</v>
      </c>
      <c r="F1262" s="26" t="str">
        <f t="shared" si="0"/>
        <v>Emotional Old English Origin</v>
      </c>
      <c r="G1262" s="26">
        <f t="shared" si="3"/>
        <v>5</v>
      </c>
      <c r="H1262" s="26" t="s">
        <v>4129</v>
      </c>
      <c r="I1262" s="26"/>
      <c r="J1262" s="26"/>
      <c r="K1262" s="26"/>
      <c r="L1262" s="26" t="str">
        <f t="shared" si="2"/>
        <v>C</v>
      </c>
      <c r="M1262" s="26" t="str">
        <f>IFERROR(__xludf.DUMMYFUNCTION("GOOGLETRANSLATE(C1262,""EN"",""KN"")"),"ಚಾರಿ")</f>
        <v>ಚಾರಿ</v>
      </c>
      <c r="N1262" s="26">
        <f t="array" ref="N1262">_xlfn.XLOOKUP(B1262,'Sets Progress'!I:I,'Sets Progress'!I:I,"NOT YET")</f>
        <v>83</v>
      </c>
      <c r="O1262" s="26" t="str">
        <f t="array" ref="O1262">_xlfn.XLOOKUP(L:L,'Overall Progress'!L:L,'Overall Progress'!L:L,"NOT YET")</f>
        <v>NOT YET</v>
      </c>
      <c r="P1262" s="26"/>
      <c r="Q1262" s="26"/>
      <c r="R1262" s="26"/>
      <c r="S1262" s="26"/>
      <c r="T1262" s="26"/>
      <c r="U1262" s="26"/>
      <c r="V1262" s="26"/>
      <c r="W1262" s="26"/>
      <c r="X1262" s="26"/>
      <c r="Y1262" s="26"/>
      <c r="Z1262" s="26"/>
    </row>
    <row r="1263" hidden="1" customHeight="1" spans="1:26">
      <c r="A1263" s="27">
        <v>291</v>
      </c>
      <c r="B1263" s="27">
        <v>83</v>
      </c>
      <c r="C1263" s="27" t="s">
        <v>644</v>
      </c>
      <c r="D1263" s="27" t="s">
        <v>1721</v>
      </c>
      <c r="E1263" s="27" t="s">
        <v>2889</v>
      </c>
      <c r="F1263" s="27" t="str">
        <f t="shared" si="0"/>
        <v>Temporal Latin Origin</v>
      </c>
      <c r="G1263" s="27">
        <f t="shared" si="3"/>
        <v>12</v>
      </c>
      <c r="H1263" s="27" t="s">
        <v>4130</v>
      </c>
      <c r="I1263" s="27"/>
      <c r="J1263" s="27"/>
      <c r="K1263" s="27"/>
      <c r="L1263" s="27" t="str">
        <f t="shared" si="2"/>
        <v>C</v>
      </c>
      <c r="M1263" s="27" t="str">
        <f>IFERROR(__xludf.DUMMYFUNCTION("GOOGLETRANSLATE(C1263,""EN"",""KN"")"),"ನಿರ್ಬಂಧಿಸುವುದು")</f>
        <v>ನಿರ್ಬಂಧಿಸುವುದು</v>
      </c>
      <c r="N1263" s="27">
        <f t="array" ref="N1263">_xlfn.XLOOKUP(B1263,'Sets Progress'!I:I,'Sets Progress'!I:I,"NOT YET")</f>
        <v>83</v>
      </c>
      <c r="O1263" s="27" t="str">
        <f t="array" ref="O1263">_xlfn.XLOOKUP(L:L,'Overall Progress'!L:L,'Overall Progress'!L:L,"NOT YET")</f>
        <v>NOT YET</v>
      </c>
      <c r="P1263" s="27"/>
      <c r="Q1263" s="27"/>
      <c r="R1263" s="27"/>
      <c r="S1263" s="27"/>
      <c r="T1263" s="27"/>
      <c r="U1263" s="27"/>
      <c r="V1263" s="27"/>
      <c r="W1263" s="27"/>
      <c r="X1263" s="27"/>
      <c r="Y1263" s="27"/>
      <c r="Z1263" s="27"/>
    </row>
    <row r="1264" hidden="1" customHeight="1" spans="1:26">
      <c r="A1264" s="26">
        <v>339</v>
      </c>
      <c r="B1264" s="26">
        <v>83</v>
      </c>
      <c r="C1264" s="26" t="s">
        <v>689</v>
      </c>
      <c r="D1264" s="26" t="s">
        <v>1721</v>
      </c>
      <c r="E1264" s="26" t="s">
        <v>2889</v>
      </c>
      <c r="F1264" s="26" t="str">
        <f t="shared" si="0"/>
        <v>Temporal Latin Origin</v>
      </c>
      <c r="G1264" s="26">
        <f t="shared" si="3"/>
        <v>7</v>
      </c>
      <c r="H1264" s="26" t="s">
        <v>4131</v>
      </c>
      <c r="I1264" s="26"/>
      <c r="J1264" s="26"/>
      <c r="K1264" s="26"/>
      <c r="L1264" s="26" t="str">
        <f t="shared" si="2"/>
        <v>C</v>
      </c>
      <c r="M1264" s="26" t="str">
        <f>IFERROR(__xludf.DUMMYFUNCTION("GOOGLETRANSLATE(C1264,""EN"",""KN"")"),"ಕರ್ಸರಿ")</f>
        <v>ಕರ್ಸರಿ</v>
      </c>
      <c r="N1264" s="26">
        <f t="array" ref="N1264">_xlfn.XLOOKUP(B1264,'Sets Progress'!I:I,'Sets Progress'!I:I,"NOT YET")</f>
        <v>83</v>
      </c>
      <c r="O1264" s="26" t="str">
        <f t="array" ref="O1264">_xlfn.XLOOKUP(L:L,'Overall Progress'!L:L,'Overall Progress'!L:L,"NOT YET")</f>
        <v>NOT YET</v>
      </c>
      <c r="P1264" s="26"/>
      <c r="Q1264" s="26"/>
      <c r="R1264" s="26"/>
      <c r="S1264" s="26"/>
      <c r="T1264" s="26"/>
      <c r="U1264" s="26"/>
      <c r="V1264" s="26"/>
      <c r="W1264" s="26"/>
      <c r="X1264" s="26"/>
      <c r="Y1264" s="26"/>
      <c r="Z1264" s="26"/>
    </row>
    <row r="1265" hidden="1" customHeight="1" spans="1:26">
      <c r="A1265" s="27">
        <v>468</v>
      </c>
      <c r="B1265" s="27">
        <v>83</v>
      </c>
      <c r="C1265" s="27" t="s">
        <v>817</v>
      </c>
      <c r="D1265" s="27" t="s">
        <v>2928</v>
      </c>
      <c r="E1265" s="27" t="s">
        <v>2893</v>
      </c>
      <c r="F1265" s="27" t="str">
        <f t="shared" si="0"/>
        <v>Philosophical Greek Origin</v>
      </c>
      <c r="G1265" s="27">
        <f t="shared" si="3"/>
        <v>8</v>
      </c>
      <c r="H1265" s="27" t="s">
        <v>4132</v>
      </c>
      <c r="I1265" s="27"/>
      <c r="J1265" s="27"/>
      <c r="K1265" s="27"/>
      <c r="L1265" s="27" t="str">
        <f t="shared" si="2"/>
        <v>E</v>
      </c>
      <c r="M1265" s="27" t="str">
        <f>IFERROR(__xludf.DUMMYFUNCTION("GOOGLETRANSLATE(C1265,""EN"",""KN"")"),"ಸಾರಸಂಗ್ರಹಿ")</f>
        <v>ಸಾರಸಂಗ್ರಹಿ</v>
      </c>
      <c r="N1265" s="27">
        <f t="array" ref="N1265">_xlfn.XLOOKUP(B1265,'Sets Progress'!I:I,'Sets Progress'!I:I,"NOT YET")</f>
        <v>83</v>
      </c>
      <c r="O1265" s="27" t="str">
        <f t="array" ref="O1265">_xlfn.XLOOKUP(L:L,'Overall Progress'!L:L,'Overall Progress'!L:L,"NOT YET")</f>
        <v>NOT YET</v>
      </c>
      <c r="P1265" s="27"/>
      <c r="Q1265" s="27"/>
      <c r="R1265" s="27"/>
      <c r="S1265" s="27"/>
      <c r="T1265" s="27"/>
      <c r="U1265" s="27"/>
      <c r="V1265" s="27"/>
      <c r="W1265" s="27"/>
      <c r="X1265" s="27"/>
      <c r="Y1265" s="27"/>
      <c r="Z1265" s="27"/>
    </row>
    <row r="1266" hidden="1" customHeight="1" spans="1:26">
      <c r="A1266" s="26">
        <v>777</v>
      </c>
      <c r="B1266" s="26">
        <v>83</v>
      </c>
      <c r="C1266" s="26" t="s">
        <v>1118</v>
      </c>
      <c r="D1266" s="26" t="s">
        <v>1721</v>
      </c>
      <c r="E1266" s="26" t="s">
        <v>2889</v>
      </c>
      <c r="F1266" s="26" t="str">
        <f t="shared" si="0"/>
        <v>Temporal Latin Origin</v>
      </c>
      <c r="G1266" s="26">
        <f t="shared" si="3"/>
        <v>13</v>
      </c>
      <c r="H1266" s="26" t="s">
        <v>4133</v>
      </c>
      <c r="I1266" s="26"/>
      <c r="J1266" s="26"/>
      <c r="K1266" s="26"/>
      <c r="L1266" s="26" t="str">
        <f t="shared" si="2"/>
        <v>I</v>
      </c>
      <c r="M1266" s="26" t="str">
        <f>IFERROR(__xludf.DUMMYFUNCTION("GOOGLETRANSLATE(C1266,""EN"",""KN"")"),"ಅಕ್ಷಯ")</f>
        <v>ಅಕ್ಷಯ</v>
      </c>
      <c r="N1266" s="26">
        <f t="array" ref="N1266">_xlfn.XLOOKUP(B1266,'Sets Progress'!I:I,'Sets Progress'!I:I,"NOT YET")</f>
        <v>83</v>
      </c>
      <c r="O1266" s="26" t="str">
        <f t="array" ref="O1266">_xlfn.XLOOKUP(L:L,'Overall Progress'!L:L,'Overall Progress'!L:L,"NOT YET")</f>
        <v>NOT YET</v>
      </c>
      <c r="P1266" s="26"/>
      <c r="Q1266" s="26"/>
      <c r="R1266" s="26"/>
      <c r="S1266" s="26"/>
      <c r="T1266" s="26"/>
      <c r="U1266" s="26"/>
      <c r="V1266" s="26"/>
      <c r="W1266" s="26"/>
      <c r="X1266" s="26"/>
      <c r="Y1266" s="26"/>
      <c r="Z1266" s="26"/>
    </row>
    <row r="1267" hidden="1" customHeight="1" spans="1:26">
      <c r="A1267" s="27">
        <v>867</v>
      </c>
      <c r="B1267" s="27">
        <v>83</v>
      </c>
      <c r="C1267" s="27" t="s">
        <v>1206</v>
      </c>
      <c r="D1267" s="27" t="s">
        <v>2717</v>
      </c>
      <c r="E1267" s="27" t="s">
        <v>2908</v>
      </c>
      <c r="F1267" s="27" t="str">
        <f t="shared" si="0"/>
        <v>Positive Traits Old English Origin</v>
      </c>
      <c r="G1267" s="27">
        <f t="shared" si="3"/>
        <v>5</v>
      </c>
      <c r="H1267" s="27" t="s">
        <v>4134</v>
      </c>
      <c r="I1267" s="27"/>
      <c r="J1267" s="27"/>
      <c r="K1267" s="27"/>
      <c r="L1267" s="27" t="str">
        <f t="shared" si="2"/>
        <v>L</v>
      </c>
      <c r="M1267" s="27" t="str">
        <f>IFERROR(__xludf.DUMMYFUNCTION("GOOGLETRANSLATE(C1267,""EN"",""KN"")"),"ಎತ್ತರದ")</f>
        <v>ಎತ್ತರದ</v>
      </c>
      <c r="N1267" s="27">
        <f t="array" ref="N1267">_xlfn.XLOOKUP(B1267,'Sets Progress'!I:I,'Sets Progress'!I:I,"NOT YET")</f>
        <v>83</v>
      </c>
      <c r="O1267" s="27" t="str">
        <f t="array" ref="O1267">_xlfn.XLOOKUP(L:L,'Overall Progress'!L:L,'Overall Progress'!L:L,"NOT YET")</f>
        <v>NOT YET</v>
      </c>
      <c r="P1267" s="27"/>
      <c r="Q1267" s="27"/>
      <c r="R1267" s="27"/>
      <c r="S1267" s="27"/>
      <c r="T1267" s="27"/>
      <c r="U1267" s="27"/>
      <c r="V1267" s="27"/>
      <c r="W1267" s="27"/>
      <c r="X1267" s="27"/>
      <c r="Y1267" s="27"/>
      <c r="Z1267" s="27"/>
    </row>
    <row r="1268" hidden="1" customHeight="1" spans="1:26">
      <c r="A1268" s="26">
        <v>1195</v>
      </c>
      <c r="B1268" s="26">
        <v>83</v>
      </c>
      <c r="C1268" s="26" t="s">
        <v>1526</v>
      </c>
      <c r="D1268" s="26" t="s">
        <v>2717</v>
      </c>
      <c r="E1268" s="26" t="s">
        <v>2889</v>
      </c>
      <c r="F1268" s="26" t="str">
        <f t="shared" si="0"/>
        <v>Positive Traits Latin Origin</v>
      </c>
      <c r="G1268" s="26">
        <f t="shared" si="3"/>
        <v>10</v>
      </c>
      <c r="H1268" s="26" t="s">
        <v>4135</v>
      </c>
      <c r="I1268" s="26"/>
      <c r="J1268" s="26"/>
      <c r="K1268" s="26"/>
      <c r="L1268" s="26" t="str">
        <f t="shared" si="2"/>
        <v>R</v>
      </c>
      <c r="M1268" s="26" t="str">
        <f>IFERROR(__xludf.DUMMYFUNCTION("GOOGLETRANSLATE(C1268,""EN"",""KN"")"),"ಪುನರ್ಯೌವನಗೊಳಿಸು")</f>
        <v>ಪುನರ್ಯೌವನಗೊಳಿಸು</v>
      </c>
      <c r="N1268" s="26">
        <f t="array" ref="N1268">_xlfn.XLOOKUP(B1268,'Sets Progress'!I:I,'Sets Progress'!I:I,"NOT YET")</f>
        <v>83</v>
      </c>
      <c r="O1268" s="26" t="str">
        <f t="array" ref="O1268">_xlfn.XLOOKUP(L:L,'Overall Progress'!L:L,'Overall Progress'!L:L,"NOT YET")</f>
        <v>NOT YET</v>
      </c>
      <c r="P1268" s="26"/>
      <c r="Q1268" s="26"/>
      <c r="R1268" s="26"/>
      <c r="S1268" s="26"/>
      <c r="T1268" s="26"/>
      <c r="U1268" s="26"/>
      <c r="V1268" s="26"/>
      <c r="W1268" s="26"/>
      <c r="X1268" s="26"/>
      <c r="Y1268" s="26"/>
      <c r="Z1268" s="26"/>
    </row>
    <row r="1269" hidden="1" customHeight="1" spans="1:26">
      <c r="A1269" s="27">
        <v>1199</v>
      </c>
      <c r="B1269" s="27">
        <v>83</v>
      </c>
      <c r="C1269" s="27" t="s">
        <v>1530</v>
      </c>
      <c r="D1269" s="27" t="s">
        <v>1721</v>
      </c>
      <c r="E1269" s="27" t="s">
        <v>2889</v>
      </c>
      <c r="F1269" s="27" t="str">
        <f t="shared" si="0"/>
        <v>Temporal Latin Origin</v>
      </c>
      <c r="G1269" s="27">
        <f t="shared" si="3"/>
        <v>10</v>
      </c>
      <c r="H1269" s="27" t="s">
        <v>4136</v>
      </c>
      <c r="I1269" s="27"/>
      <c r="J1269" s="27"/>
      <c r="K1269" s="27"/>
      <c r="L1269" s="27" t="str">
        <f t="shared" si="2"/>
        <v>R</v>
      </c>
      <c r="M1269" s="27" t="str">
        <f>IFERROR(__xludf.DUMMYFUNCTION("GOOGLETRANSLATE(C1269,""EN"",""KN"")"),"ತ್ಯಜಿಸು")</f>
        <v>ತ್ಯಜಿಸು</v>
      </c>
      <c r="N1269" s="27">
        <f t="array" ref="N1269">_xlfn.XLOOKUP(B1269,'Sets Progress'!I:I,'Sets Progress'!I:I,"NOT YET")</f>
        <v>83</v>
      </c>
      <c r="O1269" s="27" t="str">
        <f t="array" ref="O1269">_xlfn.XLOOKUP(L:L,'Overall Progress'!L:L,'Overall Progress'!L:L,"NOT YET")</f>
        <v>NOT YET</v>
      </c>
      <c r="P1269" s="27"/>
      <c r="Q1269" s="27"/>
      <c r="R1269" s="27"/>
      <c r="S1269" s="27"/>
      <c r="T1269" s="27"/>
      <c r="U1269" s="27"/>
      <c r="V1269" s="27"/>
      <c r="W1269" s="27"/>
      <c r="X1269" s="27"/>
      <c r="Y1269" s="27"/>
      <c r="Z1269" s="27"/>
    </row>
    <row r="1270" hidden="1" customHeight="1" spans="1:26">
      <c r="A1270" s="26">
        <v>1542</v>
      </c>
      <c r="B1270" s="26">
        <v>83</v>
      </c>
      <c r="C1270" s="26" t="s">
        <v>1872</v>
      </c>
      <c r="D1270" s="26" t="s">
        <v>2716</v>
      </c>
      <c r="E1270" s="26" t="s">
        <v>2893</v>
      </c>
      <c r="F1270" s="26" t="str">
        <f t="shared" si="0"/>
        <v>Negative Traits Greek Origin</v>
      </c>
      <c r="G1270" s="26">
        <f t="shared" si="3"/>
        <v>6</v>
      </c>
      <c r="H1270" s="26" t="s">
        <v>4137</v>
      </c>
      <c r="I1270" s="26"/>
      <c r="J1270" s="26"/>
      <c r="K1270" s="26"/>
      <c r="L1270" s="26" t="str">
        <f t="shared" si="2"/>
        <v>Z</v>
      </c>
      <c r="M1270" s="26" t="str">
        <f>IFERROR(__xludf.DUMMYFUNCTION("GOOGLETRANSLATE(C1270,""EN"",""KN"")"),"ಉತ್ಸಾಹಿ")</f>
        <v>ಉತ್ಸಾಹಿ</v>
      </c>
      <c r="N1270" s="26">
        <f t="array" ref="N1270">_xlfn.XLOOKUP(B1270,'Sets Progress'!I:I,'Sets Progress'!I:I,"NOT YET")</f>
        <v>83</v>
      </c>
      <c r="O1270" s="26" t="str">
        <f t="array" ref="O1270">_xlfn.XLOOKUP(L:L,'Overall Progress'!L:L,'Overall Progress'!L:L,"NOT YET")</f>
        <v>NOT YET</v>
      </c>
      <c r="P1270" s="26"/>
      <c r="Q1270" s="26"/>
      <c r="R1270" s="26"/>
      <c r="S1270" s="26"/>
      <c r="T1270" s="26"/>
      <c r="U1270" s="26"/>
      <c r="V1270" s="26"/>
      <c r="W1270" s="26"/>
      <c r="X1270" s="26"/>
      <c r="Y1270" s="26"/>
      <c r="Z1270" s="26"/>
    </row>
    <row r="1271" hidden="1" customHeight="1" spans="1:26">
      <c r="A1271" s="27">
        <v>1544</v>
      </c>
      <c r="B1271" s="27">
        <v>83</v>
      </c>
      <c r="C1271" s="27" t="s">
        <v>1876</v>
      </c>
      <c r="D1271" s="27" t="s">
        <v>1721</v>
      </c>
      <c r="E1271" s="27" t="s">
        <v>2889</v>
      </c>
      <c r="F1271" s="27" t="str">
        <f t="shared" si="0"/>
        <v>Temporal Latin Origin</v>
      </c>
      <c r="G1271" s="27">
        <f t="shared" si="3"/>
        <v>6</v>
      </c>
      <c r="H1271" s="27" t="s">
        <v>4138</v>
      </c>
      <c r="I1271" s="27"/>
      <c r="J1271" s="27"/>
      <c r="K1271" s="27"/>
      <c r="L1271" s="27" t="str">
        <f t="shared" si="2"/>
        <v>Z</v>
      </c>
      <c r="M1271" s="27" t="str">
        <f>IFERROR(__xludf.DUMMYFUNCTION("GOOGLETRANSLATE(C1271,""EN"",""KN"")"),"ಜೆನಿತ್")</f>
        <v>ಜೆನಿತ್</v>
      </c>
      <c r="N1271" s="27">
        <f t="array" ref="N1271">_xlfn.XLOOKUP(B1271,'Sets Progress'!I:I,'Sets Progress'!I:I,"NOT YET")</f>
        <v>83</v>
      </c>
      <c r="O1271" s="27" t="str">
        <f t="array" ref="O1271">_xlfn.XLOOKUP(L:L,'Overall Progress'!L:L,'Overall Progress'!L:L,"NOT YET")</f>
        <v>NOT YET</v>
      </c>
      <c r="P1271" s="27"/>
      <c r="Q1271" s="27"/>
      <c r="R1271" s="27"/>
      <c r="S1271" s="27"/>
      <c r="T1271" s="27"/>
      <c r="U1271" s="27"/>
      <c r="V1271" s="27"/>
      <c r="W1271" s="27"/>
      <c r="X1271" s="27"/>
      <c r="Y1271" s="27"/>
      <c r="Z1271" s="27"/>
    </row>
    <row r="1272" hidden="1" customHeight="1" spans="1:26">
      <c r="A1272" s="26">
        <v>51</v>
      </c>
      <c r="B1272" s="26">
        <v>84</v>
      </c>
      <c r="C1272" s="26" t="s">
        <v>405</v>
      </c>
      <c r="D1272" s="26" t="s">
        <v>2946</v>
      </c>
      <c r="E1272" s="26" t="s">
        <v>2889</v>
      </c>
      <c r="F1272" s="26" t="str">
        <f t="shared" si="0"/>
        <v>Emotional Latin Origin</v>
      </c>
      <c r="G1272" s="26">
        <f t="shared" si="3"/>
        <v>7</v>
      </c>
      <c r="H1272" s="26" t="s">
        <v>4139</v>
      </c>
      <c r="I1272" s="26"/>
      <c r="J1272" s="26"/>
      <c r="K1272" s="26"/>
      <c r="L1272" s="26" t="str">
        <f t="shared" si="2"/>
        <v>A</v>
      </c>
      <c r="M1272" s="26" t="str">
        <f>IFERROR(__xludf.DUMMYFUNCTION("GOOGLETRANSLATE(C1272,""EN"",""KN"")"),"ತಳಮಳಗೊಳಿಸು")</f>
        <v>ತಳಮಳಗೊಳಿಸು</v>
      </c>
      <c r="N1272" s="26">
        <f t="array" ref="N1272">_xlfn.XLOOKUP(B1272,'Sets Progress'!I:I,'Sets Progress'!I:I,"NOT YET")</f>
        <v>84</v>
      </c>
      <c r="O1272" s="26" t="str">
        <f t="array" ref="O1272">_xlfn.XLOOKUP(L:L,'Overall Progress'!L:L,'Overall Progress'!L:L,"NOT YET")</f>
        <v>NOT YET</v>
      </c>
      <c r="P1272" s="26"/>
      <c r="Q1272" s="26"/>
      <c r="R1272" s="26"/>
      <c r="S1272" s="26"/>
      <c r="T1272" s="26"/>
      <c r="U1272" s="26"/>
      <c r="V1272" s="26"/>
      <c r="W1272" s="26"/>
      <c r="X1272" s="26"/>
      <c r="Y1272" s="26"/>
      <c r="Z1272" s="26"/>
    </row>
    <row r="1273" hidden="1" customHeight="1" spans="1:26">
      <c r="A1273" s="27">
        <v>170</v>
      </c>
      <c r="B1273" s="27">
        <v>84</v>
      </c>
      <c r="C1273" s="27" t="s">
        <v>519</v>
      </c>
      <c r="D1273" s="27" t="s">
        <v>2716</v>
      </c>
      <c r="E1273" s="27" t="s">
        <v>2908</v>
      </c>
      <c r="F1273" s="27" t="str">
        <f t="shared" si="0"/>
        <v>Negative Traits Old English Origin</v>
      </c>
      <c r="G1273" s="27">
        <f t="shared" si="3"/>
        <v>6</v>
      </c>
      <c r="H1273" s="27" t="s">
        <v>4140</v>
      </c>
      <c r="I1273" s="27"/>
      <c r="J1273" s="27"/>
      <c r="K1273" s="27"/>
      <c r="L1273" s="27" t="str">
        <f t="shared" si="2"/>
        <v>B</v>
      </c>
      <c r="M1273" s="27" t="str">
        <f>IFERROR(__xludf.DUMMYFUNCTION("GOOGLETRANSLATE(C1273,""EN"",""KN"")"),"ಕೊಳೆತ")</f>
        <v>ಕೊಳೆತ</v>
      </c>
      <c r="N1273" s="27">
        <f t="array" ref="N1273">_xlfn.XLOOKUP(B1273,'Sets Progress'!I:I,'Sets Progress'!I:I,"NOT YET")</f>
        <v>84</v>
      </c>
      <c r="O1273" s="27" t="str">
        <f t="array" ref="O1273">_xlfn.XLOOKUP(L:L,'Overall Progress'!L:L,'Overall Progress'!L:L,"NOT YET")</f>
        <v>NOT YET</v>
      </c>
      <c r="P1273" s="27"/>
      <c r="Q1273" s="27"/>
      <c r="R1273" s="27"/>
      <c r="S1273" s="27"/>
      <c r="T1273" s="27"/>
      <c r="U1273" s="27"/>
      <c r="V1273" s="27"/>
      <c r="W1273" s="27"/>
      <c r="X1273" s="27"/>
      <c r="Y1273" s="27"/>
      <c r="Z1273" s="27"/>
    </row>
    <row r="1274" hidden="1" customHeight="1" spans="1:26">
      <c r="A1274" s="26">
        <v>188</v>
      </c>
      <c r="B1274" s="26">
        <v>84</v>
      </c>
      <c r="C1274" s="26" t="s">
        <v>538</v>
      </c>
      <c r="D1274" s="26" t="s">
        <v>2892</v>
      </c>
      <c r="E1274" s="26" t="s">
        <v>2889</v>
      </c>
      <c r="F1274" s="26" t="str">
        <f t="shared" si="0"/>
        <v>Spatial Latin Origin</v>
      </c>
      <c r="G1274" s="26">
        <f t="shared" si="3"/>
        <v>8</v>
      </c>
      <c r="H1274" s="26" t="s">
        <v>4141</v>
      </c>
      <c r="I1274" s="26"/>
      <c r="J1274" s="26"/>
      <c r="K1274" s="26"/>
      <c r="L1274" s="26" t="str">
        <f t="shared" si="2"/>
        <v>B</v>
      </c>
      <c r="M1274" s="26" t="str">
        <f>IFERROR(__xludf.DUMMYFUNCTION("GOOGLETRANSLATE(C1274,""EN"",""KN"")"),"ತೇಲುವಿಕೆ")</f>
        <v>ತೇಲುವಿಕೆ</v>
      </c>
      <c r="N1274" s="26">
        <f t="array" ref="N1274">_xlfn.XLOOKUP(B1274,'Sets Progress'!I:I,'Sets Progress'!I:I,"NOT YET")</f>
        <v>84</v>
      </c>
      <c r="O1274" s="26" t="str">
        <f t="array" ref="O1274">_xlfn.XLOOKUP(L:L,'Overall Progress'!L:L,'Overall Progress'!L:L,"NOT YET")</f>
        <v>NOT YET</v>
      </c>
      <c r="P1274" s="26"/>
      <c r="Q1274" s="26"/>
      <c r="R1274" s="26"/>
      <c r="S1274" s="26"/>
      <c r="T1274" s="26"/>
      <c r="U1274" s="26"/>
      <c r="V1274" s="26"/>
      <c r="W1274" s="26"/>
      <c r="X1274" s="26"/>
      <c r="Y1274" s="26"/>
      <c r="Z1274" s="26"/>
    </row>
    <row r="1275" hidden="1" customHeight="1" spans="1:26">
      <c r="A1275" s="27">
        <v>206</v>
      </c>
      <c r="B1275" s="27">
        <v>84</v>
      </c>
      <c r="C1275" s="27" t="s">
        <v>556</v>
      </c>
      <c r="D1275" s="27" t="s">
        <v>1721</v>
      </c>
      <c r="E1275" s="27" t="s">
        <v>2889</v>
      </c>
      <c r="F1275" s="27" t="str">
        <f t="shared" si="0"/>
        <v>Temporal Latin Origin</v>
      </c>
      <c r="G1275" s="27">
        <f t="shared" si="3"/>
        <v>10</v>
      </c>
      <c r="H1275" s="27" t="s">
        <v>4142</v>
      </c>
      <c r="I1275" s="27"/>
      <c r="J1275" s="27"/>
      <c r="K1275" s="27"/>
      <c r="L1275" s="27" t="str">
        <f t="shared" si="2"/>
        <v>C</v>
      </c>
      <c r="M1275" s="27" t="str">
        <f>IFERROR(__xludf.DUMMYFUNCTION("GOOGLETRANSLATE(C1275,""EN"",""KN"")"),"ಶರಣಾಗತಿ")</f>
        <v>ಶರಣಾಗತಿ</v>
      </c>
      <c r="N1275" s="27">
        <f t="array" ref="N1275">_xlfn.XLOOKUP(B1275,'Sets Progress'!I:I,'Sets Progress'!I:I,"NOT YET")</f>
        <v>84</v>
      </c>
      <c r="O1275" s="27" t="str">
        <f t="array" ref="O1275">_xlfn.XLOOKUP(L:L,'Overall Progress'!L:L,'Overall Progress'!L:L,"NOT YET")</f>
        <v>NOT YET</v>
      </c>
      <c r="P1275" s="27"/>
      <c r="Q1275" s="27"/>
      <c r="R1275" s="27"/>
      <c r="S1275" s="27"/>
      <c r="T1275" s="27"/>
      <c r="U1275" s="27"/>
      <c r="V1275" s="27"/>
      <c r="W1275" s="27"/>
      <c r="X1275" s="27"/>
      <c r="Y1275" s="27"/>
      <c r="Z1275" s="27"/>
    </row>
    <row r="1276" hidden="1" customHeight="1" spans="1:26">
      <c r="A1276" s="26">
        <v>209</v>
      </c>
      <c r="B1276" s="26">
        <v>84</v>
      </c>
      <c r="C1276" s="26" t="s">
        <v>558</v>
      </c>
      <c r="D1276" s="26" t="s">
        <v>2716</v>
      </c>
      <c r="E1276" s="26" t="s">
        <v>2889</v>
      </c>
      <c r="F1276" s="26" t="str">
        <f t="shared" si="0"/>
        <v>Negative Traits Latin Origin</v>
      </c>
      <c r="G1276" s="26">
        <f t="shared" si="3"/>
        <v>8</v>
      </c>
      <c r="H1276" s="26" t="s">
        <v>4143</v>
      </c>
      <c r="I1276" s="26"/>
      <c r="J1276" s="26"/>
      <c r="K1276" s="26"/>
      <c r="L1276" s="26" t="str">
        <f t="shared" si="2"/>
        <v>C</v>
      </c>
      <c r="M1276" s="26" t="str">
        <f>IFERROR(__xludf.DUMMYFUNCTION("GOOGLETRANSLATE(C1276,""EN"",""KN"")"),"ಕ್ಯಾಪ್ಟಿಯಸ್")</f>
        <v>ಕ್ಯಾಪ್ಟಿಯಸ್</v>
      </c>
      <c r="N1276" s="26">
        <f t="array" ref="N1276">_xlfn.XLOOKUP(B1276,'Sets Progress'!I:I,'Sets Progress'!I:I,"NOT YET")</f>
        <v>84</v>
      </c>
      <c r="O1276" s="26" t="str">
        <f t="array" ref="O1276">_xlfn.XLOOKUP(L:L,'Overall Progress'!L:L,'Overall Progress'!L:L,"NOT YET")</f>
        <v>NOT YET</v>
      </c>
      <c r="P1276" s="26"/>
      <c r="Q1276" s="26"/>
      <c r="R1276" s="26"/>
      <c r="S1276" s="26"/>
      <c r="T1276" s="26"/>
      <c r="U1276" s="26"/>
      <c r="V1276" s="26"/>
      <c r="W1276" s="26"/>
      <c r="X1276" s="26"/>
      <c r="Y1276" s="26"/>
      <c r="Z1276" s="26"/>
    </row>
    <row r="1277" hidden="1" customHeight="1" spans="1:26">
      <c r="A1277" s="27">
        <v>242</v>
      </c>
      <c r="B1277" s="27">
        <v>84</v>
      </c>
      <c r="C1277" s="27" t="s">
        <v>593</v>
      </c>
      <c r="D1277" s="27" t="s">
        <v>2892</v>
      </c>
      <c r="E1277" s="27" t="s">
        <v>2908</v>
      </c>
      <c r="F1277" s="27" t="str">
        <f t="shared" si="0"/>
        <v>Spatial Old English Origin</v>
      </c>
      <c r="G1277" s="27">
        <f t="shared" si="3"/>
        <v>5</v>
      </c>
      <c r="H1277" s="27" t="s">
        <v>4144</v>
      </c>
      <c r="I1277" s="27"/>
      <c r="J1277" s="27"/>
      <c r="K1277" s="27"/>
      <c r="L1277" s="27" t="str">
        <f t="shared" si="2"/>
        <v>C</v>
      </c>
      <c r="M1277" s="27" t="str">
        <f>IFERROR(__xludf.DUMMYFUNCTION("GOOGLETRANSLATE(C1277,""EN"",""KN"")"),"ಗಡಿಯಾರ")</f>
        <v>ಗಡಿಯಾರ</v>
      </c>
      <c r="N1277" s="27">
        <f t="array" ref="N1277">_xlfn.XLOOKUP(B1277,'Sets Progress'!I:I,'Sets Progress'!I:I,"NOT YET")</f>
        <v>84</v>
      </c>
      <c r="O1277" s="27" t="str">
        <f t="array" ref="O1277">_xlfn.XLOOKUP(L:L,'Overall Progress'!L:L,'Overall Progress'!L:L,"NOT YET")</f>
        <v>NOT YET</v>
      </c>
      <c r="P1277" s="27"/>
      <c r="Q1277" s="27"/>
      <c r="R1277" s="27"/>
      <c r="S1277" s="27"/>
      <c r="T1277" s="27"/>
      <c r="U1277" s="27"/>
      <c r="V1277" s="27"/>
      <c r="W1277" s="27"/>
      <c r="X1277" s="27"/>
      <c r="Y1277" s="27"/>
      <c r="Z1277" s="27"/>
    </row>
    <row r="1278" hidden="1" customHeight="1" spans="1:26">
      <c r="A1278" s="26">
        <v>315</v>
      </c>
      <c r="B1278" s="26">
        <v>84</v>
      </c>
      <c r="C1278" s="26" t="s">
        <v>665</v>
      </c>
      <c r="D1278" s="26" t="s">
        <v>2892</v>
      </c>
      <c r="E1278" s="26" t="s">
        <v>2893</v>
      </c>
      <c r="F1278" s="26" t="str">
        <f t="shared" si="0"/>
        <v>Spatial Greek Origin</v>
      </c>
      <c r="G1278" s="26">
        <f t="shared" si="3"/>
        <v>12</v>
      </c>
      <c r="H1278" s="26" t="s">
        <v>4145</v>
      </c>
      <c r="I1278" s="26"/>
      <c r="J1278" s="26"/>
      <c r="K1278" s="26"/>
      <c r="L1278" s="26" t="str">
        <f t="shared" si="2"/>
        <v>C</v>
      </c>
      <c r="M1278" s="26" t="str">
        <f>IFERROR(__xludf.DUMMYFUNCTION("GOOGLETRANSLATE(C1278,""EN"",""KN"")"),"ಕಾಸ್ಮೋಪಾಲಿಟನ್")</f>
        <v>ಕಾಸ್ಮೋಪಾಲಿಟನ್</v>
      </c>
      <c r="N1278" s="26">
        <f t="array" ref="N1278">_xlfn.XLOOKUP(B1278,'Sets Progress'!I:I,'Sets Progress'!I:I,"NOT YET")</f>
        <v>84</v>
      </c>
      <c r="O1278" s="26" t="str">
        <f t="array" ref="O1278">_xlfn.XLOOKUP(L:L,'Overall Progress'!L:L,'Overall Progress'!L:L,"NOT YET")</f>
        <v>NOT YET</v>
      </c>
      <c r="P1278" s="26"/>
      <c r="Q1278" s="26"/>
      <c r="R1278" s="26"/>
      <c r="S1278" s="26"/>
      <c r="T1278" s="26"/>
      <c r="U1278" s="26"/>
      <c r="V1278" s="26"/>
      <c r="W1278" s="26"/>
      <c r="X1278" s="26"/>
      <c r="Y1278" s="26"/>
      <c r="Z1278" s="26"/>
    </row>
    <row r="1279" hidden="1" customHeight="1" spans="1:26">
      <c r="A1279" s="27">
        <v>387</v>
      </c>
      <c r="B1279" s="27">
        <v>84</v>
      </c>
      <c r="C1279" s="27" t="s">
        <v>737</v>
      </c>
      <c r="D1279" s="27" t="s">
        <v>2716</v>
      </c>
      <c r="E1279" s="27" t="s">
        <v>2889</v>
      </c>
      <c r="F1279" s="27" t="str">
        <f t="shared" si="0"/>
        <v>Negative Traits Latin Origin</v>
      </c>
      <c r="G1279" s="27">
        <f t="shared" si="3"/>
        <v>11</v>
      </c>
      <c r="H1279" s="27" t="s">
        <v>4146</v>
      </c>
      <c r="I1279" s="27"/>
      <c r="J1279" s="27"/>
      <c r="K1279" s="27"/>
      <c r="L1279" s="27" t="str">
        <f t="shared" si="2"/>
        <v>D</v>
      </c>
      <c r="M1279" s="27" t="str">
        <f>IFERROR(__xludf.DUMMYFUNCTION("GOOGLETRANSLATE(C1279,""EN"",""KN"")"),"ಹಾನಿಕರ")</f>
        <v>ಹಾನಿಕರ</v>
      </c>
      <c r="N1279" s="27">
        <f t="array" ref="N1279">_xlfn.XLOOKUP(B1279,'Sets Progress'!I:I,'Sets Progress'!I:I,"NOT YET")</f>
        <v>84</v>
      </c>
      <c r="O1279" s="27" t="str">
        <f t="array" ref="O1279">_xlfn.XLOOKUP(L:L,'Overall Progress'!L:L,'Overall Progress'!L:L,"NOT YET")</f>
        <v>NOT YET</v>
      </c>
      <c r="P1279" s="27"/>
      <c r="Q1279" s="27"/>
      <c r="R1279" s="27"/>
      <c r="S1279" s="27"/>
      <c r="T1279" s="27"/>
      <c r="U1279" s="27"/>
      <c r="V1279" s="27"/>
      <c r="W1279" s="27"/>
      <c r="X1279" s="27"/>
      <c r="Y1279" s="27"/>
      <c r="Z1279" s="27"/>
    </row>
    <row r="1280" hidden="1" customHeight="1" spans="1:26">
      <c r="A1280" s="26">
        <v>471</v>
      </c>
      <c r="B1280" s="26">
        <v>84</v>
      </c>
      <c r="C1280" s="26" t="s">
        <v>820</v>
      </c>
      <c r="D1280" s="26" t="s">
        <v>1721</v>
      </c>
      <c r="E1280" s="26" t="s">
        <v>2889</v>
      </c>
      <c r="F1280" s="26" t="str">
        <f t="shared" si="0"/>
        <v>Temporal Latin Origin</v>
      </c>
      <c r="G1280" s="26">
        <f t="shared" si="3"/>
        <v>10</v>
      </c>
      <c r="H1280" s="26" t="s">
        <v>4147</v>
      </c>
      <c r="I1280" s="26"/>
      <c r="J1280" s="26"/>
      <c r="K1280" s="26"/>
      <c r="L1280" s="26" t="str">
        <f t="shared" si="2"/>
        <v>E</v>
      </c>
      <c r="M1280" s="26" t="str">
        <f>IFERROR(__xludf.DUMMYFUNCTION("GOOGLETRANSLATE(C1280,""EN"",""KN"")"),"ಆರ್ಥಿಕ")</f>
        <v>ಆರ್ಥಿಕ</v>
      </c>
      <c r="N1280" s="26">
        <f t="array" ref="N1280">_xlfn.XLOOKUP(B1280,'Sets Progress'!I:I,'Sets Progress'!I:I,"NOT YET")</f>
        <v>84</v>
      </c>
      <c r="O1280" s="26" t="str">
        <f t="array" ref="O1280">_xlfn.XLOOKUP(L:L,'Overall Progress'!L:L,'Overall Progress'!L:L,"NOT YET")</f>
        <v>NOT YET</v>
      </c>
      <c r="P1280" s="26"/>
      <c r="Q1280" s="26"/>
      <c r="R1280" s="26"/>
      <c r="S1280" s="26"/>
      <c r="T1280" s="26"/>
      <c r="U1280" s="26"/>
      <c r="V1280" s="26"/>
      <c r="W1280" s="26"/>
      <c r="X1280" s="26"/>
      <c r="Y1280" s="26"/>
      <c r="Z1280" s="26"/>
    </row>
    <row r="1281" hidden="1" customHeight="1" spans="1:26">
      <c r="A1281" s="27">
        <v>501</v>
      </c>
      <c r="B1281" s="27">
        <v>84</v>
      </c>
      <c r="C1281" s="27" t="s">
        <v>850</v>
      </c>
      <c r="D1281" s="27" t="s">
        <v>2892</v>
      </c>
      <c r="E1281" s="27" t="s">
        <v>2893</v>
      </c>
      <c r="F1281" s="27" t="str">
        <f t="shared" si="0"/>
        <v>Spatial Greek Origin</v>
      </c>
      <c r="G1281" s="27">
        <f t="shared" si="3"/>
        <v>7</v>
      </c>
      <c r="H1281" s="27" t="s">
        <v>4148</v>
      </c>
      <c r="I1281" s="27"/>
      <c r="J1281" s="27"/>
      <c r="K1281" s="27"/>
      <c r="L1281" s="27" t="str">
        <f t="shared" si="2"/>
        <v>E</v>
      </c>
      <c r="M1281" s="27" t="str">
        <f>IFERROR(__xludf.DUMMYFUNCTION("GOOGLETRANSLATE(C1281,""EN"",""KN"")"),"ಸ್ಥಳೀಯ")</f>
        <v>ಸ್ಥಳೀಯ</v>
      </c>
      <c r="N1281" s="27">
        <f t="array" ref="N1281">_xlfn.XLOOKUP(B1281,'Sets Progress'!I:I,'Sets Progress'!I:I,"NOT YET")</f>
        <v>84</v>
      </c>
      <c r="O1281" s="27" t="str">
        <f t="array" ref="O1281">_xlfn.XLOOKUP(L:L,'Overall Progress'!L:L,'Overall Progress'!L:L,"NOT YET")</f>
        <v>NOT YET</v>
      </c>
      <c r="P1281" s="27"/>
      <c r="Q1281" s="27"/>
      <c r="R1281" s="27"/>
      <c r="S1281" s="27"/>
      <c r="T1281" s="27"/>
      <c r="U1281" s="27"/>
      <c r="V1281" s="27"/>
      <c r="W1281" s="27"/>
      <c r="X1281" s="27"/>
      <c r="Y1281" s="27"/>
      <c r="Z1281" s="27"/>
    </row>
    <row r="1282" hidden="1" customHeight="1" spans="1:26">
      <c r="A1282" s="26">
        <v>588</v>
      </c>
      <c r="B1282" s="26">
        <v>84</v>
      </c>
      <c r="C1282" s="26" t="s">
        <v>932</v>
      </c>
      <c r="D1282" s="26" t="s">
        <v>1721</v>
      </c>
      <c r="E1282" s="26" t="s">
        <v>2899</v>
      </c>
      <c r="F1282" s="26" t="str">
        <f t="shared" si="0"/>
        <v>Temporal Middle English Origin</v>
      </c>
      <c r="G1282" s="26">
        <f t="shared" si="3"/>
        <v>8</v>
      </c>
      <c r="H1282" s="26" t="s">
        <v>4149</v>
      </c>
      <c r="I1282" s="26"/>
      <c r="J1282" s="26"/>
      <c r="K1282" s="26"/>
      <c r="L1282" s="26" t="str">
        <f t="shared" si="2"/>
        <v>F</v>
      </c>
      <c r="M1282" s="26" t="str">
        <f>IFERROR(__xludf.DUMMYFUNCTION("GOOGLETRANSLATE(C1282,""EN"",""KN"")"),"ಕಾರ್ಯಸಾಧ್ಯ")</f>
        <v>ಕಾರ್ಯಸಾಧ್ಯ</v>
      </c>
      <c r="N1282" s="26">
        <f t="array" ref="N1282">_xlfn.XLOOKUP(B1282,'Sets Progress'!I:I,'Sets Progress'!I:I,"NOT YET")</f>
        <v>84</v>
      </c>
      <c r="O1282" s="26" t="str">
        <f t="array" ref="O1282">_xlfn.XLOOKUP(L:L,'Overall Progress'!L:L,'Overall Progress'!L:L,"NOT YET")</f>
        <v>NOT YET</v>
      </c>
      <c r="P1282" s="26"/>
      <c r="Q1282" s="26"/>
      <c r="R1282" s="26"/>
      <c r="S1282" s="26"/>
      <c r="T1282" s="26"/>
      <c r="U1282" s="26"/>
      <c r="V1282" s="26"/>
      <c r="W1282" s="26"/>
      <c r="X1282" s="26"/>
      <c r="Y1282" s="26"/>
      <c r="Z1282" s="26"/>
    </row>
    <row r="1283" hidden="1" customHeight="1" spans="1:26">
      <c r="A1283" s="27">
        <v>594</v>
      </c>
      <c r="B1283" s="27">
        <v>84</v>
      </c>
      <c r="C1283" s="27" t="s">
        <v>938</v>
      </c>
      <c r="D1283" s="27" t="s">
        <v>2717</v>
      </c>
      <c r="E1283" s="27" t="s">
        <v>2889</v>
      </c>
      <c r="F1283" s="27" t="str">
        <f t="shared" si="0"/>
        <v>Positive Traits Latin Origin</v>
      </c>
      <c r="G1283" s="27">
        <f t="shared" si="3"/>
        <v>10</v>
      </c>
      <c r="H1283" s="27" t="s">
        <v>4150</v>
      </c>
      <c r="I1283" s="27"/>
      <c r="J1283" s="27"/>
      <c r="K1283" s="27"/>
      <c r="L1283" s="27" t="str">
        <f t="shared" si="2"/>
        <v>F</v>
      </c>
      <c r="M1283" s="27" t="str">
        <f>IFERROR(__xludf.DUMMYFUNCTION("GOOGLETRANSLATE(C1283,""EN"",""KN"")"),"ಸಂಭ್ರಮದ")</f>
        <v>ಸಂಭ್ರಮದ</v>
      </c>
      <c r="N1283" s="27">
        <f t="array" ref="N1283">_xlfn.XLOOKUP(B1283,'Sets Progress'!I:I,'Sets Progress'!I:I,"NOT YET")</f>
        <v>84</v>
      </c>
      <c r="O1283" s="27" t="str">
        <f t="array" ref="O1283">_xlfn.XLOOKUP(L:L,'Overall Progress'!L:L,'Overall Progress'!L:L,"NOT YET")</f>
        <v>NOT YET</v>
      </c>
      <c r="P1283" s="27"/>
      <c r="Q1283" s="27"/>
      <c r="R1283" s="27"/>
      <c r="S1283" s="27"/>
      <c r="T1283" s="27"/>
      <c r="U1283" s="27"/>
      <c r="V1283" s="27"/>
      <c r="W1283" s="27"/>
      <c r="X1283" s="27"/>
      <c r="Y1283" s="27"/>
      <c r="Z1283" s="27"/>
    </row>
    <row r="1284" hidden="1" customHeight="1" spans="1:26">
      <c r="A1284" s="26">
        <v>841</v>
      </c>
      <c r="B1284" s="26">
        <v>84</v>
      </c>
      <c r="C1284" s="26" t="s">
        <v>1181</v>
      </c>
      <c r="D1284" s="26" t="s">
        <v>1721</v>
      </c>
      <c r="E1284" s="26" t="s">
        <v>2889</v>
      </c>
      <c r="F1284" s="26" t="str">
        <f t="shared" si="0"/>
        <v>Temporal Latin Origin</v>
      </c>
      <c r="G1284" s="26">
        <f t="shared" si="3"/>
        <v>13</v>
      </c>
      <c r="H1284" s="26" t="s">
        <v>4151</v>
      </c>
      <c r="I1284" s="26"/>
      <c r="J1284" s="26"/>
      <c r="K1284" s="26"/>
      <c r="L1284" s="26" t="str">
        <f t="shared" si="2"/>
        <v>J</v>
      </c>
      <c r="M1284" s="26" t="str">
        <f>IFERROR(__xludf.DUMMYFUNCTION("GOOGLETRANSLATE(C1284,""EN"",""KN"")"),"ಜೋಡಣೆ")</f>
        <v>ಜೋಡಣೆ</v>
      </c>
      <c r="N1284" s="26">
        <f t="array" ref="N1284">_xlfn.XLOOKUP(B1284,'Sets Progress'!I:I,'Sets Progress'!I:I,"NOT YET")</f>
        <v>84</v>
      </c>
      <c r="O1284" s="26" t="str">
        <f t="array" ref="O1284">_xlfn.XLOOKUP(L:L,'Overall Progress'!L:L,'Overall Progress'!L:L,"NOT YET")</f>
        <v>NOT YET</v>
      </c>
      <c r="P1284" s="26"/>
      <c r="Q1284" s="26"/>
      <c r="R1284" s="26"/>
      <c r="S1284" s="26"/>
      <c r="T1284" s="26"/>
      <c r="U1284" s="26"/>
      <c r="V1284" s="26"/>
      <c r="W1284" s="26"/>
      <c r="X1284" s="26"/>
      <c r="Y1284" s="26"/>
      <c r="Z1284" s="26"/>
    </row>
    <row r="1285" hidden="1" customHeight="1" spans="1:26">
      <c r="A1285" s="27">
        <v>843</v>
      </c>
      <c r="B1285" s="27">
        <v>84</v>
      </c>
      <c r="C1285" s="27" t="s">
        <v>1183</v>
      </c>
      <c r="D1285" s="27" t="s">
        <v>1721</v>
      </c>
      <c r="E1285" s="27" t="s">
        <v>2908</v>
      </c>
      <c r="F1285" s="27" t="str">
        <f t="shared" si="0"/>
        <v>Temporal Old English Origin</v>
      </c>
      <c r="G1285" s="27">
        <f t="shared" si="3"/>
        <v>7</v>
      </c>
      <c r="H1285" s="27" t="s">
        <v>4152</v>
      </c>
      <c r="I1285" s="27"/>
      <c r="J1285" s="27"/>
      <c r="K1285" s="27"/>
      <c r="L1285" s="27" t="str">
        <f t="shared" si="2"/>
        <v>K</v>
      </c>
      <c r="M1285" s="27" t="str">
        <f>IFERROR(__xludf.DUMMYFUNCTION("GOOGLETRANSLATE(C1285,""EN"",""KN"")"),"ಕಿಂಡ್ರೆಡ್")</f>
        <v>ಕಿಂಡ್ರೆಡ್</v>
      </c>
      <c r="N1285" s="27">
        <f t="array" ref="N1285">_xlfn.XLOOKUP(B1285,'Sets Progress'!I:I,'Sets Progress'!I:I,"NOT YET")</f>
        <v>84</v>
      </c>
      <c r="O1285" s="27" t="str">
        <f t="array" ref="O1285">_xlfn.XLOOKUP(L:L,'Overall Progress'!L:L,'Overall Progress'!L:L,"NOT YET")</f>
        <v>NOT YET</v>
      </c>
      <c r="P1285" s="27"/>
      <c r="Q1285" s="27"/>
      <c r="R1285" s="27"/>
      <c r="S1285" s="27"/>
      <c r="T1285" s="27"/>
      <c r="U1285" s="27"/>
      <c r="V1285" s="27"/>
      <c r="W1285" s="27"/>
      <c r="X1285" s="27"/>
      <c r="Y1285" s="27"/>
      <c r="Z1285" s="27"/>
    </row>
    <row r="1286" hidden="1" customHeight="1" spans="1:26">
      <c r="A1286" s="26">
        <v>847</v>
      </c>
      <c r="B1286" s="26">
        <v>84</v>
      </c>
      <c r="C1286" s="26" t="s">
        <v>1187</v>
      </c>
      <c r="D1286" s="26" t="s">
        <v>1721</v>
      </c>
      <c r="E1286" s="26" t="s">
        <v>2889</v>
      </c>
      <c r="F1286" s="26" t="str">
        <f t="shared" si="0"/>
        <v>Temporal Latin Origin</v>
      </c>
      <c r="G1286" s="26">
        <f t="shared" si="3"/>
        <v>6</v>
      </c>
      <c r="H1286" s="26" t="s">
        <v>4153</v>
      </c>
      <c r="I1286" s="26"/>
      <c r="J1286" s="26"/>
      <c r="K1286" s="26"/>
      <c r="L1286" s="26" t="str">
        <f t="shared" si="2"/>
        <v>L</v>
      </c>
      <c r="M1286" s="26" t="str">
        <f>IFERROR(__xludf.DUMMYFUNCTION("GOOGLETRANSLATE(C1286,""EN"",""KN"")"),"ಅಳಲು")</f>
        <v>ಅಳಲು</v>
      </c>
      <c r="N1286" s="26">
        <f t="array" ref="N1286">_xlfn.XLOOKUP(B1286,'Sets Progress'!I:I,'Sets Progress'!I:I,"NOT YET")</f>
        <v>84</v>
      </c>
      <c r="O1286" s="26" t="str">
        <f t="array" ref="O1286">_xlfn.XLOOKUP(L:L,'Overall Progress'!L:L,'Overall Progress'!L:L,"NOT YET")</f>
        <v>NOT YET</v>
      </c>
      <c r="P1286" s="26"/>
      <c r="Q1286" s="26"/>
      <c r="R1286" s="26"/>
      <c r="S1286" s="26"/>
      <c r="T1286" s="26"/>
      <c r="U1286" s="26"/>
      <c r="V1286" s="26"/>
      <c r="W1286" s="26"/>
      <c r="X1286" s="26"/>
      <c r="Y1286" s="26"/>
      <c r="Z1286" s="26"/>
    </row>
    <row r="1287" hidden="1" customHeight="1" spans="1:26">
      <c r="A1287" s="27">
        <v>956</v>
      </c>
      <c r="B1287" s="27">
        <v>84</v>
      </c>
      <c r="C1287" s="27" t="s">
        <v>1292</v>
      </c>
      <c r="D1287" s="27" t="s">
        <v>1721</v>
      </c>
      <c r="E1287" s="27" t="s">
        <v>2889</v>
      </c>
      <c r="F1287" s="27" t="str">
        <f t="shared" si="0"/>
        <v>Temporal Latin Origin</v>
      </c>
      <c r="G1287" s="27">
        <f t="shared" si="3"/>
        <v>18</v>
      </c>
      <c r="H1287" s="27" t="s">
        <v>4154</v>
      </c>
      <c r="I1287" s="27"/>
      <c r="J1287" s="27"/>
      <c r="K1287" s="27"/>
      <c r="L1287" s="27" t="str">
        <f t="shared" si="2"/>
        <v>N</v>
      </c>
      <c r="M1287" s="27" t="str">
        <f>IFERROR(__xludf.DUMMYFUNCTION("GOOGLETRANSLATE(C1287,""EN"",""KN"")"),"ಹಸ್ತಕ್ಷೇಪ ಮಾಡದ")</f>
        <v>ಹಸ್ತಕ್ಷೇಪ ಮಾಡದ</v>
      </c>
      <c r="N1287" s="27">
        <f t="array" ref="N1287">_xlfn.XLOOKUP(B1287,'Sets Progress'!I:I,'Sets Progress'!I:I,"NOT YET")</f>
        <v>84</v>
      </c>
      <c r="O1287" s="27" t="str">
        <f t="array" ref="O1287">_xlfn.XLOOKUP(L:L,'Overall Progress'!L:L,'Overall Progress'!L:L,"NOT YET")</f>
        <v>NOT YET</v>
      </c>
      <c r="P1287" s="27"/>
      <c r="Q1287" s="27"/>
      <c r="R1287" s="27"/>
      <c r="S1287" s="27"/>
      <c r="T1287" s="27"/>
      <c r="U1287" s="27"/>
      <c r="V1287" s="27"/>
      <c r="W1287" s="27"/>
      <c r="X1287" s="27"/>
      <c r="Y1287" s="27"/>
      <c r="Z1287" s="27"/>
    </row>
    <row r="1288" hidden="1" customHeight="1" spans="1:26">
      <c r="A1288" s="26">
        <v>993</v>
      </c>
      <c r="B1288" s="26">
        <v>84</v>
      </c>
      <c r="C1288" s="26" t="s">
        <v>1328</v>
      </c>
      <c r="D1288" s="26" t="s">
        <v>1721</v>
      </c>
      <c r="E1288" s="26" t="s">
        <v>2889</v>
      </c>
      <c r="F1288" s="26" t="str">
        <f t="shared" si="0"/>
        <v>Temporal Latin Origin</v>
      </c>
      <c r="G1288" s="26">
        <f t="shared" si="3"/>
        <v>6</v>
      </c>
      <c r="H1288" s="26" t="s">
        <v>4155</v>
      </c>
      <c r="I1288" s="26"/>
      <c r="J1288" s="26"/>
      <c r="K1288" s="26"/>
      <c r="L1288" s="26" t="str">
        <f t="shared" si="2"/>
        <v>O</v>
      </c>
      <c r="M1288" s="26" t="str">
        <f>IFERROR(__xludf.DUMMYFUNCTION("GOOGLETRANSLATE(C1288,""EN"",""KN"")"),"ಒಸಿಫೈ")</f>
        <v>ಒಸಿಫೈ</v>
      </c>
      <c r="N1288" s="26">
        <f t="array" ref="N1288">_xlfn.XLOOKUP(B1288,'Sets Progress'!I:I,'Sets Progress'!I:I,"NOT YET")</f>
        <v>84</v>
      </c>
      <c r="O1288" s="26" t="str">
        <f t="array" ref="O1288">_xlfn.XLOOKUP(L:L,'Overall Progress'!L:L,'Overall Progress'!L:L,"NOT YET")</f>
        <v>NOT YET</v>
      </c>
      <c r="P1288" s="26"/>
      <c r="Q1288" s="26"/>
      <c r="R1288" s="26"/>
      <c r="S1288" s="26"/>
      <c r="T1288" s="26"/>
      <c r="U1288" s="26"/>
      <c r="V1288" s="26"/>
      <c r="W1288" s="26"/>
      <c r="X1288" s="26"/>
      <c r="Y1288" s="26"/>
      <c r="Z1288" s="26"/>
    </row>
    <row r="1289" hidden="1" customHeight="1" spans="1:26">
      <c r="A1289" s="27">
        <v>1003</v>
      </c>
      <c r="B1289" s="27">
        <v>84</v>
      </c>
      <c r="C1289" s="27" t="s">
        <v>1338</v>
      </c>
      <c r="D1289" s="27" t="s">
        <v>1721</v>
      </c>
      <c r="E1289" s="27" t="s">
        <v>2908</v>
      </c>
      <c r="F1289" s="27" t="str">
        <f t="shared" si="0"/>
        <v>Temporal Old English Origin</v>
      </c>
      <c r="G1289" s="27">
        <f t="shared" si="3"/>
        <v>9</v>
      </c>
      <c r="H1289" s="27" t="s">
        <v>4156</v>
      </c>
      <c r="I1289" s="27"/>
      <c r="J1289" s="27"/>
      <c r="K1289" s="27"/>
      <c r="L1289" s="27" t="str">
        <f t="shared" si="2"/>
        <v>O</v>
      </c>
      <c r="M1289" s="27" t="str">
        <f>IFERROR(__xludf.DUMMYFUNCTION("GOOGLETRANSLATE(C1289,""EN"",""KN"")"),"ಮಿತಿಮೀರಿದ")</f>
        <v>ಮಿತಿಮೀರಿದ</v>
      </c>
      <c r="N1289" s="27">
        <f t="array" ref="N1289">_xlfn.XLOOKUP(B1289,'Sets Progress'!I:I,'Sets Progress'!I:I,"NOT YET")</f>
        <v>84</v>
      </c>
      <c r="O1289" s="27" t="str">
        <f t="array" ref="O1289">_xlfn.XLOOKUP(L:L,'Overall Progress'!L:L,'Overall Progress'!L:L,"NOT YET")</f>
        <v>NOT YET</v>
      </c>
      <c r="P1289" s="27"/>
      <c r="Q1289" s="27"/>
      <c r="R1289" s="27"/>
      <c r="S1289" s="27"/>
      <c r="T1289" s="27"/>
      <c r="U1289" s="27"/>
      <c r="V1289" s="27"/>
      <c r="W1289" s="27"/>
      <c r="X1289" s="27"/>
      <c r="Y1289" s="27"/>
      <c r="Z1289" s="27"/>
    </row>
    <row r="1290" hidden="1" customHeight="1" spans="1:26">
      <c r="A1290" s="26">
        <v>1014</v>
      </c>
      <c r="B1290" s="26">
        <v>84</v>
      </c>
      <c r="C1290" s="26" t="s">
        <v>1349</v>
      </c>
      <c r="D1290" s="26" t="s">
        <v>1721</v>
      </c>
      <c r="E1290" s="26" t="s">
        <v>2893</v>
      </c>
      <c r="F1290" s="26" t="str">
        <f t="shared" si="0"/>
        <v>Temporal Greek Origin</v>
      </c>
      <c r="G1290" s="26">
        <f t="shared" si="3"/>
        <v>8</v>
      </c>
      <c r="H1290" s="26" t="s">
        <v>4157</v>
      </c>
      <c r="I1290" s="26"/>
      <c r="J1290" s="26"/>
      <c r="K1290" s="26"/>
      <c r="L1290" s="26" t="str">
        <f t="shared" si="2"/>
        <v>P</v>
      </c>
      <c r="M1290" s="26" t="str">
        <f>IFERROR(__xludf.DUMMYFUNCTION("GOOGLETRANSLATE(C1290,""EN"",""KN"")"),"ಮಾದರಿ")</f>
        <v>ಮಾದರಿ</v>
      </c>
      <c r="N1290" s="26">
        <f t="array" ref="N1290">_xlfn.XLOOKUP(B1290,'Sets Progress'!I:I,'Sets Progress'!I:I,"NOT YET")</f>
        <v>84</v>
      </c>
      <c r="O1290" s="26" t="str">
        <f t="array" ref="O1290">_xlfn.XLOOKUP(L:L,'Overall Progress'!L:L,'Overall Progress'!L:L,"NOT YET")</f>
        <v>NOT YET</v>
      </c>
      <c r="P1290" s="26"/>
      <c r="Q1290" s="26"/>
      <c r="R1290" s="26"/>
      <c r="S1290" s="26"/>
      <c r="T1290" s="26"/>
      <c r="U1290" s="26"/>
      <c r="V1290" s="26"/>
      <c r="W1290" s="26"/>
      <c r="X1290" s="26"/>
      <c r="Y1290" s="26"/>
      <c r="Z1290" s="26"/>
    </row>
    <row r="1291" hidden="1" customHeight="1" spans="1:26">
      <c r="A1291" s="27">
        <v>1153</v>
      </c>
      <c r="B1291" s="27">
        <v>84</v>
      </c>
      <c r="C1291" s="27" t="s">
        <v>1484</v>
      </c>
      <c r="D1291" s="27" t="s">
        <v>2716</v>
      </c>
      <c r="E1291" s="27" t="s">
        <v>2921</v>
      </c>
      <c r="F1291" s="27" t="str">
        <f t="shared" si="0"/>
        <v>Negative Traits Unknown Origin</v>
      </c>
      <c r="G1291" s="27">
        <f t="shared" si="3"/>
        <v>5</v>
      </c>
      <c r="H1291" s="27" t="s">
        <v>4158</v>
      </c>
      <c r="I1291" s="27"/>
      <c r="J1291" s="27"/>
      <c r="K1291" s="27"/>
      <c r="L1291" s="27" t="str">
        <f t="shared" si="2"/>
        <v>Q</v>
      </c>
      <c r="M1291" s="27" t="str">
        <f>IFERROR(__xludf.DUMMYFUNCTION("GOOGLETRANSLATE(C1291,""EN"",""KN"")"),"ತಲ್ಲಣ")</f>
        <v>ತಲ್ಲಣ</v>
      </c>
      <c r="N1291" s="27">
        <f t="array" ref="N1291">_xlfn.XLOOKUP(B1291,'Sets Progress'!I:I,'Sets Progress'!I:I,"NOT YET")</f>
        <v>84</v>
      </c>
      <c r="O1291" s="27" t="str">
        <f t="array" ref="O1291">_xlfn.XLOOKUP(L:L,'Overall Progress'!L:L,'Overall Progress'!L:L,"NOT YET")</f>
        <v>NOT YET</v>
      </c>
      <c r="P1291" s="27"/>
      <c r="Q1291" s="27"/>
      <c r="R1291" s="27"/>
      <c r="S1291" s="27"/>
      <c r="T1291" s="27"/>
      <c r="U1291" s="27"/>
      <c r="V1291" s="27"/>
      <c r="W1291" s="27"/>
      <c r="X1291" s="27"/>
      <c r="Y1291" s="27"/>
      <c r="Z1291" s="27"/>
    </row>
    <row r="1292" hidden="1" customHeight="1" spans="1:26">
      <c r="A1292" s="26">
        <v>1318</v>
      </c>
      <c r="B1292" s="26">
        <v>84</v>
      </c>
      <c r="C1292" s="26" t="s">
        <v>1649</v>
      </c>
      <c r="D1292" s="26" t="s">
        <v>2716</v>
      </c>
      <c r="E1292" s="26" t="s">
        <v>2921</v>
      </c>
      <c r="F1292" s="26" t="str">
        <f t="shared" si="0"/>
        <v>Negative Traits Unknown Origin</v>
      </c>
      <c r="G1292" s="26">
        <f t="shared" si="3"/>
        <v>8</v>
      </c>
      <c r="H1292" s="26" t="s">
        <v>4159</v>
      </c>
      <c r="I1292" s="26"/>
      <c r="J1292" s="26"/>
      <c r="K1292" s="26"/>
      <c r="L1292" s="26" t="str">
        <f t="shared" si="2"/>
        <v>S</v>
      </c>
      <c r="M1292" s="26" t="str">
        <f>IFERROR(__xludf.DUMMYFUNCTION("GOOGLETRANSLATE(C1292,""EN"",""KN"")"),"ಸ್ಕ್ವಾಂಡರ್")</f>
        <v>ಸ್ಕ್ವಾಂಡರ್</v>
      </c>
      <c r="N1292" s="26">
        <f t="array" ref="N1292">_xlfn.XLOOKUP(B1292,'Sets Progress'!I:I,'Sets Progress'!I:I,"NOT YET")</f>
        <v>84</v>
      </c>
      <c r="O1292" s="26" t="str">
        <f t="array" ref="O1292">_xlfn.XLOOKUP(L:L,'Overall Progress'!L:L,'Overall Progress'!L:L,"NOT YET")</f>
        <v>NOT YET</v>
      </c>
      <c r="P1292" s="26"/>
      <c r="Q1292" s="26"/>
      <c r="R1292" s="26"/>
      <c r="S1292" s="26"/>
      <c r="T1292" s="26"/>
      <c r="U1292" s="26"/>
      <c r="V1292" s="26"/>
      <c r="W1292" s="26"/>
      <c r="X1292" s="26"/>
      <c r="Y1292" s="26"/>
      <c r="Z1292" s="26"/>
    </row>
    <row r="1293" hidden="1" customHeight="1" spans="1:26">
      <c r="A1293" s="27">
        <v>22</v>
      </c>
      <c r="B1293" s="27">
        <v>85</v>
      </c>
      <c r="C1293" s="27" t="s">
        <v>386</v>
      </c>
      <c r="D1293" s="27" t="s">
        <v>2717</v>
      </c>
      <c r="E1293" s="27" t="s">
        <v>2889</v>
      </c>
      <c r="F1293" s="27" t="str">
        <f t="shared" si="0"/>
        <v>Positive Traits Latin Origin</v>
      </c>
      <c r="G1293" s="27">
        <f t="shared" si="3"/>
        <v>7</v>
      </c>
      <c r="H1293" s="27" t="s">
        <v>4160</v>
      </c>
      <c r="I1293" s="27"/>
      <c r="J1293" s="27"/>
      <c r="K1293" s="27"/>
      <c r="L1293" s="27" t="str">
        <f t="shared" si="2"/>
        <v>A</v>
      </c>
      <c r="M1293" s="27" t="str">
        <f>IFERROR(__xludf.DUMMYFUNCTION("GOOGLETRANSLATE(C1293,""EN"",""KN"")"),"ಮೆಚ್ಚುಗೆ")</f>
        <v>ಮೆಚ್ಚುಗೆ</v>
      </c>
      <c r="N1293" s="27">
        <f t="array" ref="N1293">_xlfn.XLOOKUP(B1293,'Sets Progress'!I:I,'Sets Progress'!I:I,"NOT YET")</f>
        <v>85</v>
      </c>
      <c r="O1293" s="27" t="str">
        <f t="array" ref="O1293">_xlfn.XLOOKUP(L:L,'Overall Progress'!L:L,'Overall Progress'!L:L,"NOT YET")</f>
        <v>NOT YET</v>
      </c>
      <c r="P1293" s="27"/>
      <c r="Q1293" s="27"/>
      <c r="R1293" s="27"/>
      <c r="S1293" s="27"/>
      <c r="T1293" s="27"/>
      <c r="U1293" s="27"/>
      <c r="V1293" s="27"/>
      <c r="W1293" s="27"/>
      <c r="X1293" s="27"/>
      <c r="Y1293" s="27"/>
      <c r="Z1293" s="27"/>
    </row>
    <row r="1294" hidden="1" customHeight="1" spans="1:26">
      <c r="A1294" s="26">
        <v>38</v>
      </c>
      <c r="B1294" s="26">
        <v>85</v>
      </c>
      <c r="C1294" s="26" t="s">
        <v>348</v>
      </c>
      <c r="D1294" s="26" t="s">
        <v>2946</v>
      </c>
      <c r="E1294" s="26" t="s">
        <v>2889</v>
      </c>
      <c r="F1294" s="26" t="str">
        <f t="shared" si="0"/>
        <v>Emotional Latin Origin</v>
      </c>
      <c r="G1294" s="26">
        <f t="shared" si="3"/>
        <v>9</v>
      </c>
      <c r="H1294" s="26" t="s">
        <v>4161</v>
      </c>
      <c r="I1294" s="26"/>
      <c r="J1294" s="26"/>
      <c r="K1294" s="26"/>
      <c r="L1294" s="26" t="str">
        <f t="shared" si="2"/>
        <v>A</v>
      </c>
      <c r="M1294" s="26" t="str">
        <f>IFERROR(__xludf.DUMMYFUNCTION("GOOGLETRANSLATE(C1294,""EN"",""KN"")"),"ಅಭಿಮಾನ")</f>
        <v>ಅಭಿಮಾನ</v>
      </c>
      <c r="N1294" s="26">
        <f t="array" ref="N1294">_xlfn.XLOOKUP(B1294,'Sets Progress'!I:I,'Sets Progress'!I:I,"NOT YET")</f>
        <v>85</v>
      </c>
      <c r="O1294" s="26" t="str">
        <f t="array" ref="O1294">_xlfn.XLOOKUP(L:L,'Overall Progress'!L:L,'Overall Progress'!L:L,"NOT YET")</f>
        <v>NOT YET</v>
      </c>
      <c r="P1294" s="26"/>
      <c r="Q1294" s="26"/>
      <c r="R1294" s="26"/>
      <c r="S1294" s="26"/>
      <c r="T1294" s="26"/>
      <c r="U1294" s="26"/>
      <c r="V1294" s="26"/>
      <c r="W1294" s="26"/>
      <c r="X1294" s="26"/>
      <c r="Y1294" s="26"/>
      <c r="Z1294" s="26"/>
    </row>
    <row r="1295" hidden="1" customHeight="1" spans="1:26">
      <c r="A1295" s="27">
        <v>214</v>
      </c>
      <c r="B1295" s="27">
        <v>85</v>
      </c>
      <c r="C1295" s="27" t="s">
        <v>563</v>
      </c>
      <c r="D1295" s="27" t="s">
        <v>2946</v>
      </c>
      <c r="E1295" s="27" t="s">
        <v>2893</v>
      </c>
      <c r="F1295" s="27" t="str">
        <f t="shared" si="0"/>
        <v>Emotional Greek Origin</v>
      </c>
      <c r="G1295" s="27">
        <f t="shared" si="3"/>
        <v>9</v>
      </c>
      <c r="H1295" s="27" t="s">
        <v>4162</v>
      </c>
      <c r="I1295" s="27"/>
      <c r="J1295" s="27"/>
      <c r="K1295" s="27"/>
      <c r="L1295" s="27" t="str">
        <f t="shared" si="2"/>
        <v>C</v>
      </c>
      <c r="M1295" s="27" t="str">
        <f>IFERROR(__xludf.DUMMYFUNCTION("GOOGLETRANSLATE(C1295,""EN"",""KN"")"),"ಕ್ಯಾಥರ್ಟಿಕ್")</f>
        <v>ಕ್ಯಾಥರ್ಟಿಕ್</v>
      </c>
      <c r="N1295" s="27">
        <f t="array" ref="N1295">_xlfn.XLOOKUP(B1295,'Sets Progress'!I:I,'Sets Progress'!I:I,"NOT YET")</f>
        <v>85</v>
      </c>
      <c r="O1295" s="27" t="str">
        <f t="array" ref="O1295">_xlfn.XLOOKUP(L:L,'Overall Progress'!L:L,'Overall Progress'!L:L,"NOT YET")</f>
        <v>NOT YET</v>
      </c>
      <c r="P1295" s="27"/>
      <c r="Q1295" s="27"/>
      <c r="R1295" s="27"/>
      <c r="S1295" s="27"/>
      <c r="T1295" s="27"/>
      <c r="U1295" s="27"/>
      <c r="V1295" s="27"/>
      <c r="W1295" s="27"/>
      <c r="X1295" s="27"/>
      <c r="Y1295" s="27"/>
      <c r="Z1295" s="27"/>
    </row>
    <row r="1296" hidden="1" customHeight="1" spans="1:26">
      <c r="A1296" s="26">
        <v>454</v>
      </c>
      <c r="B1296" s="26">
        <v>85</v>
      </c>
      <c r="C1296" s="26" t="s">
        <v>803</v>
      </c>
      <c r="D1296" s="26" t="s">
        <v>2716</v>
      </c>
      <c r="E1296" s="26" t="s">
        <v>2899</v>
      </c>
      <c r="F1296" s="26" t="str">
        <f t="shared" si="0"/>
        <v>Negative Traits Middle English Origin</v>
      </c>
      <c r="G1296" s="26">
        <f t="shared" si="3"/>
        <v>5</v>
      </c>
      <c r="H1296" s="26" t="s">
        <v>4163</v>
      </c>
      <c r="I1296" s="26"/>
      <c r="J1296" s="26"/>
      <c r="K1296" s="26"/>
      <c r="L1296" s="26" t="str">
        <f t="shared" si="2"/>
        <v>D</v>
      </c>
      <c r="M1296" s="26" t="str">
        <f>IFERROR(__xludf.DUMMYFUNCTION("GOOGLETRANSLATE(C1296,""EN"",""KN"")"),"ಡೌಡಿ")</f>
        <v>ಡೌಡಿ</v>
      </c>
      <c r="N1296" s="26">
        <f t="array" ref="N1296">_xlfn.XLOOKUP(B1296,'Sets Progress'!I:I,'Sets Progress'!I:I,"NOT YET")</f>
        <v>85</v>
      </c>
      <c r="O1296" s="26" t="str">
        <f t="array" ref="O1296">_xlfn.XLOOKUP(L:L,'Overall Progress'!L:L,'Overall Progress'!L:L,"NOT YET")</f>
        <v>NOT YET</v>
      </c>
      <c r="P1296" s="26"/>
      <c r="Q1296" s="26"/>
      <c r="R1296" s="26"/>
      <c r="S1296" s="26"/>
      <c r="T1296" s="26"/>
      <c r="U1296" s="26"/>
      <c r="V1296" s="26"/>
      <c r="W1296" s="26"/>
      <c r="X1296" s="26"/>
      <c r="Y1296" s="26"/>
      <c r="Z1296" s="26"/>
    </row>
    <row r="1297" hidden="1" customHeight="1" spans="1:26">
      <c r="A1297" s="27">
        <v>456</v>
      </c>
      <c r="B1297" s="27">
        <v>85</v>
      </c>
      <c r="C1297" s="27" t="s">
        <v>805</v>
      </c>
      <c r="D1297" s="27" t="s">
        <v>2717</v>
      </c>
      <c r="E1297" s="27" t="s">
        <v>2899</v>
      </c>
      <c r="F1297" s="27" t="str">
        <f t="shared" si="0"/>
        <v>Positive Traits Middle English Origin</v>
      </c>
      <c r="G1297" s="27">
        <f t="shared" si="3"/>
        <v>5</v>
      </c>
      <c r="H1297" s="27" t="s">
        <v>4164</v>
      </c>
      <c r="I1297" s="27"/>
      <c r="J1297" s="27"/>
      <c r="K1297" s="27"/>
      <c r="L1297" s="27" t="str">
        <f t="shared" si="2"/>
        <v>D</v>
      </c>
      <c r="M1297" s="27" t="str">
        <f>IFERROR(__xludf.DUMMYFUNCTION("GOOGLETRANSLATE(C1297,""EN"",""KN"")"),"ಡ್ರಾಲ್")</f>
        <v>ಡ್ರಾಲ್</v>
      </c>
      <c r="N1297" s="27">
        <f t="array" ref="N1297">_xlfn.XLOOKUP(B1297,'Sets Progress'!I:I,'Sets Progress'!I:I,"NOT YET")</f>
        <v>85</v>
      </c>
      <c r="O1297" s="27" t="str">
        <f t="array" ref="O1297">_xlfn.XLOOKUP(L:L,'Overall Progress'!L:L,'Overall Progress'!L:L,"NOT YET")</f>
        <v>NOT YET</v>
      </c>
      <c r="P1297" s="27"/>
      <c r="Q1297" s="27"/>
      <c r="R1297" s="27"/>
      <c r="S1297" s="27"/>
      <c r="T1297" s="27"/>
      <c r="U1297" s="27"/>
      <c r="V1297" s="27"/>
      <c r="W1297" s="27"/>
      <c r="X1297" s="27"/>
      <c r="Y1297" s="27"/>
      <c r="Z1297" s="27"/>
    </row>
    <row r="1298" hidden="1" customHeight="1" spans="1:26">
      <c r="A1298" s="26">
        <v>561</v>
      </c>
      <c r="B1298" s="26">
        <v>85</v>
      </c>
      <c r="C1298" s="26" t="s">
        <v>907</v>
      </c>
      <c r="D1298" s="26" t="s">
        <v>1721</v>
      </c>
      <c r="E1298" s="26" t="s">
        <v>2889</v>
      </c>
      <c r="F1298" s="26" t="str">
        <f t="shared" si="0"/>
        <v>Temporal Latin Origin</v>
      </c>
      <c r="G1298" s="26">
        <f t="shared" si="3"/>
        <v>9</v>
      </c>
      <c r="H1298" s="26" t="s">
        <v>4165</v>
      </c>
      <c r="I1298" s="26"/>
      <c r="J1298" s="26"/>
      <c r="K1298" s="26"/>
      <c r="L1298" s="26" t="str">
        <f t="shared" si="2"/>
        <v>E</v>
      </c>
      <c r="M1298" s="26" t="str">
        <f>IFERROR(__xludf.DUMMYFUNCTION("GOOGLETRANSLATE(C1298,""EN"",""KN"")"),"ದೇಶಭ್ರಷ್ಟ")</f>
        <v>ದೇಶಭ್ರಷ್ಟ</v>
      </c>
      <c r="N1298" s="26">
        <f t="array" ref="N1298">_xlfn.XLOOKUP(B1298,'Sets Progress'!I:I,'Sets Progress'!I:I,"NOT YET")</f>
        <v>85</v>
      </c>
      <c r="O1298" s="26" t="str">
        <f t="array" ref="O1298">_xlfn.XLOOKUP(L:L,'Overall Progress'!L:L,'Overall Progress'!L:L,"NOT YET")</f>
        <v>NOT YET</v>
      </c>
      <c r="P1298" s="26"/>
      <c r="Q1298" s="26"/>
      <c r="R1298" s="26"/>
      <c r="S1298" s="26"/>
      <c r="T1298" s="26"/>
      <c r="U1298" s="26"/>
      <c r="V1298" s="26"/>
      <c r="W1298" s="26"/>
      <c r="X1298" s="26"/>
      <c r="Y1298" s="26"/>
      <c r="Z1298" s="26"/>
    </row>
    <row r="1299" hidden="1" customHeight="1" spans="1:26">
      <c r="A1299" s="27">
        <v>627</v>
      </c>
      <c r="B1299" s="27">
        <v>85</v>
      </c>
      <c r="C1299" s="27" t="s">
        <v>971</v>
      </c>
      <c r="D1299" s="27" t="s">
        <v>2717</v>
      </c>
      <c r="E1299" s="27" t="s">
        <v>2889</v>
      </c>
      <c r="F1299" s="27" t="str">
        <f t="shared" si="0"/>
        <v>Positive Traits Latin Origin</v>
      </c>
      <c r="G1299" s="27">
        <f t="shared" si="3"/>
        <v>9</v>
      </c>
      <c r="H1299" s="27" t="s">
        <v>4166</v>
      </c>
      <c r="I1299" s="27"/>
      <c r="J1299" s="27"/>
      <c r="K1299" s="27"/>
      <c r="L1299" s="27" t="str">
        <f t="shared" si="2"/>
        <v>F</v>
      </c>
      <c r="M1299" s="27" t="str">
        <f>IFERROR(__xludf.DUMMYFUNCTION("GOOGLETRANSLATE(C1299,""EN"",""KN"")"),"ದೃಢತೆ")</f>
        <v>ದೃಢತೆ</v>
      </c>
      <c r="N1299" s="27">
        <f t="array" ref="N1299">_xlfn.XLOOKUP(B1299,'Sets Progress'!I:I,'Sets Progress'!I:I,"NOT YET")</f>
        <v>85</v>
      </c>
      <c r="O1299" s="27" t="str">
        <f t="array" ref="O1299">_xlfn.XLOOKUP(L:L,'Overall Progress'!L:L,'Overall Progress'!L:L,"NOT YET")</f>
        <v>NOT YET</v>
      </c>
      <c r="P1299" s="27"/>
      <c r="Q1299" s="27"/>
      <c r="R1299" s="27"/>
      <c r="S1299" s="27"/>
      <c r="T1299" s="27"/>
      <c r="U1299" s="27"/>
      <c r="V1299" s="27"/>
      <c r="W1299" s="27"/>
      <c r="X1299" s="27"/>
      <c r="Y1299" s="27"/>
      <c r="Z1299" s="27"/>
    </row>
    <row r="1300" hidden="1" customHeight="1" spans="1:26">
      <c r="A1300" s="26">
        <v>1509</v>
      </c>
      <c r="B1300" s="26">
        <v>85</v>
      </c>
      <c r="C1300" s="26" t="s">
        <v>1837</v>
      </c>
      <c r="D1300" s="26" t="s">
        <v>2716</v>
      </c>
      <c r="E1300" s="26" t="s">
        <v>2889</v>
      </c>
      <c r="F1300" s="26" t="str">
        <f t="shared" si="0"/>
        <v>Negative Traits Latin Origin</v>
      </c>
      <c r="G1300" s="26">
        <f t="shared" si="3"/>
        <v>6</v>
      </c>
      <c r="H1300" s="26" t="s">
        <v>4167</v>
      </c>
      <c r="I1300" s="26"/>
      <c r="J1300" s="26"/>
      <c r="K1300" s="26"/>
      <c r="L1300" s="26" t="str">
        <f t="shared" si="2"/>
        <v>V</v>
      </c>
      <c r="M1300" s="26" t="str">
        <f>IFERROR(__xludf.DUMMYFUNCTION("GOOGLETRANSLATE(C1300,""EN"",""KN"")"),"ನಿಂದಿಸಿ")</f>
        <v>ನಿಂದಿಸಿ</v>
      </c>
      <c r="N1300" s="26">
        <f t="array" ref="N1300">_xlfn.XLOOKUP(B1300,'Sets Progress'!I:I,'Sets Progress'!I:I,"NOT YET")</f>
        <v>85</v>
      </c>
      <c r="O1300" s="26" t="str">
        <f t="array" ref="O1300">_xlfn.XLOOKUP(L:L,'Overall Progress'!L:L,'Overall Progress'!L:L,"NOT YET")</f>
        <v>NOT YET</v>
      </c>
      <c r="P1300" s="26"/>
      <c r="Q1300" s="26"/>
      <c r="R1300" s="26"/>
      <c r="S1300" s="26"/>
      <c r="T1300" s="26"/>
      <c r="U1300" s="26"/>
      <c r="V1300" s="26"/>
      <c r="W1300" s="26"/>
      <c r="X1300" s="26"/>
      <c r="Y1300" s="26"/>
      <c r="Z1300" s="26"/>
    </row>
    <row r="1301" hidden="1" customHeight="1" spans="1:26">
      <c r="A1301" s="27">
        <v>505</v>
      </c>
      <c r="B1301" s="27">
        <v>86</v>
      </c>
      <c r="C1301" s="27" t="s">
        <v>854</v>
      </c>
      <c r="D1301" s="27" t="s">
        <v>2898</v>
      </c>
      <c r="E1301" s="27" t="s">
        <v>2908</v>
      </c>
      <c r="F1301" s="27" t="str">
        <f t="shared" si="0"/>
        <v>Physical Sensation Old English Origin</v>
      </c>
      <c r="G1301" s="27">
        <f t="shared" si="3"/>
        <v>8</v>
      </c>
      <c r="H1301" s="27" t="s">
        <v>4168</v>
      </c>
      <c r="I1301" s="27"/>
      <c r="J1301" s="27"/>
      <c r="K1301" s="27"/>
      <c r="L1301" s="27" t="str">
        <f t="shared" si="2"/>
        <v>E</v>
      </c>
      <c r="M1301" s="27" t="str">
        <f>IFERROR(__xludf.DUMMYFUNCTION("GOOGLETRANSLATE(C1301,""EN"",""KN"")"),"ಎನ್ಫೀಬಲ್")</f>
        <v>ಎನ್ಫೀಬಲ್</v>
      </c>
      <c r="N1301" s="27">
        <f t="array" ref="N1301">_xlfn.XLOOKUP(B1301,'Sets Progress'!I:I,'Sets Progress'!I:I,"NOT YET")</f>
        <v>86</v>
      </c>
      <c r="O1301" s="27" t="str">
        <f t="array" ref="O1301">_xlfn.XLOOKUP(L:L,'Overall Progress'!L:L,'Overall Progress'!L:L,"NOT YET")</f>
        <v>NOT YET</v>
      </c>
      <c r="P1301" s="27"/>
      <c r="Q1301" s="27"/>
      <c r="R1301" s="27"/>
      <c r="S1301" s="27"/>
      <c r="T1301" s="27"/>
      <c r="U1301" s="27"/>
      <c r="V1301" s="27"/>
      <c r="W1301" s="27"/>
      <c r="X1301" s="27"/>
      <c r="Y1301" s="27"/>
      <c r="Z1301" s="27"/>
    </row>
    <row r="1302" hidden="1" customHeight="1" spans="1:26">
      <c r="A1302" s="26">
        <v>558</v>
      </c>
      <c r="B1302" s="26">
        <v>86</v>
      </c>
      <c r="C1302" s="26" t="s">
        <v>904</v>
      </c>
      <c r="D1302" s="26" t="s">
        <v>1721</v>
      </c>
      <c r="E1302" s="26" t="s">
        <v>2889</v>
      </c>
      <c r="F1302" s="26" t="str">
        <f t="shared" si="0"/>
        <v>Temporal Latin Origin</v>
      </c>
      <c r="G1302" s="26">
        <f t="shared" si="3"/>
        <v>10</v>
      </c>
      <c r="H1302" s="26" t="s">
        <v>4169</v>
      </c>
      <c r="I1302" s="26"/>
      <c r="J1302" s="26"/>
      <c r="K1302" s="26"/>
      <c r="L1302" s="26" t="str">
        <f t="shared" si="2"/>
        <v>E</v>
      </c>
      <c r="M1302" s="26" t="str">
        <f>IFERROR(__xludf.DUMMYFUNCTION("GOOGLETRANSLATE(C1302,""EN"",""KN"")"),"ವಿಪರೀತ")</f>
        <v>ವಿಪರೀತ</v>
      </c>
      <c r="N1302" s="26">
        <f t="array" ref="N1302">_xlfn.XLOOKUP(B1302,'Sets Progress'!I:I,'Sets Progress'!I:I,"NOT YET")</f>
        <v>86</v>
      </c>
      <c r="O1302" s="26" t="str">
        <f t="array" ref="O1302">_xlfn.XLOOKUP(L:L,'Overall Progress'!L:L,'Overall Progress'!L:L,"NOT YET")</f>
        <v>NOT YET</v>
      </c>
      <c r="P1302" s="26"/>
      <c r="Q1302" s="26"/>
      <c r="R1302" s="26"/>
      <c r="S1302" s="26"/>
      <c r="T1302" s="26"/>
      <c r="U1302" s="26"/>
      <c r="V1302" s="26"/>
      <c r="W1302" s="26"/>
      <c r="X1302" s="26"/>
      <c r="Y1302" s="26"/>
      <c r="Z1302" s="26"/>
    </row>
    <row r="1303" hidden="1" customHeight="1" spans="1:26">
      <c r="A1303" s="27">
        <v>660</v>
      </c>
      <c r="B1303" s="27">
        <v>86</v>
      </c>
      <c r="C1303" s="27" t="s">
        <v>1003</v>
      </c>
      <c r="D1303" s="27" t="s">
        <v>1721</v>
      </c>
      <c r="E1303" s="27" t="s">
        <v>2908</v>
      </c>
      <c r="F1303" s="27" t="str">
        <f t="shared" si="0"/>
        <v>Temporal Old English Origin</v>
      </c>
      <c r="G1303" s="27">
        <f t="shared" si="3"/>
        <v>4</v>
      </c>
      <c r="H1303" s="27" t="s">
        <v>4170</v>
      </c>
      <c r="I1303" s="27"/>
      <c r="J1303" s="27"/>
      <c r="K1303" s="27"/>
      <c r="L1303" s="27" t="str">
        <f t="shared" si="2"/>
        <v>G</v>
      </c>
      <c r="M1303" s="28" t="s">
        <v>4171</v>
      </c>
      <c r="N1303" s="27">
        <f t="array" ref="N1303">_xlfn.XLOOKUP(B1303,'Sets Progress'!I:I,'Sets Progress'!I:I,"NOT YET")</f>
        <v>86</v>
      </c>
      <c r="O1303" s="27" t="str">
        <f t="array" ref="O1303">_xlfn.XLOOKUP(L:L,'Overall Progress'!L:L,'Overall Progress'!L:L,"NOT YET")</f>
        <v>NOT YET</v>
      </c>
      <c r="P1303" s="27"/>
      <c r="Q1303" s="27"/>
      <c r="R1303" s="27"/>
      <c r="S1303" s="27"/>
      <c r="T1303" s="27"/>
      <c r="U1303" s="27"/>
      <c r="V1303" s="27"/>
      <c r="W1303" s="27"/>
      <c r="X1303" s="27"/>
      <c r="Y1303" s="27"/>
      <c r="Z1303" s="27"/>
    </row>
    <row r="1304" hidden="1" customHeight="1" spans="1:26">
      <c r="A1304" s="26">
        <v>751</v>
      </c>
      <c r="B1304" s="26">
        <v>86</v>
      </c>
      <c r="C1304" s="26" t="s">
        <v>1092</v>
      </c>
      <c r="D1304" s="26" t="s">
        <v>1721</v>
      </c>
      <c r="E1304" s="26" t="s">
        <v>2889</v>
      </c>
      <c r="F1304" s="26" t="str">
        <f t="shared" si="0"/>
        <v>Temporal Latin Origin</v>
      </c>
      <c r="G1304" s="26">
        <f t="shared" si="3"/>
        <v>14</v>
      </c>
      <c r="H1304" s="26" t="s">
        <v>4172</v>
      </c>
      <c r="I1304" s="26"/>
      <c r="J1304" s="26"/>
      <c r="K1304" s="26"/>
      <c r="L1304" s="26" t="str">
        <f t="shared" si="2"/>
        <v>I</v>
      </c>
      <c r="M1304" s="26" t="str">
        <f>IFERROR(__xludf.DUMMYFUNCTION("GOOGLETRANSLATE(C1304,""EN"",""KN"")"),"ಪರಿಗಣಿಸಲಾಗದ")</f>
        <v>ಪರಿಗಣಿಸಲಾಗದ</v>
      </c>
      <c r="N1304" s="26">
        <f t="array" ref="N1304">_xlfn.XLOOKUP(B1304,'Sets Progress'!I:I,'Sets Progress'!I:I,"NOT YET")</f>
        <v>86</v>
      </c>
      <c r="O1304" s="26" t="str">
        <f t="array" ref="O1304">_xlfn.XLOOKUP(L:L,'Overall Progress'!L:L,'Overall Progress'!L:L,"NOT YET")</f>
        <v>NOT YET</v>
      </c>
      <c r="P1304" s="26"/>
      <c r="Q1304" s="26"/>
      <c r="R1304" s="26"/>
      <c r="S1304" s="26"/>
      <c r="T1304" s="26"/>
      <c r="U1304" s="26"/>
      <c r="V1304" s="26"/>
      <c r="W1304" s="26"/>
      <c r="X1304" s="26"/>
      <c r="Y1304" s="26"/>
      <c r="Z1304" s="26"/>
    </row>
    <row r="1305" hidden="1" customHeight="1" spans="1:26">
      <c r="A1305" s="27">
        <v>887</v>
      </c>
      <c r="B1305" s="27">
        <v>86</v>
      </c>
      <c r="C1305" s="27" t="s">
        <v>1224</v>
      </c>
      <c r="D1305" s="27" t="s">
        <v>2716</v>
      </c>
      <c r="E1305" s="27" t="s">
        <v>2889</v>
      </c>
      <c r="F1305" s="27" t="str">
        <f t="shared" si="0"/>
        <v>Negative Traits Latin Origin</v>
      </c>
      <c r="G1305" s="27">
        <f t="shared" si="3"/>
        <v>9</v>
      </c>
      <c r="H1305" s="27" t="s">
        <v>4173</v>
      </c>
      <c r="I1305" s="27"/>
      <c r="J1305" s="27"/>
      <c r="K1305" s="27"/>
      <c r="L1305" s="27" t="str">
        <f t="shared" si="2"/>
        <v>M</v>
      </c>
      <c r="M1305" s="27" t="str">
        <f>IFERROR(__xludf.DUMMYFUNCTION("GOOGLETRANSLATE(C1305,""EN"",""KN"")"),"ಮಾರಕ")</f>
        <v>ಮಾರಕ</v>
      </c>
      <c r="N1305" s="27">
        <f t="array" ref="N1305">_xlfn.XLOOKUP(B1305,'Sets Progress'!I:I,'Sets Progress'!I:I,"NOT YET")</f>
        <v>86</v>
      </c>
      <c r="O1305" s="27" t="str">
        <f t="array" ref="O1305">_xlfn.XLOOKUP(L:L,'Overall Progress'!L:L,'Overall Progress'!L:L,"NOT YET")</f>
        <v>NOT YET</v>
      </c>
      <c r="P1305" s="27"/>
      <c r="Q1305" s="27"/>
      <c r="R1305" s="27"/>
      <c r="S1305" s="27"/>
      <c r="T1305" s="27"/>
      <c r="U1305" s="27"/>
      <c r="V1305" s="27"/>
      <c r="W1305" s="27"/>
      <c r="X1305" s="27"/>
      <c r="Y1305" s="27"/>
      <c r="Z1305" s="27"/>
    </row>
    <row r="1306" hidden="1" customHeight="1" spans="1:26">
      <c r="A1306" s="26">
        <v>898</v>
      </c>
      <c r="B1306" s="26">
        <v>86</v>
      </c>
      <c r="C1306" s="26" t="s">
        <v>1235</v>
      </c>
      <c r="D1306" s="26" t="s">
        <v>2716</v>
      </c>
      <c r="E1306" s="26" t="s">
        <v>2908</v>
      </c>
      <c r="F1306" s="26" t="str">
        <f t="shared" si="0"/>
        <v>Negative Traits Old English Origin</v>
      </c>
      <c r="G1306" s="26">
        <f t="shared" si="3"/>
        <v>7</v>
      </c>
      <c r="H1306" s="26" t="s">
        <v>4174</v>
      </c>
      <c r="I1306" s="26"/>
      <c r="J1306" s="26"/>
      <c r="K1306" s="26"/>
      <c r="L1306" s="26" t="str">
        <f t="shared" si="2"/>
        <v>M</v>
      </c>
      <c r="M1306" s="26" t="str">
        <f>IFERROR(__xludf.DUMMYFUNCTION("GOOGLETRANSLATE(C1306,""EN"",""KN"")"),"ಮೌಕಿಶ್")</f>
        <v>ಮೌಕಿಶ್</v>
      </c>
      <c r="N1306" s="26">
        <f t="array" ref="N1306">_xlfn.XLOOKUP(B1306,'Sets Progress'!I:I,'Sets Progress'!I:I,"NOT YET")</f>
        <v>86</v>
      </c>
      <c r="O1306" s="26" t="str">
        <f t="array" ref="O1306">_xlfn.XLOOKUP(L:L,'Overall Progress'!L:L,'Overall Progress'!L:L,"NOT YET")</f>
        <v>NOT YET</v>
      </c>
      <c r="P1306" s="26"/>
      <c r="Q1306" s="26"/>
      <c r="R1306" s="26"/>
      <c r="S1306" s="26"/>
      <c r="T1306" s="26"/>
      <c r="U1306" s="26"/>
      <c r="V1306" s="26"/>
      <c r="W1306" s="26"/>
      <c r="X1306" s="26"/>
      <c r="Y1306" s="26"/>
      <c r="Z1306" s="26"/>
    </row>
    <row r="1307" hidden="1" customHeight="1" spans="1:26">
      <c r="A1307" s="27">
        <v>934</v>
      </c>
      <c r="B1307" s="27">
        <v>86</v>
      </c>
      <c r="C1307" s="27" t="s">
        <v>1270</v>
      </c>
      <c r="D1307" s="27" t="s">
        <v>1721</v>
      </c>
      <c r="E1307" s="27" t="s">
        <v>2889</v>
      </c>
      <c r="F1307" s="27" t="str">
        <f t="shared" si="0"/>
        <v>Temporal Latin Origin</v>
      </c>
      <c r="G1307" s="27">
        <f t="shared" si="3"/>
        <v>7</v>
      </c>
      <c r="H1307" s="27" t="s">
        <v>4175</v>
      </c>
      <c r="I1307" s="27"/>
      <c r="J1307" s="27"/>
      <c r="K1307" s="27"/>
      <c r="L1307" s="27" t="str">
        <f t="shared" si="2"/>
        <v>M</v>
      </c>
      <c r="M1307" s="27" t="str">
        <f>IFERROR(__xludf.DUMMYFUNCTION("GOOGLETRANSLATE(C1307,""EN"",""KN"")"),"ಲೌಕಿಕ")</f>
        <v>ಲೌಕಿಕ</v>
      </c>
      <c r="N1307" s="27">
        <f t="array" ref="N1307">_xlfn.XLOOKUP(B1307,'Sets Progress'!I:I,'Sets Progress'!I:I,"NOT YET")</f>
        <v>86</v>
      </c>
      <c r="O1307" s="27" t="str">
        <f t="array" ref="O1307">_xlfn.XLOOKUP(L:L,'Overall Progress'!L:L,'Overall Progress'!L:L,"NOT YET")</f>
        <v>NOT YET</v>
      </c>
      <c r="P1307" s="27"/>
      <c r="Q1307" s="27"/>
      <c r="R1307" s="27"/>
      <c r="S1307" s="27"/>
      <c r="T1307" s="27"/>
      <c r="U1307" s="27"/>
      <c r="V1307" s="27"/>
      <c r="W1307" s="27"/>
      <c r="X1307" s="27"/>
      <c r="Y1307" s="27"/>
      <c r="Z1307" s="27"/>
    </row>
    <row r="1308" hidden="1" customHeight="1" spans="1:26">
      <c r="A1308" s="26">
        <v>964</v>
      </c>
      <c r="B1308" s="26">
        <v>86</v>
      </c>
      <c r="C1308" s="26" t="s">
        <v>1300</v>
      </c>
      <c r="D1308" s="26" t="s">
        <v>2716</v>
      </c>
      <c r="E1308" s="26" t="s">
        <v>2889</v>
      </c>
      <c r="F1308" s="26" t="str">
        <f t="shared" si="0"/>
        <v>Negative Traits Latin Origin</v>
      </c>
      <c r="G1308" s="26">
        <f t="shared" si="3"/>
        <v>8</v>
      </c>
      <c r="H1308" s="26" t="s">
        <v>4176</v>
      </c>
      <c r="I1308" s="26"/>
      <c r="J1308" s="26"/>
      <c r="K1308" s="26"/>
      <c r="L1308" s="26" t="str">
        <f t="shared" si="2"/>
        <v>O</v>
      </c>
      <c r="M1308" s="26" t="str">
        <f>IFERROR(__xludf.DUMMYFUNCTION("GOOGLETRANSLATE(C1308,""EN"",""KN"")"),"ಮಬ್ಬುಗೊಳಿಸು")</f>
        <v>ಮಬ್ಬುಗೊಳಿಸು</v>
      </c>
      <c r="N1308" s="26">
        <f t="array" ref="N1308">_xlfn.XLOOKUP(B1308,'Sets Progress'!I:I,'Sets Progress'!I:I,"NOT YET")</f>
        <v>86</v>
      </c>
      <c r="O1308" s="26" t="str">
        <f t="array" ref="O1308">_xlfn.XLOOKUP(L:L,'Overall Progress'!L:L,'Overall Progress'!L:L,"NOT YET")</f>
        <v>NOT YET</v>
      </c>
      <c r="P1308" s="26"/>
      <c r="Q1308" s="26"/>
      <c r="R1308" s="26"/>
      <c r="S1308" s="26"/>
      <c r="T1308" s="26"/>
      <c r="U1308" s="26"/>
      <c r="V1308" s="26"/>
      <c r="W1308" s="26"/>
      <c r="X1308" s="26"/>
      <c r="Y1308" s="26"/>
      <c r="Z1308" s="26"/>
    </row>
    <row r="1309" hidden="1" customHeight="1" spans="1:26">
      <c r="A1309" s="27">
        <v>970</v>
      </c>
      <c r="B1309" s="27">
        <v>86</v>
      </c>
      <c r="C1309" s="27" t="s">
        <v>1306</v>
      </c>
      <c r="D1309" s="27" t="s">
        <v>1721</v>
      </c>
      <c r="E1309" s="27" t="s">
        <v>2889</v>
      </c>
      <c r="F1309" s="27" t="str">
        <f t="shared" si="0"/>
        <v>Temporal Latin Origin</v>
      </c>
      <c r="G1309" s="27">
        <f t="shared" si="3"/>
        <v>6</v>
      </c>
      <c r="H1309" s="27" t="s">
        <v>4177</v>
      </c>
      <c r="I1309" s="27"/>
      <c r="J1309" s="27"/>
      <c r="K1309" s="27"/>
      <c r="L1309" s="27" t="str">
        <f t="shared" si="2"/>
        <v>O</v>
      </c>
      <c r="M1309" s="27" t="str">
        <f>IFERROR(__xludf.DUMMYFUNCTION("GOOGLETRANSLATE(C1309,""EN"",""KN"")"),"ಕಡ್ಡಾಯ")</f>
        <v>ಕಡ್ಡಾಯ</v>
      </c>
      <c r="N1309" s="27">
        <f t="array" ref="N1309">_xlfn.XLOOKUP(B1309,'Sets Progress'!I:I,'Sets Progress'!I:I,"NOT YET")</f>
        <v>86</v>
      </c>
      <c r="O1309" s="27" t="str">
        <f t="array" ref="O1309">_xlfn.XLOOKUP(L:L,'Overall Progress'!L:L,'Overall Progress'!L:L,"NOT YET")</f>
        <v>NOT YET</v>
      </c>
      <c r="P1309" s="27"/>
      <c r="Q1309" s="27"/>
      <c r="R1309" s="27"/>
      <c r="S1309" s="27"/>
      <c r="T1309" s="27"/>
      <c r="U1309" s="27"/>
      <c r="V1309" s="27"/>
      <c r="W1309" s="27"/>
      <c r="X1309" s="27"/>
      <c r="Y1309" s="27"/>
      <c r="Z1309" s="27"/>
    </row>
    <row r="1310" hidden="1" customHeight="1" spans="1:26">
      <c r="A1310" s="26">
        <v>1414</v>
      </c>
      <c r="B1310" s="26">
        <v>86</v>
      </c>
      <c r="C1310" s="26" t="s">
        <v>1745</v>
      </c>
      <c r="D1310" s="26" t="s">
        <v>1721</v>
      </c>
      <c r="E1310" s="26" t="s">
        <v>2908</v>
      </c>
      <c r="F1310" s="26" t="str">
        <f t="shared" si="0"/>
        <v>Temporal Old English Origin</v>
      </c>
      <c r="G1310" s="26">
        <f t="shared" si="3"/>
        <v>4</v>
      </c>
      <c r="H1310" s="26" t="s">
        <v>4178</v>
      </c>
      <c r="I1310" s="26"/>
      <c r="J1310" s="26"/>
      <c r="K1310" s="26"/>
      <c r="L1310" s="26" t="str">
        <f t="shared" si="2"/>
        <v>T</v>
      </c>
      <c r="M1310" s="26" t="str">
        <f>IFERROR(__xludf.DUMMYFUNCTION("GOOGLETRANSLATE(C1310,""EN"",""KN"")"),"ಟೌಟ್")</f>
        <v>ಟೌಟ್</v>
      </c>
      <c r="N1310" s="26">
        <f t="array" ref="N1310">_xlfn.XLOOKUP(B1310,'Sets Progress'!I:I,'Sets Progress'!I:I,"NOT YET")</f>
        <v>86</v>
      </c>
      <c r="O1310" s="26" t="str">
        <f t="array" ref="O1310">_xlfn.XLOOKUP(L:L,'Overall Progress'!L:L,'Overall Progress'!L:L,"NOT YET")</f>
        <v>NOT YET</v>
      </c>
      <c r="P1310" s="26"/>
      <c r="Q1310" s="26"/>
      <c r="R1310" s="26"/>
      <c r="S1310" s="26"/>
      <c r="T1310" s="26"/>
      <c r="U1310" s="26"/>
      <c r="V1310" s="26"/>
      <c r="W1310" s="26"/>
      <c r="X1310" s="26"/>
      <c r="Y1310" s="26"/>
      <c r="Z1310" s="26"/>
    </row>
    <row r="1311" hidden="1" customHeight="1" spans="1:26">
      <c r="A1311" s="27">
        <v>1456</v>
      </c>
      <c r="B1311" s="27">
        <v>86</v>
      </c>
      <c r="C1311" s="27" t="s">
        <v>1784</v>
      </c>
      <c r="D1311" s="27" t="s">
        <v>1721</v>
      </c>
      <c r="E1311" s="27" t="s">
        <v>2908</v>
      </c>
      <c r="F1311" s="27" t="str">
        <f t="shared" si="0"/>
        <v>Temporal Old English Origin</v>
      </c>
      <c r="G1311" s="27">
        <f t="shared" si="3"/>
        <v>12</v>
      </c>
      <c r="H1311" s="27" t="s">
        <v>4179</v>
      </c>
      <c r="I1311" s="27"/>
      <c r="J1311" s="27"/>
      <c r="K1311" s="27"/>
      <c r="L1311" s="27" t="str">
        <f t="shared" si="2"/>
        <v>U</v>
      </c>
      <c r="M1311" s="27" t="str">
        <f>IFERROR(__xludf.DUMMYFUNCTION("GOOGLETRANSLATE(C1311,""EN"",""KN"")"),"ಕಡಿಮೆಯಾಗದ")</f>
        <v>ಕಡಿಮೆಯಾಗದ</v>
      </c>
      <c r="N1311" s="27">
        <f t="array" ref="N1311">_xlfn.XLOOKUP(B1311,'Sets Progress'!I:I,'Sets Progress'!I:I,"NOT YET")</f>
        <v>86</v>
      </c>
      <c r="O1311" s="27" t="str">
        <f t="array" ref="O1311">_xlfn.XLOOKUP(L:L,'Overall Progress'!L:L,'Overall Progress'!L:L,"NOT YET")</f>
        <v>NOT YET</v>
      </c>
      <c r="P1311" s="27"/>
      <c r="Q1311" s="27"/>
      <c r="R1311" s="27"/>
      <c r="S1311" s="27"/>
      <c r="T1311" s="27"/>
      <c r="U1311" s="27"/>
      <c r="V1311" s="27"/>
      <c r="W1311" s="27"/>
      <c r="X1311" s="27"/>
      <c r="Y1311" s="27"/>
      <c r="Z1311" s="27"/>
    </row>
    <row r="1312" hidden="1" customHeight="1" spans="1:26">
      <c r="A1312" s="26">
        <v>16</v>
      </c>
      <c r="B1312" s="26">
        <v>87</v>
      </c>
      <c r="C1312" s="26" t="s">
        <v>382</v>
      </c>
      <c r="D1312" s="26" t="s">
        <v>2717</v>
      </c>
      <c r="E1312" s="26" t="s">
        <v>2889</v>
      </c>
      <c r="F1312" s="26" t="str">
        <f t="shared" si="0"/>
        <v>Positive Traits Latin Origin</v>
      </c>
      <c r="G1312" s="26">
        <f t="shared" si="3"/>
        <v>7</v>
      </c>
      <c r="H1312" s="26" t="s">
        <v>4180</v>
      </c>
      <c r="I1312" s="26"/>
      <c r="J1312" s="26"/>
      <c r="K1312" s="26"/>
      <c r="L1312" s="26" t="str">
        <f t="shared" si="2"/>
        <v>A</v>
      </c>
      <c r="M1312" s="26" t="str">
        <f>IFERROR(__xludf.DUMMYFUNCTION("GOOGLETRANSLATE(C1312,""EN"",""KN"")"),"ದೂರವಿರಿ")</f>
        <v>ದೂರವಿರಿ</v>
      </c>
      <c r="N1312" s="26">
        <f t="array" ref="N1312">_xlfn.XLOOKUP(B1312,'Sets Progress'!I:I,'Sets Progress'!I:I,"NOT YET")</f>
        <v>87</v>
      </c>
      <c r="O1312" s="26" t="str">
        <f t="array" ref="O1312">_xlfn.XLOOKUP(L:L,'Overall Progress'!L:L,'Overall Progress'!L:L,"NOT YET")</f>
        <v>NOT YET</v>
      </c>
      <c r="P1312" s="26"/>
      <c r="Q1312" s="26"/>
      <c r="R1312" s="26"/>
      <c r="S1312" s="26"/>
      <c r="T1312" s="26"/>
      <c r="U1312" s="26"/>
      <c r="V1312" s="26"/>
      <c r="W1312" s="26"/>
      <c r="X1312" s="26"/>
      <c r="Y1312" s="26"/>
      <c r="Z1312" s="26"/>
    </row>
    <row r="1313" hidden="1" customHeight="1" spans="1:26">
      <c r="A1313" s="27">
        <v>40</v>
      </c>
      <c r="B1313" s="27">
        <v>87</v>
      </c>
      <c r="C1313" s="27" t="s">
        <v>396</v>
      </c>
      <c r="D1313" s="27" t="s">
        <v>2716</v>
      </c>
      <c r="E1313" s="27" t="s">
        <v>2889</v>
      </c>
      <c r="F1313" s="27" t="str">
        <f t="shared" si="0"/>
        <v>Negative Traits Latin Origin</v>
      </c>
      <c r="G1313" s="27">
        <f t="shared" si="3"/>
        <v>7</v>
      </c>
      <c r="H1313" s="27" t="s">
        <v>4181</v>
      </c>
      <c r="I1313" s="27"/>
      <c r="J1313" s="27"/>
      <c r="K1313" s="27"/>
      <c r="L1313" s="27" t="str">
        <f t="shared" si="2"/>
        <v>A</v>
      </c>
      <c r="M1313" s="27" t="str">
        <f>IFERROR(__xludf.DUMMYFUNCTION("GOOGLETRANSLATE(C1313,""EN"",""KN"")"),"ಪ್ರತಿಕೂಲ")</f>
        <v>ಪ್ರತಿಕೂಲ</v>
      </c>
      <c r="N1313" s="27">
        <f t="array" ref="N1313">_xlfn.XLOOKUP(B1313,'Sets Progress'!I:I,'Sets Progress'!I:I,"NOT YET")</f>
        <v>87</v>
      </c>
      <c r="O1313" s="27" t="str">
        <f t="array" ref="O1313">_xlfn.XLOOKUP(L:L,'Overall Progress'!L:L,'Overall Progress'!L:L,"NOT YET")</f>
        <v>NOT YET</v>
      </c>
      <c r="P1313" s="27"/>
      <c r="Q1313" s="27"/>
      <c r="R1313" s="27"/>
      <c r="S1313" s="27"/>
      <c r="T1313" s="27"/>
      <c r="U1313" s="27"/>
      <c r="V1313" s="27"/>
      <c r="W1313" s="27"/>
      <c r="X1313" s="27"/>
      <c r="Y1313" s="27"/>
      <c r="Z1313" s="27"/>
    </row>
    <row r="1314" hidden="1" customHeight="1" spans="1:26">
      <c r="A1314" s="26">
        <v>53</v>
      </c>
      <c r="B1314" s="26">
        <v>87</v>
      </c>
      <c r="C1314" s="26" t="s">
        <v>407</v>
      </c>
      <c r="D1314" s="26" t="s">
        <v>1721</v>
      </c>
      <c r="E1314" s="26" t="s">
        <v>2893</v>
      </c>
      <c r="F1314" s="26" t="str">
        <f t="shared" si="0"/>
        <v>Temporal Greek Origin</v>
      </c>
      <c r="G1314" s="26">
        <f t="shared" si="3"/>
        <v>11</v>
      </c>
      <c r="H1314" s="26" t="s">
        <v>4182</v>
      </c>
      <c r="I1314" s="26"/>
      <c r="J1314" s="26"/>
      <c r="K1314" s="26"/>
      <c r="L1314" s="26" t="str">
        <f t="shared" si="2"/>
        <v>A</v>
      </c>
      <c r="M1314" s="26" t="str">
        <f>IFERROR(__xludf.DUMMYFUNCTION("GOOGLETRANSLATE(C1314,""EN"",""KN"")"),"ಐತಿಹಾಸಿಕ")</f>
        <v>ಐತಿಹಾಸಿಕ</v>
      </c>
      <c r="N1314" s="26">
        <f t="array" ref="N1314">_xlfn.XLOOKUP(B1314,'Sets Progress'!I:I,'Sets Progress'!I:I,"NOT YET")</f>
        <v>87</v>
      </c>
      <c r="O1314" s="26" t="str">
        <f t="array" ref="O1314">_xlfn.XLOOKUP(L:L,'Overall Progress'!L:L,'Overall Progress'!L:L,"NOT YET")</f>
        <v>NOT YET</v>
      </c>
      <c r="P1314" s="26"/>
      <c r="Q1314" s="26"/>
      <c r="R1314" s="26"/>
      <c r="S1314" s="26"/>
      <c r="T1314" s="26"/>
      <c r="U1314" s="26"/>
      <c r="V1314" s="26"/>
      <c r="W1314" s="26"/>
      <c r="X1314" s="26"/>
      <c r="Y1314" s="26"/>
      <c r="Z1314" s="26"/>
    </row>
    <row r="1315" hidden="1" customHeight="1" spans="1:26">
      <c r="A1315" s="27">
        <v>105</v>
      </c>
      <c r="B1315" s="27">
        <v>87</v>
      </c>
      <c r="C1315" s="27" t="s">
        <v>75</v>
      </c>
      <c r="D1315" s="27" t="s">
        <v>2898</v>
      </c>
      <c r="E1315" s="27" t="s">
        <v>2889</v>
      </c>
      <c r="F1315" s="27" t="str">
        <f t="shared" si="0"/>
        <v>Physical Sensation Latin Origin</v>
      </c>
      <c r="G1315" s="27">
        <f t="shared" si="3"/>
        <v>7</v>
      </c>
      <c r="H1315" s="27" t="s">
        <v>4183</v>
      </c>
      <c r="I1315" s="27"/>
      <c r="J1315" s="27"/>
      <c r="K1315" s="27"/>
      <c r="L1315" s="27" t="str">
        <f t="shared" si="2"/>
        <v>A</v>
      </c>
      <c r="M1315" s="27" t="str">
        <f>IFERROR(__xludf.DUMMYFUNCTION("GOOGLETRANSLATE(C1315,""EN"",""KN"")"),"ಪ್ರಯಾಸಕರ")</f>
        <v>ಪ್ರಯಾಸಕರ</v>
      </c>
      <c r="N1315" s="27">
        <f t="array" ref="N1315">_xlfn.XLOOKUP(B1315,'Sets Progress'!I:I,'Sets Progress'!I:I,"NOT YET")</f>
        <v>87</v>
      </c>
      <c r="O1315" s="27" t="str">
        <f t="array" ref="O1315">_xlfn.XLOOKUP(L:L,'Overall Progress'!L:L,'Overall Progress'!L:L,"NOT YET")</f>
        <v>NOT YET</v>
      </c>
      <c r="P1315" s="27"/>
      <c r="Q1315" s="27"/>
      <c r="R1315" s="27"/>
      <c r="S1315" s="27"/>
      <c r="T1315" s="27"/>
      <c r="U1315" s="27"/>
      <c r="V1315" s="27"/>
      <c r="W1315" s="27"/>
      <c r="X1315" s="27"/>
      <c r="Y1315" s="27"/>
      <c r="Z1315" s="27"/>
    </row>
    <row r="1316" hidden="1" customHeight="1" spans="1:26">
      <c r="A1316" s="26">
        <v>131</v>
      </c>
      <c r="B1316" s="26">
        <v>87</v>
      </c>
      <c r="C1316" s="26" t="s">
        <v>480</v>
      </c>
      <c r="D1316" s="26" t="s">
        <v>2946</v>
      </c>
      <c r="E1316" s="26" t="s">
        <v>2889</v>
      </c>
      <c r="F1316" s="26" t="str">
        <f t="shared" si="0"/>
        <v>Emotional Latin Origin</v>
      </c>
      <c r="G1316" s="26">
        <f t="shared" si="3"/>
        <v>7</v>
      </c>
      <c r="H1316" s="26" t="s">
        <v>4184</v>
      </c>
      <c r="I1316" s="26"/>
      <c r="J1316" s="26"/>
      <c r="K1316" s="26"/>
      <c r="L1316" s="26" t="str">
        <f t="shared" si="2"/>
        <v>A</v>
      </c>
      <c r="M1316" s="26" t="str">
        <f>IFERROR(__xludf.DUMMYFUNCTION("GOOGLETRANSLATE(C1316,""EN"",""KN"")"),"ಕಟ್ಟುನಿಟ್ಟಾದ")</f>
        <v>ಕಟ್ಟುನಿಟ್ಟಾದ</v>
      </c>
      <c r="N1316" s="26">
        <f t="array" ref="N1316">_xlfn.XLOOKUP(B1316,'Sets Progress'!I:I,'Sets Progress'!I:I,"NOT YET")</f>
        <v>87</v>
      </c>
      <c r="O1316" s="26" t="str">
        <f t="array" ref="O1316">_xlfn.XLOOKUP(L:L,'Overall Progress'!L:L,'Overall Progress'!L:L,"NOT YET")</f>
        <v>NOT YET</v>
      </c>
      <c r="P1316" s="26"/>
      <c r="Q1316" s="26"/>
      <c r="R1316" s="26"/>
      <c r="S1316" s="26"/>
      <c r="T1316" s="26"/>
      <c r="U1316" s="26"/>
      <c r="V1316" s="26"/>
      <c r="W1316" s="26"/>
      <c r="X1316" s="26"/>
      <c r="Y1316" s="26"/>
      <c r="Z1316" s="26"/>
    </row>
    <row r="1317" hidden="1" customHeight="1" spans="1:26">
      <c r="A1317" s="27">
        <v>133</v>
      </c>
      <c r="B1317" s="27">
        <v>87</v>
      </c>
      <c r="C1317" s="27" t="s">
        <v>482</v>
      </c>
      <c r="D1317" s="27" t="s">
        <v>2928</v>
      </c>
      <c r="E1317" s="27" t="s">
        <v>2893</v>
      </c>
      <c r="F1317" s="27" t="str">
        <f t="shared" si="0"/>
        <v>Philosophical Greek Origin</v>
      </c>
      <c r="G1317" s="27">
        <f t="shared" si="3"/>
        <v>10</v>
      </c>
      <c r="H1317" s="27" t="s">
        <v>4185</v>
      </c>
      <c r="I1317" s="27"/>
      <c r="J1317" s="27"/>
      <c r="K1317" s="27"/>
      <c r="L1317" s="27" t="str">
        <f t="shared" si="2"/>
        <v>A</v>
      </c>
      <c r="M1317" s="27" t="str">
        <f>IFERROR(__xludf.DUMMYFUNCTION("GOOGLETRANSLATE(C1317,""EN"",""KN"")"),"ಸ್ವಾಯತ್ತ")</f>
        <v>ಸ್ವಾಯತ್ತ</v>
      </c>
      <c r="N1317" s="27">
        <f t="array" ref="N1317">_xlfn.XLOOKUP(B1317,'Sets Progress'!I:I,'Sets Progress'!I:I,"NOT YET")</f>
        <v>87</v>
      </c>
      <c r="O1317" s="27" t="str">
        <f t="array" ref="O1317">_xlfn.XLOOKUP(L:L,'Overall Progress'!L:L,'Overall Progress'!L:L,"NOT YET")</f>
        <v>NOT YET</v>
      </c>
      <c r="P1317" s="27"/>
      <c r="Q1317" s="27"/>
      <c r="R1317" s="27"/>
      <c r="S1317" s="27"/>
      <c r="T1317" s="27"/>
      <c r="U1317" s="27"/>
      <c r="V1317" s="27"/>
      <c r="W1317" s="27"/>
      <c r="X1317" s="27"/>
      <c r="Y1317" s="27"/>
      <c r="Z1317" s="27"/>
    </row>
    <row r="1318" hidden="1" customHeight="1" spans="1:26">
      <c r="A1318" s="26">
        <v>184</v>
      </c>
      <c r="B1318" s="26">
        <v>87</v>
      </c>
      <c r="C1318" s="26" t="s">
        <v>534</v>
      </c>
      <c r="D1318" s="26" t="s">
        <v>2898</v>
      </c>
      <c r="E1318" s="26" t="s">
        <v>2908</v>
      </c>
      <c r="F1318" s="26" t="str">
        <f t="shared" si="0"/>
        <v>Physical Sensation Old English Origin</v>
      </c>
      <c r="G1318" s="26">
        <f t="shared" si="3"/>
        <v>6</v>
      </c>
      <c r="H1318" s="26" t="s">
        <v>4186</v>
      </c>
      <c r="I1318" s="26"/>
      <c r="J1318" s="26"/>
      <c r="K1318" s="26"/>
      <c r="L1318" s="26" t="str">
        <f t="shared" si="2"/>
        <v>B</v>
      </c>
      <c r="M1318" s="26" t="str">
        <f>IFERROR(__xludf.DUMMYFUNCTION("GOOGLETRANSLATE(C1318,""EN"",""KN"")"),"ಬ್ರಿಡ್ಲ್")</f>
        <v>ಬ್ರಿಡ್ಲ್</v>
      </c>
      <c r="N1318" s="26">
        <f t="array" ref="N1318">_xlfn.XLOOKUP(B1318,'Sets Progress'!I:I,'Sets Progress'!I:I,"NOT YET")</f>
        <v>87</v>
      </c>
      <c r="O1318" s="26" t="str">
        <f t="array" ref="O1318">_xlfn.XLOOKUP(L:L,'Overall Progress'!L:L,'Overall Progress'!L:L,"NOT YET")</f>
        <v>NOT YET</v>
      </c>
      <c r="P1318" s="26"/>
      <c r="Q1318" s="26"/>
      <c r="R1318" s="26"/>
      <c r="S1318" s="26"/>
      <c r="T1318" s="26"/>
      <c r="U1318" s="26"/>
      <c r="V1318" s="26"/>
      <c r="W1318" s="26"/>
      <c r="X1318" s="26"/>
      <c r="Y1318" s="26"/>
      <c r="Z1318" s="26"/>
    </row>
    <row r="1319" hidden="1" customHeight="1" spans="1:26">
      <c r="A1319" s="27">
        <v>204</v>
      </c>
      <c r="B1319" s="27">
        <v>87</v>
      </c>
      <c r="C1319" s="27" t="s">
        <v>554</v>
      </c>
      <c r="D1319" s="27" t="s">
        <v>2717</v>
      </c>
      <c r="E1319" s="27" t="s">
        <v>2947</v>
      </c>
      <c r="F1319" s="27" t="str">
        <f t="shared" si="0"/>
        <v>Positive Traits Scottish Origin</v>
      </c>
      <c r="G1319" s="27">
        <f t="shared" si="3"/>
        <v>5</v>
      </c>
      <c r="H1319" s="27" t="s">
        <v>4187</v>
      </c>
      <c r="I1319" s="27"/>
      <c r="J1319" s="27"/>
      <c r="K1319" s="27"/>
      <c r="L1319" s="27" t="str">
        <f t="shared" si="2"/>
        <v>C</v>
      </c>
      <c r="M1319" s="27" t="str">
        <f>IFERROR(__xludf.DUMMYFUNCTION("GOOGLETRANSLATE(C1319,""EN"",""KN"")"),"ಕ್ಯಾನಿ")</f>
        <v>ಕ್ಯಾನಿ</v>
      </c>
      <c r="N1319" s="27">
        <f t="array" ref="N1319">_xlfn.XLOOKUP(B1319,'Sets Progress'!I:I,'Sets Progress'!I:I,"NOT YET")</f>
        <v>87</v>
      </c>
      <c r="O1319" s="27" t="str">
        <f t="array" ref="O1319">_xlfn.XLOOKUP(L:L,'Overall Progress'!L:L,'Overall Progress'!L:L,"NOT YET")</f>
        <v>NOT YET</v>
      </c>
      <c r="P1319" s="27"/>
      <c r="Q1319" s="27"/>
      <c r="R1319" s="27"/>
      <c r="S1319" s="27"/>
      <c r="T1319" s="27"/>
      <c r="U1319" s="27"/>
      <c r="V1319" s="27"/>
      <c r="W1319" s="27"/>
      <c r="X1319" s="27"/>
      <c r="Y1319" s="27"/>
      <c r="Z1319" s="27"/>
    </row>
    <row r="1320" hidden="1" customHeight="1" spans="1:26">
      <c r="A1320" s="26">
        <v>277</v>
      </c>
      <c r="B1320" s="26">
        <v>87</v>
      </c>
      <c r="C1320" s="26" t="s">
        <v>630</v>
      </c>
      <c r="D1320" s="26" t="s">
        <v>2716</v>
      </c>
      <c r="E1320" s="26" t="s">
        <v>2889</v>
      </c>
      <c r="F1320" s="26" t="str">
        <f t="shared" si="0"/>
        <v>Negative Traits Latin Origin</v>
      </c>
      <c r="G1320" s="26">
        <f t="shared" si="3"/>
        <v>13</v>
      </c>
      <c r="H1320" s="26" t="s">
        <v>4188</v>
      </c>
      <c r="I1320" s="26"/>
      <c r="J1320" s="26"/>
      <c r="K1320" s="26"/>
      <c r="L1320" s="26" t="str">
        <f t="shared" si="2"/>
        <v>C</v>
      </c>
      <c r="M1320" s="26" t="str">
        <f>IFERROR(__xludf.DUMMYFUNCTION("GOOGLETRANSLATE(C1320,""EN"",""KN"")"),"ಕನ್ಸೆಸೆಂಡಿಂಗ್")</f>
        <v>ಕನ್ಸೆಸೆಂಡಿಂಗ್</v>
      </c>
      <c r="N1320" s="26">
        <f t="array" ref="N1320">_xlfn.XLOOKUP(B1320,'Sets Progress'!I:I,'Sets Progress'!I:I,"NOT YET")</f>
        <v>87</v>
      </c>
      <c r="O1320" s="26" t="str">
        <f t="array" ref="O1320">_xlfn.XLOOKUP(L:L,'Overall Progress'!L:L,'Overall Progress'!L:L,"NOT YET")</f>
        <v>NOT YET</v>
      </c>
      <c r="P1320" s="26"/>
      <c r="Q1320" s="26"/>
      <c r="R1320" s="26"/>
      <c r="S1320" s="26"/>
      <c r="T1320" s="26"/>
      <c r="U1320" s="26"/>
      <c r="V1320" s="26"/>
      <c r="W1320" s="26"/>
      <c r="X1320" s="26"/>
      <c r="Y1320" s="26"/>
      <c r="Z1320" s="26"/>
    </row>
    <row r="1321" hidden="1" customHeight="1" spans="1:26">
      <c r="A1321" s="27">
        <v>412</v>
      </c>
      <c r="B1321" s="27">
        <v>87</v>
      </c>
      <c r="C1321" s="27" t="s">
        <v>761</v>
      </c>
      <c r="D1321" s="27" t="s">
        <v>2946</v>
      </c>
      <c r="E1321" s="27" t="s">
        <v>2889</v>
      </c>
      <c r="F1321" s="27" t="str">
        <f t="shared" si="0"/>
        <v>Emotional Latin Origin</v>
      </c>
      <c r="G1321" s="27">
        <f t="shared" si="3"/>
        <v>10</v>
      </c>
      <c r="H1321" s="27" t="s">
        <v>4189</v>
      </c>
      <c r="I1321" s="27"/>
      <c r="J1321" s="27"/>
      <c r="K1321" s="27"/>
      <c r="L1321" s="27" t="str">
        <f t="shared" si="2"/>
        <v>D</v>
      </c>
      <c r="M1321" s="27" t="str">
        <f>IFERROR(__xludf.DUMMYFUNCTION("GOOGLETRANSLATE(C1321,""EN"",""KN"")"),"ಡಿಸ್ಕನ್ಸರ್ಟ್")</f>
        <v>ಡಿಸ್ಕನ್ಸರ್ಟ್</v>
      </c>
      <c r="N1321" s="27">
        <f t="array" ref="N1321">_xlfn.XLOOKUP(B1321,'Sets Progress'!I:I,'Sets Progress'!I:I,"NOT YET")</f>
        <v>87</v>
      </c>
      <c r="O1321" s="27" t="str">
        <f t="array" ref="O1321">_xlfn.XLOOKUP(L:L,'Overall Progress'!L:L,'Overall Progress'!L:L,"NOT YET")</f>
        <v>NOT YET</v>
      </c>
      <c r="P1321" s="27"/>
      <c r="Q1321" s="27"/>
      <c r="R1321" s="27"/>
      <c r="S1321" s="27"/>
      <c r="T1321" s="27"/>
      <c r="U1321" s="27"/>
      <c r="V1321" s="27"/>
      <c r="W1321" s="27"/>
      <c r="X1321" s="27"/>
      <c r="Y1321" s="27"/>
      <c r="Z1321" s="27"/>
    </row>
    <row r="1322" hidden="1" customHeight="1" spans="1:26">
      <c r="A1322" s="26">
        <v>455</v>
      </c>
      <c r="B1322" s="26">
        <v>87</v>
      </c>
      <c r="C1322" s="26" t="s">
        <v>804</v>
      </c>
      <c r="D1322" s="26" t="s">
        <v>2716</v>
      </c>
      <c r="E1322" s="26" t="s">
        <v>2889</v>
      </c>
      <c r="F1322" s="26" t="str">
        <f t="shared" si="0"/>
        <v>Negative Traits Latin Origin</v>
      </c>
      <c r="G1322" s="26">
        <f t="shared" si="3"/>
        <v>9</v>
      </c>
      <c r="H1322" s="26" t="s">
        <v>4190</v>
      </c>
      <c r="I1322" s="26"/>
      <c r="J1322" s="26"/>
      <c r="K1322" s="26"/>
      <c r="L1322" s="26" t="str">
        <f t="shared" si="2"/>
        <v>D</v>
      </c>
      <c r="M1322" s="26" t="str">
        <f>IFERROR(__xludf.DUMMYFUNCTION("GOOGLETRANSLATE(C1322,""EN"",""KN"")"),"ಡ್ರಾಕೋನಿಯನ್")</f>
        <v>ಡ್ರಾಕೋನಿಯನ್</v>
      </c>
      <c r="N1322" s="26">
        <f t="array" ref="N1322">_xlfn.XLOOKUP(B1322,'Sets Progress'!I:I,'Sets Progress'!I:I,"NOT YET")</f>
        <v>87</v>
      </c>
      <c r="O1322" s="26" t="str">
        <f t="array" ref="O1322">_xlfn.XLOOKUP(L:L,'Overall Progress'!L:L,'Overall Progress'!L:L,"NOT YET")</f>
        <v>NOT YET</v>
      </c>
      <c r="P1322" s="26"/>
      <c r="Q1322" s="26"/>
      <c r="R1322" s="26"/>
      <c r="S1322" s="26"/>
      <c r="T1322" s="26"/>
      <c r="U1322" s="26"/>
      <c r="V1322" s="26"/>
      <c r="W1322" s="26"/>
      <c r="X1322" s="26"/>
      <c r="Y1322" s="26"/>
      <c r="Z1322" s="26"/>
    </row>
    <row r="1323" hidden="1" customHeight="1" spans="1:26">
      <c r="A1323" s="27">
        <v>541</v>
      </c>
      <c r="B1323" s="27">
        <v>87</v>
      </c>
      <c r="C1323" s="27" t="s">
        <v>887</v>
      </c>
      <c r="D1323" s="27" t="s">
        <v>1721</v>
      </c>
      <c r="E1323" s="27" t="s">
        <v>2889</v>
      </c>
      <c r="F1323" s="27" t="str">
        <f t="shared" si="0"/>
        <v>Temporal Latin Origin</v>
      </c>
      <c r="G1323" s="27">
        <f t="shared" si="3"/>
        <v>10</v>
      </c>
      <c r="H1323" s="27" t="s">
        <v>4191</v>
      </c>
      <c r="I1323" s="27"/>
      <c r="J1323" s="27"/>
      <c r="K1323" s="27"/>
      <c r="L1323" s="27" t="str">
        <f t="shared" si="2"/>
        <v>E</v>
      </c>
      <c r="M1323" s="27" t="str">
        <f>IFERROR(__xludf.DUMMYFUNCTION("GOOGLETRANSLATE(C1323,""EN"",""KN"")"),"ಇವಾನೆಸೆಂಟ್")</f>
        <v>ಇವಾನೆಸೆಂಟ್</v>
      </c>
      <c r="N1323" s="27">
        <f t="array" ref="N1323">_xlfn.XLOOKUP(B1323,'Sets Progress'!I:I,'Sets Progress'!I:I,"NOT YET")</f>
        <v>87</v>
      </c>
      <c r="O1323" s="27" t="str">
        <f t="array" ref="O1323">_xlfn.XLOOKUP(L:L,'Overall Progress'!L:L,'Overall Progress'!L:L,"NOT YET")</f>
        <v>NOT YET</v>
      </c>
      <c r="P1323" s="27"/>
      <c r="Q1323" s="27"/>
      <c r="R1323" s="27"/>
      <c r="S1323" s="27"/>
      <c r="T1323" s="27"/>
      <c r="U1323" s="27"/>
      <c r="V1323" s="27"/>
      <c r="W1323" s="27"/>
      <c r="X1323" s="27"/>
      <c r="Y1323" s="27"/>
      <c r="Z1323" s="27"/>
    </row>
    <row r="1324" hidden="1" customHeight="1" spans="1:26">
      <c r="A1324" s="26">
        <v>556</v>
      </c>
      <c r="B1324" s="26">
        <v>87</v>
      </c>
      <c r="C1324" s="26" t="s">
        <v>902</v>
      </c>
      <c r="D1324" s="26" t="s">
        <v>1721</v>
      </c>
      <c r="E1324" s="26" t="s">
        <v>2889</v>
      </c>
      <c r="F1324" s="26" t="str">
        <f t="shared" si="0"/>
        <v>Temporal Latin Origin</v>
      </c>
      <c r="G1324" s="26">
        <f t="shared" si="3"/>
        <v>7</v>
      </c>
      <c r="H1324" s="26" t="s">
        <v>4192</v>
      </c>
      <c r="I1324" s="26"/>
      <c r="J1324" s="26"/>
      <c r="K1324" s="26"/>
      <c r="L1324" s="26" t="str">
        <f t="shared" si="2"/>
        <v>E</v>
      </c>
      <c r="M1324" s="26" t="str">
        <f>IFERROR(__xludf.DUMMYFUNCTION("GOOGLETRANSLATE(C1324,""EN"",""KN"")"),"ಎಕ್ಸಿಜೆಂಟ್")</f>
        <v>ಎಕ್ಸಿಜೆಂಟ್</v>
      </c>
      <c r="N1324" s="26">
        <f t="array" ref="N1324">_xlfn.XLOOKUP(B1324,'Sets Progress'!I:I,'Sets Progress'!I:I,"NOT YET")</f>
        <v>87</v>
      </c>
      <c r="O1324" s="26" t="str">
        <f t="array" ref="O1324">_xlfn.XLOOKUP(L:L,'Overall Progress'!L:L,'Overall Progress'!L:L,"NOT YET")</f>
        <v>NOT YET</v>
      </c>
      <c r="P1324" s="26"/>
      <c r="Q1324" s="26"/>
      <c r="R1324" s="26"/>
      <c r="S1324" s="26"/>
      <c r="T1324" s="26"/>
      <c r="U1324" s="26"/>
      <c r="V1324" s="26"/>
      <c r="W1324" s="26"/>
      <c r="X1324" s="26"/>
      <c r="Y1324" s="26"/>
      <c r="Z1324" s="26"/>
    </row>
    <row r="1325" hidden="1" customHeight="1" spans="1:26">
      <c r="A1325" s="27">
        <v>584</v>
      </c>
      <c r="B1325" s="27">
        <v>87</v>
      </c>
      <c r="C1325" s="27" t="s">
        <v>929</v>
      </c>
      <c r="D1325" s="27" t="s">
        <v>1721</v>
      </c>
      <c r="E1325" s="27" t="s">
        <v>2908</v>
      </c>
      <c r="F1325" s="27" t="str">
        <f t="shared" si="0"/>
        <v>Temporal Old English Origin</v>
      </c>
      <c r="G1325" s="27">
        <f t="shared" si="3"/>
        <v>10</v>
      </c>
      <c r="H1325" s="27" t="s">
        <v>4193</v>
      </c>
      <c r="I1325" s="27"/>
      <c r="J1325" s="27"/>
      <c r="K1325" s="27"/>
      <c r="L1325" s="27" t="str">
        <f t="shared" si="2"/>
        <v>F</v>
      </c>
      <c r="M1325" s="27" t="str">
        <f>IFERROR(__xludf.DUMMYFUNCTION("GOOGLETRANSLATE(C1325,""EN"",""KN"")"),"ದೂರದೃಷ್ಟಿಯುಳ್ಳ")</f>
        <v>ದೂರದೃಷ್ಟಿಯುಳ್ಳ</v>
      </c>
      <c r="N1325" s="27">
        <f t="array" ref="N1325">_xlfn.XLOOKUP(B1325,'Sets Progress'!I:I,'Sets Progress'!I:I,"NOT YET")</f>
        <v>87</v>
      </c>
      <c r="O1325" s="27" t="str">
        <f t="array" ref="O1325">_xlfn.XLOOKUP(L:L,'Overall Progress'!L:L,'Overall Progress'!L:L,"NOT YET")</f>
        <v>NOT YET</v>
      </c>
      <c r="P1325" s="27"/>
      <c r="Q1325" s="27"/>
      <c r="R1325" s="27"/>
      <c r="S1325" s="27"/>
      <c r="T1325" s="27"/>
      <c r="U1325" s="27"/>
      <c r="V1325" s="27"/>
      <c r="W1325" s="27"/>
      <c r="X1325" s="27"/>
      <c r="Y1325" s="27"/>
      <c r="Z1325" s="27"/>
    </row>
    <row r="1326" hidden="1" customHeight="1" spans="1:26">
      <c r="A1326" s="26">
        <v>794</v>
      </c>
      <c r="B1326" s="26">
        <v>87</v>
      </c>
      <c r="C1326" s="26" t="s">
        <v>1134</v>
      </c>
      <c r="D1326" s="26" t="s">
        <v>1721</v>
      </c>
      <c r="E1326" s="26" t="s">
        <v>2889</v>
      </c>
      <c r="F1326" s="26" t="str">
        <f t="shared" si="0"/>
        <v>Temporal Latin Origin</v>
      </c>
      <c r="G1326" s="26">
        <f t="shared" si="3"/>
        <v>9</v>
      </c>
      <c r="H1326" s="26" t="s">
        <v>4194</v>
      </c>
      <c r="I1326" s="26"/>
      <c r="J1326" s="26"/>
      <c r="K1326" s="26"/>
      <c r="L1326" s="26" t="str">
        <f t="shared" si="2"/>
        <v>I</v>
      </c>
      <c r="M1326" s="26" t="str">
        <f>IFERROR(__xludf.DUMMYFUNCTION("GOOGLETRANSLATE(C1326,""EN"",""KN"")"),"ಪ್ರೇರೇಪಿಸು")</f>
        <v>ಪ್ರೇರೇಪಿಸು</v>
      </c>
      <c r="N1326" s="26">
        <f t="array" ref="N1326">_xlfn.XLOOKUP(B1326,'Sets Progress'!I:I,'Sets Progress'!I:I,"NOT YET")</f>
        <v>87</v>
      </c>
      <c r="O1326" s="26" t="str">
        <f t="array" ref="O1326">_xlfn.XLOOKUP(L:L,'Overall Progress'!L:L,'Overall Progress'!L:L,"NOT YET")</f>
        <v>NOT YET</v>
      </c>
      <c r="P1326" s="26"/>
      <c r="Q1326" s="26"/>
      <c r="R1326" s="26"/>
      <c r="S1326" s="26"/>
      <c r="T1326" s="26"/>
      <c r="U1326" s="26"/>
      <c r="V1326" s="26"/>
      <c r="W1326" s="26"/>
      <c r="X1326" s="26"/>
      <c r="Y1326" s="26"/>
      <c r="Z1326" s="26"/>
    </row>
    <row r="1327" hidden="1" customHeight="1" spans="1:26">
      <c r="A1327" s="27">
        <v>875</v>
      </c>
      <c r="B1327" s="27">
        <v>87</v>
      </c>
      <c r="C1327" s="27" t="s">
        <v>1213</v>
      </c>
      <c r="D1327" s="27" t="s">
        <v>2717</v>
      </c>
      <c r="E1327" s="27" t="s">
        <v>2889</v>
      </c>
      <c r="F1327" s="27" t="str">
        <f t="shared" si="0"/>
        <v>Positive Traits Latin Origin</v>
      </c>
      <c r="G1327" s="27">
        <f t="shared" si="3"/>
        <v>8</v>
      </c>
      <c r="H1327" s="27" t="s">
        <v>4195</v>
      </c>
      <c r="I1327" s="27"/>
      <c r="J1327" s="27"/>
      <c r="K1327" s="27"/>
      <c r="L1327" s="27" t="str">
        <f t="shared" si="2"/>
        <v>L</v>
      </c>
      <c r="M1327" s="27" t="str">
        <f>IFERROR(__xludf.DUMMYFUNCTION("GOOGLETRANSLATE(C1327,""EN"",""KN"")"),"ಲುಮಿನರಿ")</f>
        <v>ಲುಮಿನರಿ</v>
      </c>
      <c r="N1327" s="27">
        <f t="array" ref="N1327">_xlfn.XLOOKUP(B1327,'Sets Progress'!I:I,'Sets Progress'!I:I,"NOT YET")</f>
        <v>87</v>
      </c>
      <c r="O1327" s="27" t="str">
        <f t="array" ref="O1327">_xlfn.XLOOKUP(L:L,'Overall Progress'!L:L,'Overall Progress'!L:L,"NOT YET")</f>
        <v>NOT YET</v>
      </c>
      <c r="P1327" s="27"/>
      <c r="Q1327" s="27"/>
      <c r="R1327" s="27"/>
      <c r="S1327" s="27"/>
      <c r="T1327" s="27"/>
      <c r="U1327" s="27"/>
      <c r="V1327" s="27"/>
      <c r="W1327" s="27"/>
      <c r="X1327" s="27"/>
      <c r="Y1327" s="27"/>
      <c r="Z1327" s="27"/>
    </row>
    <row r="1328" hidden="1" customHeight="1" spans="1:26">
      <c r="A1328" s="26">
        <v>906</v>
      </c>
      <c r="B1328" s="26">
        <v>87</v>
      </c>
      <c r="C1328" s="26" t="s">
        <v>1243</v>
      </c>
      <c r="D1328" s="26" t="s">
        <v>2716</v>
      </c>
      <c r="E1328" s="26" t="s">
        <v>2889</v>
      </c>
      <c r="F1328" s="26" t="str">
        <f t="shared" si="0"/>
        <v>Negative Traits Latin Origin</v>
      </c>
      <c r="G1328" s="26">
        <f t="shared" si="3"/>
        <v>9</v>
      </c>
      <c r="H1328" s="26" t="s">
        <v>4196</v>
      </c>
      <c r="I1328" s="26"/>
      <c r="J1328" s="26"/>
      <c r="K1328" s="26"/>
      <c r="L1328" s="26" t="str">
        <f t="shared" si="2"/>
        <v>M</v>
      </c>
      <c r="M1328" s="26" t="str">
        <f>IFERROR(__xludf.DUMMYFUNCTION("GOOGLETRANSLATE(C1328,""EN"",""KN"")"),"ಕೂಲಿ")</f>
        <v>ಕೂಲಿ</v>
      </c>
      <c r="N1328" s="26">
        <f t="array" ref="N1328">_xlfn.XLOOKUP(B1328,'Sets Progress'!I:I,'Sets Progress'!I:I,"NOT YET")</f>
        <v>87</v>
      </c>
      <c r="O1328" s="26" t="str">
        <f t="array" ref="O1328">_xlfn.XLOOKUP(L:L,'Overall Progress'!L:L,'Overall Progress'!L:L,"NOT YET")</f>
        <v>NOT YET</v>
      </c>
      <c r="P1328" s="26"/>
      <c r="Q1328" s="26"/>
      <c r="R1328" s="26"/>
      <c r="S1328" s="26"/>
      <c r="T1328" s="26"/>
      <c r="U1328" s="26"/>
      <c r="V1328" s="26"/>
      <c r="W1328" s="26"/>
      <c r="X1328" s="26"/>
      <c r="Y1328" s="26"/>
      <c r="Z1328" s="26"/>
    </row>
    <row r="1329" hidden="1" customHeight="1" spans="1:26">
      <c r="A1329" s="27">
        <v>940</v>
      </c>
      <c r="B1329" s="27">
        <v>87</v>
      </c>
      <c r="C1329" s="27" t="s">
        <v>1276</v>
      </c>
      <c r="D1329" s="27" t="s">
        <v>1721</v>
      </c>
      <c r="E1329" s="27" t="s">
        <v>2889</v>
      </c>
      <c r="F1329" s="27" t="str">
        <f t="shared" si="0"/>
        <v>Temporal Latin Origin</v>
      </c>
      <c r="G1329" s="27">
        <f t="shared" si="3"/>
        <v>13</v>
      </c>
      <c r="H1329" s="27" t="s">
        <v>4197</v>
      </c>
      <c r="I1329" s="27"/>
      <c r="J1329" s="27"/>
      <c r="K1329" s="27"/>
      <c r="L1329" s="27" t="str">
        <f t="shared" si="2"/>
        <v>M</v>
      </c>
      <c r="M1329" s="27" t="str">
        <f>IFERROR(__xludf.DUMMYFUNCTION("GOOGLETRANSLATE(C1329,""EN"",""KN"")"),"ಮಿಸ್ಟಿಫಿಕೇಶನ್")</f>
        <v>ಮಿಸ್ಟಿಫಿಕೇಶನ್</v>
      </c>
      <c r="N1329" s="27">
        <f t="array" ref="N1329">_xlfn.XLOOKUP(B1329,'Sets Progress'!I:I,'Sets Progress'!I:I,"NOT YET")</f>
        <v>87</v>
      </c>
      <c r="O1329" s="27" t="str">
        <f t="array" ref="O1329">_xlfn.XLOOKUP(L:L,'Overall Progress'!L:L,'Overall Progress'!L:L,"NOT YET")</f>
        <v>NOT YET</v>
      </c>
      <c r="P1329" s="27"/>
      <c r="Q1329" s="27"/>
      <c r="R1329" s="27"/>
      <c r="S1329" s="27"/>
      <c r="T1329" s="27"/>
      <c r="U1329" s="27"/>
      <c r="V1329" s="27"/>
      <c r="W1329" s="27"/>
      <c r="X1329" s="27"/>
      <c r="Y1329" s="27"/>
      <c r="Z1329" s="27"/>
    </row>
    <row r="1330" hidden="1" customHeight="1" spans="1:26">
      <c r="A1330" s="26">
        <v>1252</v>
      </c>
      <c r="B1330" s="26">
        <v>87</v>
      </c>
      <c r="C1330" s="26" t="s">
        <v>1583</v>
      </c>
      <c r="D1330" s="26" t="s">
        <v>2716</v>
      </c>
      <c r="E1330" s="26" t="s">
        <v>2921</v>
      </c>
      <c r="F1330" s="26" t="str">
        <f t="shared" si="0"/>
        <v>Negative Traits Unknown Origin</v>
      </c>
      <c r="G1330" s="26">
        <f t="shared" si="3"/>
        <v>5</v>
      </c>
      <c r="H1330" s="26" t="s">
        <v>4198</v>
      </c>
      <c r="I1330" s="26"/>
      <c r="J1330" s="26"/>
      <c r="K1330" s="26"/>
      <c r="L1330" s="26" t="str">
        <f t="shared" si="2"/>
        <v>S</v>
      </c>
      <c r="M1330" s="26" t="str">
        <f>IFERROR(__xludf.DUMMYFUNCTION("GOOGLETRANSLATE(C1330,""EN"",""KN"")"),"ಕಡಿಮೆ")</f>
        <v>ಕಡಿಮೆ</v>
      </c>
      <c r="N1330" s="26">
        <f t="array" ref="N1330">_xlfn.XLOOKUP(B1330,'Sets Progress'!I:I,'Sets Progress'!I:I,"NOT YET")</f>
        <v>87</v>
      </c>
      <c r="O1330" s="26" t="str">
        <f t="array" ref="O1330">_xlfn.XLOOKUP(L:L,'Overall Progress'!L:L,'Overall Progress'!L:L,"NOT YET")</f>
        <v>NOT YET</v>
      </c>
      <c r="P1330" s="26"/>
      <c r="Q1330" s="26"/>
      <c r="R1330" s="26"/>
      <c r="S1330" s="26"/>
      <c r="T1330" s="26"/>
      <c r="U1330" s="26"/>
      <c r="V1330" s="26"/>
      <c r="W1330" s="26"/>
      <c r="X1330" s="26"/>
      <c r="Y1330" s="26"/>
      <c r="Z1330" s="26"/>
    </row>
    <row r="1331" hidden="1" customHeight="1" spans="1:26">
      <c r="A1331" s="27">
        <v>47</v>
      </c>
      <c r="B1331" s="27">
        <v>88</v>
      </c>
      <c r="C1331" s="27" t="s">
        <v>401</v>
      </c>
      <c r="D1331" s="27" t="s">
        <v>2717</v>
      </c>
      <c r="E1331" s="27" t="s">
        <v>2889</v>
      </c>
      <c r="F1331" s="27" t="str">
        <f t="shared" si="0"/>
        <v>Positive Traits Latin Origin</v>
      </c>
      <c r="G1331" s="27">
        <f t="shared" si="3"/>
        <v>9</v>
      </c>
      <c r="H1331" s="27" t="s">
        <v>4199</v>
      </c>
      <c r="I1331" s="27"/>
      <c r="J1331" s="27"/>
      <c r="K1331" s="27"/>
      <c r="L1331" s="27" t="str">
        <f t="shared" si="2"/>
        <v>A</v>
      </c>
      <c r="M1331" s="27" t="str">
        <f>IFERROR(__xludf.DUMMYFUNCTION("GOOGLETRANSLATE(C1331,""EN"",""KN"")"),"ಶ್ರೀಮಂತಿಕೆ")</f>
        <v>ಶ್ರೀಮಂತಿಕೆ</v>
      </c>
      <c r="N1331" s="27">
        <f t="array" ref="N1331">_xlfn.XLOOKUP(B1331,'Sets Progress'!I:I,'Sets Progress'!I:I,"NOT YET")</f>
        <v>88</v>
      </c>
      <c r="O1331" s="27" t="str">
        <f t="array" ref="O1331">_xlfn.XLOOKUP(L:L,'Overall Progress'!L:L,'Overall Progress'!L:L,"NOT YET")</f>
        <v>NOT YET</v>
      </c>
      <c r="P1331" s="27"/>
      <c r="Q1331" s="27"/>
      <c r="R1331" s="27"/>
      <c r="S1331" s="27"/>
      <c r="T1331" s="27"/>
      <c r="U1331" s="27"/>
      <c r="V1331" s="27"/>
      <c r="W1331" s="27"/>
      <c r="X1331" s="27"/>
      <c r="Y1331" s="27"/>
      <c r="Z1331" s="27"/>
    </row>
    <row r="1332" hidden="1" customHeight="1" spans="1:26">
      <c r="A1332" s="26">
        <v>136</v>
      </c>
      <c r="B1332" s="26">
        <v>88</v>
      </c>
      <c r="C1332" s="26" t="s">
        <v>485</v>
      </c>
      <c r="D1332" s="26" t="s">
        <v>2716</v>
      </c>
      <c r="E1332" s="26" t="s">
        <v>2889</v>
      </c>
      <c r="F1332" s="26" t="str">
        <f t="shared" si="0"/>
        <v>Negative Traits Latin Origin</v>
      </c>
      <c r="G1332" s="26">
        <f t="shared" si="3"/>
        <v>10</v>
      </c>
      <c r="H1332" s="26" t="s">
        <v>4200</v>
      </c>
      <c r="I1332" s="26"/>
      <c r="J1332" s="26"/>
      <c r="K1332" s="26"/>
      <c r="L1332" s="26" t="str">
        <f t="shared" si="2"/>
        <v>A</v>
      </c>
      <c r="M1332" s="26" t="str">
        <f>IFERROR(__xludf.DUMMYFUNCTION("GOOGLETRANSLATE(C1332,""EN"",""KN"")"),"ದುರಾಸೆಯ")</f>
        <v>ದುರಾಸೆಯ</v>
      </c>
      <c r="N1332" s="26">
        <f t="array" ref="N1332">_xlfn.XLOOKUP(B1332,'Sets Progress'!I:I,'Sets Progress'!I:I,"NOT YET")</f>
        <v>88</v>
      </c>
      <c r="O1332" s="26" t="str">
        <f t="array" ref="O1332">_xlfn.XLOOKUP(L:L,'Overall Progress'!L:L,'Overall Progress'!L:L,"NOT YET")</f>
        <v>NOT YET</v>
      </c>
      <c r="P1332" s="26"/>
      <c r="Q1332" s="26"/>
      <c r="R1332" s="26"/>
      <c r="S1332" s="26"/>
      <c r="T1332" s="26"/>
      <c r="U1332" s="26"/>
      <c r="V1332" s="26"/>
      <c r="W1332" s="26"/>
      <c r="X1332" s="26"/>
      <c r="Y1332" s="26"/>
      <c r="Z1332" s="26"/>
    </row>
    <row r="1333" hidden="1" customHeight="1" spans="1:26">
      <c r="A1333" s="27">
        <v>241</v>
      </c>
      <c r="B1333" s="27">
        <v>88</v>
      </c>
      <c r="C1333" s="27" t="s">
        <v>592</v>
      </c>
      <c r="D1333" s="27" t="s">
        <v>2892</v>
      </c>
      <c r="E1333" s="27" t="s">
        <v>2889</v>
      </c>
      <c r="F1333" s="27" t="str">
        <f t="shared" si="0"/>
        <v>Spatial Latin Origin</v>
      </c>
      <c r="G1333" s="27">
        <f t="shared" si="3"/>
        <v>8</v>
      </c>
      <c r="H1333" s="27" t="s">
        <v>4201</v>
      </c>
      <c r="I1333" s="27"/>
      <c r="J1333" s="27"/>
      <c r="K1333" s="27"/>
      <c r="L1333" s="27" t="str">
        <f t="shared" si="2"/>
        <v>C</v>
      </c>
      <c r="M1333" s="27" t="str">
        <f>IFERROR(__xludf.DUMMYFUNCTION("GOOGLETRANSLATE(C1333,""EN"",""KN"")"),"ಕ್ಲೆರಿಕಲ್")</f>
        <v>ಕ್ಲೆರಿಕಲ್</v>
      </c>
      <c r="N1333" s="27">
        <f t="array" ref="N1333">_xlfn.XLOOKUP(B1333,'Sets Progress'!I:I,'Sets Progress'!I:I,"NOT YET")</f>
        <v>88</v>
      </c>
      <c r="O1333" s="27" t="str">
        <f t="array" ref="O1333">_xlfn.XLOOKUP(L:L,'Overall Progress'!L:L,'Overall Progress'!L:L,"NOT YET")</f>
        <v>NOT YET</v>
      </c>
      <c r="P1333" s="27"/>
      <c r="Q1333" s="27"/>
      <c r="R1333" s="27"/>
      <c r="S1333" s="27"/>
      <c r="T1333" s="27"/>
      <c r="U1333" s="27"/>
      <c r="V1333" s="27"/>
      <c r="W1333" s="27"/>
      <c r="X1333" s="27"/>
      <c r="Y1333" s="27"/>
      <c r="Z1333" s="27"/>
    </row>
    <row r="1334" hidden="1" customHeight="1" spans="1:26">
      <c r="A1334" s="26">
        <v>260</v>
      </c>
      <c r="B1334" s="26">
        <v>88</v>
      </c>
      <c r="C1334" s="26" t="s">
        <v>613</v>
      </c>
      <c r="D1334" s="26" t="s">
        <v>1721</v>
      </c>
      <c r="E1334" s="26" t="s">
        <v>2889</v>
      </c>
      <c r="F1334" s="26" t="str">
        <f t="shared" si="0"/>
        <v>Temporal Latin Origin</v>
      </c>
      <c r="G1334" s="26">
        <f t="shared" si="3"/>
        <v>11</v>
      </c>
      <c r="H1334" s="26" t="s">
        <v>4202</v>
      </c>
      <c r="I1334" s="26"/>
      <c r="J1334" s="26"/>
      <c r="K1334" s="26"/>
      <c r="L1334" s="26" t="str">
        <f t="shared" si="2"/>
        <v>C</v>
      </c>
      <c r="M1334" s="26" t="str">
        <f>IFERROR(__xludf.DUMMYFUNCTION("GOOGLETRANSLATE(C1334,""EN"",""KN"")"),"ಸಾಮಾನ್ಯ")</f>
        <v>ಸಾಮಾನ್ಯ</v>
      </c>
      <c r="N1334" s="26">
        <f t="array" ref="N1334">_xlfn.XLOOKUP(B1334,'Sets Progress'!I:I,'Sets Progress'!I:I,"NOT YET")</f>
        <v>88</v>
      </c>
      <c r="O1334" s="26" t="str">
        <f t="array" ref="O1334">_xlfn.XLOOKUP(L:L,'Overall Progress'!L:L,'Overall Progress'!L:L,"NOT YET")</f>
        <v>NOT YET</v>
      </c>
      <c r="P1334" s="26"/>
      <c r="Q1334" s="26"/>
      <c r="R1334" s="26"/>
      <c r="S1334" s="26"/>
      <c r="T1334" s="26"/>
      <c r="U1334" s="26"/>
      <c r="V1334" s="26"/>
      <c r="W1334" s="26"/>
      <c r="X1334" s="26"/>
      <c r="Y1334" s="26"/>
      <c r="Z1334" s="26"/>
    </row>
    <row r="1335" hidden="1" customHeight="1" spans="1:26">
      <c r="A1335" s="27">
        <v>461</v>
      </c>
      <c r="B1335" s="27">
        <v>88</v>
      </c>
      <c r="C1335" s="27" t="s">
        <v>810</v>
      </c>
      <c r="D1335" s="27" t="s">
        <v>2716</v>
      </c>
      <c r="E1335" s="27" t="s">
        <v>2889</v>
      </c>
      <c r="F1335" s="27" t="str">
        <f t="shared" si="0"/>
        <v>Negative Traits Latin Origin</v>
      </c>
      <c r="G1335" s="27">
        <f t="shared" si="3"/>
        <v>6</v>
      </c>
      <c r="H1335" s="27" t="s">
        <v>4203</v>
      </c>
      <c r="I1335" s="27"/>
      <c r="J1335" s="27"/>
      <c r="K1335" s="27"/>
      <c r="L1335" s="27" t="str">
        <f t="shared" si="2"/>
        <v>D</v>
      </c>
      <c r="M1335" s="27" t="str">
        <f>IFERROR(__xludf.DUMMYFUNCTION("GOOGLETRANSLATE(C1335,""EN"",""KN"")"),"ಒತ್ತಾಯ")</f>
        <v>ಒತ್ತಾಯ</v>
      </c>
      <c r="N1335" s="27">
        <f t="array" ref="N1335">_xlfn.XLOOKUP(B1335,'Sets Progress'!I:I,'Sets Progress'!I:I,"NOT YET")</f>
        <v>88</v>
      </c>
      <c r="O1335" s="27" t="str">
        <f t="array" ref="O1335">_xlfn.XLOOKUP(L:L,'Overall Progress'!L:L,'Overall Progress'!L:L,"NOT YET")</f>
        <v>NOT YET</v>
      </c>
      <c r="P1335" s="27"/>
      <c r="Q1335" s="27"/>
      <c r="R1335" s="27"/>
      <c r="S1335" s="27"/>
      <c r="T1335" s="27"/>
      <c r="U1335" s="27"/>
      <c r="V1335" s="27"/>
      <c r="W1335" s="27"/>
      <c r="X1335" s="27"/>
      <c r="Y1335" s="27"/>
      <c r="Z1335" s="27"/>
    </row>
    <row r="1336" hidden="1" customHeight="1" spans="1:26">
      <c r="A1336" s="26">
        <v>490</v>
      </c>
      <c r="B1336" s="26">
        <v>88</v>
      </c>
      <c r="C1336" s="26" t="s">
        <v>839</v>
      </c>
      <c r="D1336" s="26" t="s">
        <v>1721</v>
      </c>
      <c r="E1336" s="26" t="s">
        <v>2889</v>
      </c>
      <c r="F1336" s="26" t="str">
        <f t="shared" si="0"/>
        <v>Temporal Latin Origin</v>
      </c>
      <c r="G1336" s="26">
        <f t="shared" si="3"/>
        <v>7</v>
      </c>
      <c r="H1336" s="26" t="s">
        <v>4204</v>
      </c>
      <c r="I1336" s="26"/>
      <c r="J1336" s="26"/>
      <c r="K1336" s="26"/>
      <c r="L1336" s="26" t="str">
        <f t="shared" si="2"/>
        <v>E</v>
      </c>
      <c r="M1336" s="26" t="str">
        <f>IFERROR(__xludf.DUMMYFUNCTION("GOOGLETRANSLATE(C1336,""EN"",""KN"")"),"ತಪ್ಪಿಸಿಕೊಳ್ಳುವ")</f>
        <v>ತಪ್ಪಿಸಿಕೊಳ್ಳುವ</v>
      </c>
      <c r="N1336" s="26">
        <f t="array" ref="N1336">_xlfn.XLOOKUP(B1336,'Sets Progress'!I:I,'Sets Progress'!I:I,"NOT YET")</f>
        <v>88</v>
      </c>
      <c r="O1336" s="26" t="str">
        <f t="array" ref="O1336">_xlfn.XLOOKUP(L:L,'Overall Progress'!L:L,'Overall Progress'!L:L,"NOT YET")</f>
        <v>NOT YET</v>
      </c>
      <c r="P1336" s="26"/>
      <c r="Q1336" s="26"/>
      <c r="R1336" s="26"/>
      <c r="S1336" s="26"/>
      <c r="T1336" s="26"/>
      <c r="U1336" s="26"/>
      <c r="V1336" s="26"/>
      <c r="W1336" s="26"/>
      <c r="X1336" s="26"/>
      <c r="Y1336" s="26"/>
      <c r="Z1336" s="26"/>
    </row>
    <row r="1337" hidden="1" customHeight="1" spans="1:26">
      <c r="A1337" s="27">
        <v>498</v>
      </c>
      <c r="B1337" s="27">
        <v>88</v>
      </c>
      <c r="C1337" s="27" t="s">
        <v>847</v>
      </c>
      <c r="D1337" s="27" t="s">
        <v>1721</v>
      </c>
      <c r="E1337" s="27" t="s">
        <v>2896</v>
      </c>
      <c r="F1337" s="27" t="str">
        <f t="shared" si="0"/>
        <v>Temporal Old French Origin</v>
      </c>
      <c r="G1337" s="27">
        <f t="shared" si="3"/>
        <v>8</v>
      </c>
      <c r="H1337" s="27" t="s">
        <v>4205</v>
      </c>
      <c r="I1337" s="27"/>
      <c r="J1337" s="27"/>
      <c r="K1337" s="27"/>
      <c r="L1337" s="27" t="str">
        <f t="shared" si="2"/>
        <v>E</v>
      </c>
      <c r="M1337" s="27" t="str">
        <f>IFERROR(__xludf.DUMMYFUNCTION("GOOGLETRANSLATE(C1337,""EN"",""KN"")"),"ಅತಿಕ್ರಮಣ ಮಾಡಿ")</f>
        <v>ಅತಿಕ್ರಮಣ ಮಾಡಿ</v>
      </c>
      <c r="N1337" s="27">
        <f t="array" ref="N1337">_xlfn.XLOOKUP(B1337,'Sets Progress'!I:I,'Sets Progress'!I:I,"NOT YET")</f>
        <v>88</v>
      </c>
      <c r="O1337" s="27" t="str">
        <f t="array" ref="O1337">_xlfn.XLOOKUP(L:L,'Overall Progress'!L:L,'Overall Progress'!L:L,"NOT YET")</f>
        <v>NOT YET</v>
      </c>
      <c r="P1337" s="27"/>
      <c r="Q1337" s="27"/>
      <c r="R1337" s="27"/>
      <c r="S1337" s="27"/>
      <c r="T1337" s="27"/>
      <c r="U1337" s="27"/>
      <c r="V1337" s="27"/>
      <c r="W1337" s="27"/>
      <c r="X1337" s="27"/>
      <c r="Y1337" s="27"/>
      <c r="Z1337" s="27"/>
    </row>
    <row r="1338" hidden="1" customHeight="1" spans="1:26">
      <c r="A1338" s="26">
        <v>577</v>
      </c>
      <c r="B1338" s="26">
        <v>88</v>
      </c>
      <c r="C1338" s="26" t="s">
        <v>922</v>
      </c>
      <c r="D1338" s="26" t="s">
        <v>2716</v>
      </c>
      <c r="E1338" s="26" t="s">
        <v>2889</v>
      </c>
      <c r="F1338" s="26" t="str">
        <f t="shared" si="0"/>
        <v>Negative Traits Latin Origin</v>
      </c>
      <c r="G1338" s="26">
        <f t="shared" si="3"/>
        <v>8</v>
      </c>
      <c r="H1338" s="26" t="s">
        <v>4206</v>
      </c>
      <c r="I1338" s="26"/>
      <c r="J1338" s="26"/>
      <c r="K1338" s="26"/>
      <c r="L1338" s="26" t="str">
        <f t="shared" si="2"/>
        <v>F</v>
      </c>
      <c r="M1338" s="26" t="str">
        <f>IFERROR(__xludf.DUMMYFUNCTION("GOOGLETRANSLATE(C1338,""EN"",""KN"")"),"ಕಪೋಲಕಲ್ಪಿತ")</f>
        <v>ಕಪೋಲಕಲ್ಪಿತ</v>
      </c>
      <c r="N1338" s="26">
        <f t="array" ref="N1338">_xlfn.XLOOKUP(B1338,'Sets Progress'!I:I,'Sets Progress'!I:I,"NOT YET")</f>
        <v>88</v>
      </c>
      <c r="O1338" s="26" t="str">
        <f t="array" ref="O1338">_xlfn.XLOOKUP(L:L,'Overall Progress'!L:L,'Overall Progress'!L:L,"NOT YET")</f>
        <v>NOT YET</v>
      </c>
      <c r="P1338" s="26"/>
      <c r="Q1338" s="26"/>
      <c r="R1338" s="26"/>
      <c r="S1338" s="26"/>
      <c r="T1338" s="26"/>
      <c r="U1338" s="26"/>
      <c r="V1338" s="26"/>
      <c r="W1338" s="26"/>
      <c r="X1338" s="26"/>
      <c r="Y1338" s="26"/>
      <c r="Z1338" s="26"/>
    </row>
    <row r="1339" hidden="1" customHeight="1" spans="1:26">
      <c r="A1339" s="27">
        <v>730</v>
      </c>
      <c r="B1339" s="27">
        <v>88</v>
      </c>
      <c r="C1339" s="27" t="s">
        <v>1071</v>
      </c>
      <c r="D1339" s="27" t="s">
        <v>1721</v>
      </c>
      <c r="E1339" s="27" t="s">
        <v>2889</v>
      </c>
      <c r="F1339" s="27" t="str">
        <f t="shared" si="0"/>
        <v>Temporal Latin Origin</v>
      </c>
      <c r="G1339" s="27">
        <f t="shared" si="3"/>
        <v>10</v>
      </c>
      <c r="H1339" s="27" t="s">
        <v>4207</v>
      </c>
      <c r="I1339" s="27"/>
      <c r="J1339" s="27"/>
      <c r="K1339" s="27"/>
      <c r="L1339" s="27" t="str">
        <f t="shared" si="2"/>
        <v>I</v>
      </c>
      <c r="M1339" s="27" t="str">
        <f>IFERROR(__xludf.DUMMYFUNCTION("GOOGLETRANSLATE(C1339,""EN"",""KN"")"),"ನಿಷ್ಕಳಂಕ")</f>
        <v>ನಿಷ್ಕಳಂಕ</v>
      </c>
      <c r="N1339" s="27">
        <f t="array" ref="N1339">_xlfn.XLOOKUP(B1339,'Sets Progress'!I:I,'Sets Progress'!I:I,"NOT YET")</f>
        <v>88</v>
      </c>
      <c r="O1339" s="27" t="str">
        <f t="array" ref="O1339">_xlfn.XLOOKUP(L:L,'Overall Progress'!L:L,'Overall Progress'!L:L,"NOT YET")</f>
        <v>NOT YET</v>
      </c>
      <c r="P1339" s="27"/>
      <c r="Q1339" s="27"/>
      <c r="R1339" s="27"/>
      <c r="S1339" s="27"/>
      <c r="T1339" s="27"/>
      <c r="U1339" s="27"/>
      <c r="V1339" s="27"/>
      <c r="W1339" s="27"/>
      <c r="X1339" s="27"/>
      <c r="Y1339" s="27"/>
      <c r="Z1339" s="27"/>
    </row>
    <row r="1340" hidden="1" customHeight="1" spans="1:26">
      <c r="A1340" s="26">
        <v>752</v>
      </c>
      <c r="B1340" s="26">
        <v>88</v>
      </c>
      <c r="C1340" s="26" t="s">
        <v>1093</v>
      </c>
      <c r="D1340" s="26" t="s">
        <v>1721</v>
      </c>
      <c r="E1340" s="26" t="s">
        <v>2889</v>
      </c>
      <c r="F1340" s="26" t="str">
        <f t="shared" si="0"/>
        <v>Temporal Latin Origin</v>
      </c>
      <c r="G1340" s="26">
        <f t="shared" si="3"/>
        <v>16</v>
      </c>
      <c r="H1340" s="26" t="s">
        <v>4208</v>
      </c>
      <c r="I1340" s="26"/>
      <c r="J1340" s="26"/>
      <c r="K1340" s="26"/>
      <c r="L1340" s="26" t="str">
        <f t="shared" si="2"/>
        <v>I</v>
      </c>
      <c r="M1340" s="26" t="str">
        <f>IFERROR(__xludf.DUMMYFUNCTION("GOOGLETRANSLATE(C1340,""EN"",""KN"")"),"ನಿರ್ವಿವಾದ")</f>
        <v>ನಿರ್ವಿವಾದ</v>
      </c>
      <c r="N1340" s="26">
        <f t="array" ref="N1340">_xlfn.XLOOKUP(B1340,'Sets Progress'!I:I,'Sets Progress'!I:I,"NOT YET")</f>
        <v>88</v>
      </c>
      <c r="O1340" s="26" t="str">
        <f t="array" ref="O1340">_xlfn.XLOOKUP(L:L,'Overall Progress'!L:L,'Overall Progress'!L:L,"NOT YET")</f>
        <v>NOT YET</v>
      </c>
      <c r="P1340" s="26"/>
      <c r="Q1340" s="26"/>
      <c r="R1340" s="26"/>
      <c r="S1340" s="26"/>
      <c r="T1340" s="26"/>
      <c r="U1340" s="26"/>
      <c r="V1340" s="26"/>
      <c r="W1340" s="26"/>
      <c r="X1340" s="26"/>
      <c r="Y1340" s="26"/>
      <c r="Z1340" s="26"/>
    </row>
    <row r="1341" hidden="1" customHeight="1" spans="1:26">
      <c r="A1341" s="27">
        <v>793</v>
      </c>
      <c r="B1341" s="27">
        <v>88</v>
      </c>
      <c r="C1341" s="27" t="s">
        <v>1133</v>
      </c>
      <c r="D1341" s="27" t="s">
        <v>2716</v>
      </c>
      <c r="E1341" s="27" t="s">
        <v>2889</v>
      </c>
      <c r="F1341" s="27" t="str">
        <f t="shared" si="0"/>
        <v>Negative Traits Latin Origin</v>
      </c>
      <c r="G1341" s="27">
        <f t="shared" si="3"/>
        <v>8</v>
      </c>
      <c r="H1341" s="27" t="s">
        <v>4209</v>
      </c>
      <c r="I1341" s="27"/>
      <c r="J1341" s="27"/>
      <c r="K1341" s="27"/>
      <c r="L1341" s="27" t="str">
        <f t="shared" si="2"/>
        <v>I</v>
      </c>
      <c r="M1341" s="27" t="str">
        <f>IFERROR(__xludf.DUMMYFUNCTION("GOOGLETRANSLATE(C1341,""EN"",""KN"")"),"ಅಹಂಕಾರಿ")</f>
        <v>ಅಹಂಕಾರಿ</v>
      </c>
      <c r="N1341" s="27">
        <f t="array" ref="N1341">_xlfn.XLOOKUP(B1341,'Sets Progress'!I:I,'Sets Progress'!I:I,"NOT YET")</f>
        <v>88</v>
      </c>
      <c r="O1341" s="27" t="str">
        <f t="array" ref="O1341">_xlfn.XLOOKUP(L:L,'Overall Progress'!L:L,'Overall Progress'!L:L,"NOT YET")</f>
        <v>NOT YET</v>
      </c>
      <c r="P1341" s="27"/>
      <c r="Q1341" s="27"/>
      <c r="R1341" s="27"/>
      <c r="S1341" s="27"/>
      <c r="T1341" s="27"/>
      <c r="U1341" s="27"/>
      <c r="V1341" s="27"/>
      <c r="W1341" s="27"/>
      <c r="X1341" s="27"/>
      <c r="Y1341" s="27"/>
      <c r="Z1341" s="27"/>
    </row>
    <row r="1342" hidden="1" customHeight="1" spans="1:26">
      <c r="A1342" s="26">
        <v>821</v>
      </c>
      <c r="B1342" s="26">
        <v>88</v>
      </c>
      <c r="C1342" s="26" t="s">
        <v>1161</v>
      </c>
      <c r="D1342" s="26" t="s">
        <v>2716</v>
      </c>
      <c r="E1342" s="26" t="s">
        <v>2889</v>
      </c>
      <c r="F1342" s="26" t="str">
        <f t="shared" si="0"/>
        <v>Negative Traits Latin Origin</v>
      </c>
      <c r="G1342" s="26">
        <f t="shared" si="3"/>
        <v>9</v>
      </c>
      <c r="H1342" s="26" t="s">
        <v>4210</v>
      </c>
      <c r="I1342" s="26"/>
      <c r="J1342" s="26"/>
      <c r="K1342" s="26"/>
      <c r="L1342" s="26" t="str">
        <f t="shared" si="2"/>
        <v>I</v>
      </c>
      <c r="M1342" s="26" t="str">
        <f>IFERROR(__xludf.DUMMYFUNCTION("GOOGLETRANSLATE(C1342,""EN"",""KN"")"),"ಆಕ್ರಮಣಕಾರಿ")</f>
        <v>ಆಕ್ರಮಣಕಾರಿ</v>
      </c>
      <c r="N1342" s="26">
        <f t="array" ref="N1342">_xlfn.XLOOKUP(B1342,'Sets Progress'!I:I,'Sets Progress'!I:I,"NOT YET")</f>
        <v>88</v>
      </c>
      <c r="O1342" s="26" t="str">
        <f t="array" ref="O1342">_xlfn.XLOOKUP(L:L,'Overall Progress'!L:L,'Overall Progress'!L:L,"NOT YET")</f>
        <v>NOT YET</v>
      </c>
      <c r="P1342" s="26"/>
      <c r="Q1342" s="26"/>
      <c r="R1342" s="26"/>
      <c r="S1342" s="26"/>
      <c r="T1342" s="26"/>
      <c r="U1342" s="26"/>
      <c r="V1342" s="26"/>
      <c r="W1342" s="26"/>
      <c r="X1342" s="26"/>
      <c r="Y1342" s="26"/>
      <c r="Z1342" s="26"/>
    </row>
    <row r="1343" hidden="1" customHeight="1" spans="1:26">
      <c r="A1343" s="27">
        <v>832</v>
      </c>
      <c r="B1343" s="27">
        <v>88</v>
      </c>
      <c r="C1343" s="27" t="s">
        <v>1172</v>
      </c>
      <c r="D1343" s="27" t="s">
        <v>1721</v>
      </c>
      <c r="E1343" s="27" t="s">
        <v>2889</v>
      </c>
      <c r="F1343" s="27" t="str">
        <f t="shared" si="0"/>
        <v>Temporal Latin Origin</v>
      </c>
      <c r="G1343" s="27">
        <f t="shared" si="3"/>
        <v>11</v>
      </c>
      <c r="H1343" s="27" t="s">
        <v>4211</v>
      </c>
      <c r="I1343" s="27"/>
      <c r="J1343" s="27"/>
      <c r="K1343" s="27"/>
      <c r="L1343" s="27" t="str">
        <f t="shared" si="2"/>
        <v>I</v>
      </c>
      <c r="M1343" s="27" t="str">
        <f>IFERROR(__xludf.DUMMYFUNCTION("GOOGLETRANSLATE(C1343,""EN"",""KN"")"),"ನಿರಾಕರಿಸಲಾಗದ")</f>
        <v>ನಿರಾಕರಿಸಲಾಗದ</v>
      </c>
      <c r="N1343" s="27">
        <f t="array" ref="N1343">_xlfn.XLOOKUP(B1343,'Sets Progress'!I:I,'Sets Progress'!I:I,"NOT YET")</f>
        <v>88</v>
      </c>
      <c r="O1343" s="27" t="str">
        <f t="array" ref="O1343">_xlfn.XLOOKUP(L:L,'Overall Progress'!L:L,'Overall Progress'!L:L,"NOT YET")</f>
        <v>NOT YET</v>
      </c>
      <c r="P1343" s="27"/>
      <c r="Q1343" s="27"/>
      <c r="R1343" s="27"/>
      <c r="S1343" s="27"/>
      <c r="T1343" s="27"/>
      <c r="U1343" s="27"/>
      <c r="V1343" s="27"/>
      <c r="W1343" s="27"/>
      <c r="X1343" s="27"/>
      <c r="Y1343" s="27"/>
      <c r="Z1343" s="27"/>
    </row>
    <row r="1344" hidden="1" customHeight="1" spans="1:26">
      <c r="A1344" s="26">
        <v>878</v>
      </c>
      <c r="B1344" s="26">
        <v>88</v>
      </c>
      <c r="C1344" s="26" t="s">
        <v>1216</v>
      </c>
      <c r="D1344" s="26" t="s">
        <v>2716</v>
      </c>
      <c r="E1344" s="26" t="s">
        <v>2911</v>
      </c>
      <c r="F1344" s="26" t="str">
        <f t="shared" si="0"/>
        <v>Negative Traits French Origin</v>
      </c>
      <c r="G1344" s="26">
        <f t="shared" si="3"/>
        <v>7</v>
      </c>
      <c r="H1344" s="26" t="s">
        <v>4212</v>
      </c>
      <c r="I1344" s="26"/>
      <c r="J1344" s="26"/>
      <c r="K1344" s="26"/>
      <c r="L1344" s="26" t="str">
        <f t="shared" si="2"/>
        <v>M</v>
      </c>
      <c r="M1344" s="26" t="str">
        <f>IFERROR(__xludf.DUMMYFUNCTION("GOOGLETRANSLATE(C1344,""EN"",""KN"")"),"ಮ್ಯಾಕಬ್ರೆ")</f>
        <v>ಮ್ಯಾಕಬ್ರೆ</v>
      </c>
      <c r="N1344" s="26">
        <f t="array" ref="N1344">_xlfn.XLOOKUP(B1344,'Sets Progress'!I:I,'Sets Progress'!I:I,"NOT YET")</f>
        <v>88</v>
      </c>
      <c r="O1344" s="26" t="str">
        <f t="array" ref="O1344">_xlfn.XLOOKUP(L:L,'Overall Progress'!L:L,'Overall Progress'!L:L,"NOT YET")</f>
        <v>NOT YET</v>
      </c>
      <c r="P1344" s="26"/>
      <c r="Q1344" s="26"/>
      <c r="R1344" s="26"/>
      <c r="S1344" s="26"/>
      <c r="T1344" s="26"/>
      <c r="U1344" s="26"/>
      <c r="V1344" s="26"/>
      <c r="W1344" s="26"/>
      <c r="X1344" s="26"/>
      <c r="Y1344" s="26"/>
      <c r="Z1344" s="26"/>
    </row>
    <row r="1345" hidden="1" customHeight="1" spans="1:26">
      <c r="A1345" s="27">
        <v>999</v>
      </c>
      <c r="B1345" s="27">
        <v>88</v>
      </c>
      <c r="C1345" s="27" t="s">
        <v>1334</v>
      </c>
      <c r="D1345" s="27" t="s">
        <v>1721</v>
      </c>
      <c r="E1345" s="27" t="s">
        <v>2908</v>
      </c>
      <c r="F1345" s="27" t="str">
        <f t="shared" si="0"/>
        <v>Temporal Old English Origin</v>
      </c>
      <c r="G1345" s="27">
        <f t="shared" si="3"/>
        <v>8</v>
      </c>
      <c r="H1345" s="27" t="s">
        <v>4213</v>
      </c>
      <c r="I1345" s="27"/>
      <c r="J1345" s="27"/>
      <c r="K1345" s="27"/>
      <c r="L1345" s="27" t="str">
        <f t="shared" si="2"/>
        <v>O</v>
      </c>
      <c r="M1345" s="27" t="str">
        <f>IFERROR(__xludf.DUMMYFUNCTION("GOOGLETRANSLATE(C1345,""EN"",""KN"")"),"ಔಟ್ಸ್ಟ್ರಿಪ್")</f>
        <v>ಔಟ್ಸ್ಟ್ರಿಪ್</v>
      </c>
      <c r="N1345" s="27">
        <f t="array" ref="N1345">_xlfn.XLOOKUP(B1345,'Sets Progress'!I:I,'Sets Progress'!I:I,"NOT YET")</f>
        <v>88</v>
      </c>
      <c r="O1345" s="27" t="str">
        <f t="array" ref="O1345">_xlfn.XLOOKUP(L:L,'Overall Progress'!L:L,'Overall Progress'!L:L,"NOT YET")</f>
        <v>NOT YET</v>
      </c>
      <c r="P1345" s="27"/>
      <c r="Q1345" s="27"/>
      <c r="R1345" s="27"/>
      <c r="S1345" s="27"/>
      <c r="T1345" s="27"/>
      <c r="U1345" s="27"/>
      <c r="V1345" s="27"/>
      <c r="W1345" s="27"/>
      <c r="X1345" s="27"/>
      <c r="Y1345" s="27"/>
      <c r="Z1345" s="27"/>
    </row>
    <row r="1346" hidden="1" customHeight="1" spans="1:26">
      <c r="A1346" s="26">
        <v>1186</v>
      </c>
      <c r="B1346" s="26">
        <v>88</v>
      </c>
      <c r="C1346" s="26" t="s">
        <v>1517</v>
      </c>
      <c r="D1346" s="26" t="s">
        <v>2717</v>
      </c>
      <c r="E1346" s="26" t="s">
        <v>2889</v>
      </c>
      <c r="F1346" s="26" t="str">
        <f t="shared" si="0"/>
        <v>Positive Traits Latin Origin</v>
      </c>
      <c r="G1346" s="26">
        <f t="shared" si="3"/>
        <v>6</v>
      </c>
      <c r="H1346" s="26" t="s">
        <v>4214</v>
      </c>
      <c r="I1346" s="26"/>
      <c r="J1346" s="26"/>
      <c r="K1346" s="26"/>
      <c r="L1346" s="26" t="str">
        <f t="shared" si="2"/>
        <v>R</v>
      </c>
      <c r="M1346" s="26" t="str">
        <f>IFERROR(__xludf.DUMMYFUNCTION("GOOGLETRANSLATE(C1346,""EN"",""KN"")"),"ಪರಿಷ್ಕರಿಸಿ")</f>
        <v>ಪರಿಷ್ಕರಿಸಿ</v>
      </c>
      <c r="N1346" s="26">
        <f t="array" ref="N1346">_xlfn.XLOOKUP(B1346,'Sets Progress'!I:I,'Sets Progress'!I:I,"NOT YET")</f>
        <v>88</v>
      </c>
      <c r="O1346" s="26" t="str">
        <f t="array" ref="O1346">_xlfn.XLOOKUP(L:L,'Overall Progress'!L:L,'Overall Progress'!L:L,"NOT YET")</f>
        <v>NOT YET</v>
      </c>
      <c r="P1346" s="26"/>
      <c r="Q1346" s="26"/>
      <c r="R1346" s="26"/>
      <c r="S1346" s="26"/>
      <c r="T1346" s="26"/>
      <c r="U1346" s="26"/>
      <c r="V1346" s="26"/>
      <c r="W1346" s="26"/>
      <c r="X1346" s="26"/>
      <c r="Y1346" s="26"/>
      <c r="Z1346" s="26"/>
    </row>
    <row r="1347" hidden="1" customHeight="1" spans="1:26">
      <c r="A1347" s="27">
        <v>1207</v>
      </c>
      <c r="B1347" s="27">
        <v>88</v>
      </c>
      <c r="C1347" s="27" t="s">
        <v>1538</v>
      </c>
      <c r="D1347" s="27" t="s">
        <v>1721</v>
      </c>
      <c r="E1347" s="27" t="s">
        <v>2889</v>
      </c>
      <c r="F1347" s="27" t="str">
        <f t="shared" si="0"/>
        <v>Temporal Latin Origin</v>
      </c>
      <c r="G1347" s="27">
        <f t="shared" si="3"/>
        <v>12</v>
      </c>
      <c r="H1347" s="27" t="s">
        <v>4215</v>
      </c>
      <c r="I1347" s="27"/>
      <c r="J1347" s="27"/>
      <c r="K1347" s="27"/>
      <c r="L1347" s="27" t="str">
        <f t="shared" si="2"/>
        <v>R</v>
      </c>
      <c r="M1347" s="27" t="str">
        <f>IFERROR(__xludf.DUMMYFUNCTION("GOOGLETRANSLATE(C1347,""EN"",""KN"")"),"ಪರಿಣಾಮ")</f>
        <v>ಪರಿಣಾಮ</v>
      </c>
      <c r="N1347" s="27">
        <f t="array" ref="N1347">_xlfn.XLOOKUP(B1347,'Sets Progress'!I:I,'Sets Progress'!I:I,"NOT YET")</f>
        <v>88</v>
      </c>
      <c r="O1347" s="27" t="str">
        <f t="array" ref="O1347">_xlfn.XLOOKUP(L:L,'Overall Progress'!L:L,'Overall Progress'!L:L,"NOT YET")</f>
        <v>NOT YET</v>
      </c>
      <c r="P1347" s="27"/>
      <c r="Q1347" s="27"/>
      <c r="R1347" s="27"/>
      <c r="S1347" s="27"/>
      <c r="T1347" s="27"/>
      <c r="U1347" s="27"/>
      <c r="V1347" s="27"/>
      <c r="W1347" s="27"/>
      <c r="X1347" s="27"/>
      <c r="Y1347" s="27"/>
      <c r="Z1347" s="27"/>
    </row>
    <row r="1348" hidden="1" customHeight="1" spans="1:26">
      <c r="A1348" s="26">
        <v>1245</v>
      </c>
      <c r="B1348" s="26">
        <v>88</v>
      </c>
      <c r="C1348" s="26" t="s">
        <v>1576</v>
      </c>
      <c r="D1348" s="26" t="s">
        <v>2717</v>
      </c>
      <c r="E1348" s="26" t="s">
        <v>2889</v>
      </c>
      <c r="F1348" s="26" t="str">
        <f t="shared" si="0"/>
        <v>Positive Traits Latin Origin</v>
      </c>
      <c r="G1348" s="26">
        <f t="shared" si="3"/>
        <v>10</v>
      </c>
      <c r="H1348" s="26" t="s">
        <v>4216</v>
      </c>
      <c r="I1348" s="26"/>
      <c r="J1348" s="26"/>
      <c r="K1348" s="26"/>
      <c r="L1348" s="26" t="str">
        <f t="shared" si="2"/>
        <v>S</v>
      </c>
      <c r="M1348" s="26" t="str">
        <f>IFERROR(__xludf.DUMMYFUNCTION("GOOGLETRANSLATE(C1348,""EN"",""KN"")"),"ಲಾಭದಾಯಕ")</f>
        <v>ಲಾಭದಾಯಕ</v>
      </c>
      <c r="N1348" s="26">
        <f t="array" ref="N1348">_xlfn.XLOOKUP(B1348,'Sets Progress'!I:I,'Sets Progress'!I:I,"NOT YET")</f>
        <v>88</v>
      </c>
      <c r="O1348" s="26" t="str">
        <f t="array" ref="O1348">_xlfn.XLOOKUP(L:L,'Overall Progress'!L:L,'Overall Progress'!L:L,"NOT YET")</f>
        <v>NOT YET</v>
      </c>
      <c r="P1348" s="26"/>
      <c r="Q1348" s="26"/>
      <c r="R1348" s="26"/>
      <c r="S1348" s="26"/>
      <c r="T1348" s="26"/>
      <c r="U1348" s="26"/>
      <c r="V1348" s="26"/>
      <c r="W1348" s="26"/>
      <c r="X1348" s="26"/>
      <c r="Y1348" s="26"/>
      <c r="Z1348" s="26"/>
    </row>
    <row r="1349" hidden="1" customHeight="1" spans="1:26">
      <c r="A1349" s="27">
        <v>1446</v>
      </c>
      <c r="B1349" s="27">
        <v>88</v>
      </c>
      <c r="C1349" s="27" t="s">
        <v>1774</v>
      </c>
      <c r="D1349" s="27" t="s">
        <v>2716</v>
      </c>
      <c r="E1349" s="27" t="s">
        <v>2908</v>
      </c>
      <c r="F1349" s="27" t="str">
        <f t="shared" si="0"/>
        <v>Negative Traits Old English Origin</v>
      </c>
      <c r="G1349" s="27">
        <f t="shared" si="3"/>
        <v>12</v>
      </c>
      <c r="H1349" s="27" t="s">
        <v>4217</v>
      </c>
      <c r="I1349" s="27"/>
      <c r="J1349" s="27"/>
      <c r="K1349" s="27"/>
      <c r="L1349" s="27" t="str">
        <f t="shared" si="2"/>
        <v>U</v>
      </c>
      <c r="M1349" s="27" t="str">
        <f>IFERROR(__xludf.DUMMYFUNCTION("GOOGLETRANSLATE(C1349,""EN"",""KN"")"),"ಕೃಷಿ ಮಾಡದ")</f>
        <v>ಕೃಷಿ ಮಾಡದ</v>
      </c>
      <c r="N1349" s="27">
        <f t="array" ref="N1349">_xlfn.XLOOKUP(B1349,'Sets Progress'!I:I,'Sets Progress'!I:I,"NOT YET")</f>
        <v>88</v>
      </c>
      <c r="O1349" s="27" t="str">
        <f t="array" ref="O1349">_xlfn.XLOOKUP(L:L,'Overall Progress'!L:L,'Overall Progress'!L:L,"NOT YET")</f>
        <v>NOT YET</v>
      </c>
      <c r="P1349" s="27"/>
      <c r="Q1349" s="27"/>
      <c r="R1349" s="27"/>
      <c r="S1349" s="27"/>
      <c r="T1349" s="27"/>
      <c r="U1349" s="27"/>
      <c r="V1349" s="27"/>
      <c r="W1349" s="27"/>
      <c r="X1349" s="27"/>
      <c r="Y1349" s="27"/>
      <c r="Z1349" s="27"/>
    </row>
    <row r="1350" hidden="1" customHeight="1" spans="1:26">
      <c r="A1350" s="26">
        <v>1473</v>
      </c>
      <c r="B1350" s="26">
        <v>88</v>
      </c>
      <c r="C1350" s="26" t="s">
        <v>1801</v>
      </c>
      <c r="D1350" s="26" t="s">
        <v>1721</v>
      </c>
      <c r="E1350" s="26" t="s">
        <v>2896</v>
      </c>
      <c r="F1350" s="26" t="str">
        <f t="shared" si="0"/>
        <v>Temporal Old French Origin</v>
      </c>
      <c r="G1350" s="26">
        <f t="shared" si="3"/>
        <v>13</v>
      </c>
      <c r="H1350" s="26" t="s">
        <v>4218</v>
      </c>
      <c r="I1350" s="26"/>
      <c r="J1350" s="26"/>
      <c r="K1350" s="26"/>
      <c r="L1350" s="26" t="str">
        <f t="shared" si="2"/>
        <v>U</v>
      </c>
      <c r="M1350" s="26" t="str">
        <f>IFERROR(__xludf.DUMMYFUNCTION("GOOGLETRANSLATE(C1350,""EN"",""KN"")"),"ಆಡಂಬರವಿಲ್ಲದ")</f>
        <v>ಆಡಂಬರವಿಲ್ಲದ</v>
      </c>
      <c r="N1350" s="26">
        <f t="array" ref="N1350">_xlfn.XLOOKUP(B1350,'Sets Progress'!I:I,'Sets Progress'!I:I,"NOT YET")</f>
        <v>88</v>
      </c>
      <c r="O1350" s="26" t="str">
        <f t="array" ref="O1350">_xlfn.XLOOKUP(L:L,'Overall Progress'!L:L,'Overall Progress'!L:L,"NOT YET")</f>
        <v>NOT YET</v>
      </c>
      <c r="P1350" s="26"/>
      <c r="Q1350" s="26"/>
      <c r="R1350" s="26"/>
      <c r="S1350" s="26"/>
      <c r="T1350" s="26"/>
      <c r="U1350" s="26"/>
      <c r="V1350" s="26"/>
      <c r="W1350" s="26"/>
      <c r="X1350" s="26"/>
      <c r="Y1350" s="26"/>
      <c r="Z1350" s="26"/>
    </row>
    <row r="1351" hidden="1" customHeight="1" spans="1:26">
      <c r="A1351" s="27">
        <v>1525</v>
      </c>
      <c r="B1351" s="27">
        <v>88</v>
      </c>
      <c r="C1351" s="27" t="s">
        <v>1853</v>
      </c>
      <c r="D1351" s="27" t="s">
        <v>1721</v>
      </c>
      <c r="E1351" s="27" t="s">
        <v>2908</v>
      </c>
      <c r="F1351" s="27" t="str">
        <f t="shared" si="0"/>
        <v>Temporal Old English Origin</v>
      </c>
      <c r="G1351" s="27">
        <f t="shared" si="3"/>
        <v>7</v>
      </c>
      <c r="H1351" s="27" t="s">
        <v>4219</v>
      </c>
      <c r="I1351" s="27"/>
      <c r="J1351" s="27"/>
      <c r="K1351" s="27"/>
      <c r="L1351" s="27" t="str">
        <f t="shared" si="2"/>
        <v>W</v>
      </c>
      <c r="M1351" s="27" t="str">
        <f>IFERROR(__xludf.DUMMYFUNCTION("GOOGLETRANSLATE(C1351,""EN"",""KN"")"),"ಬಯಸುತ್ತಿದ್ದಾರೆ")</f>
        <v>ಬಯಸುತ್ತಿದ್ದಾರೆ</v>
      </c>
      <c r="N1351" s="27">
        <f t="array" ref="N1351">_xlfn.XLOOKUP(B1351,'Sets Progress'!I:I,'Sets Progress'!I:I,"NOT YET")</f>
        <v>88</v>
      </c>
      <c r="O1351" s="27" t="str">
        <f t="array" ref="O1351">_xlfn.XLOOKUP(L:L,'Overall Progress'!L:L,'Overall Progress'!L:L,"NOT YET")</f>
        <v>NOT YET</v>
      </c>
      <c r="P1351" s="27"/>
      <c r="Q1351" s="27"/>
      <c r="R1351" s="27"/>
      <c r="S1351" s="27"/>
      <c r="T1351" s="27"/>
      <c r="U1351" s="27"/>
      <c r="V1351" s="27"/>
      <c r="W1351" s="27"/>
      <c r="X1351" s="27"/>
      <c r="Y1351" s="27"/>
      <c r="Z1351" s="27"/>
    </row>
    <row r="1352" hidden="1" customHeight="1" spans="1:26">
      <c r="A1352" s="26">
        <v>63</v>
      </c>
      <c r="B1352" s="26">
        <v>89</v>
      </c>
      <c r="C1352" s="26" t="s">
        <v>416</v>
      </c>
      <c r="D1352" s="26" t="s">
        <v>2928</v>
      </c>
      <c r="E1352" s="26" t="s">
        <v>2889</v>
      </c>
      <c r="F1352" s="26" t="str">
        <f t="shared" si="0"/>
        <v>Philosophical Latin Origin</v>
      </c>
      <c r="G1352" s="26">
        <f t="shared" si="3"/>
        <v>9</v>
      </c>
      <c r="H1352" s="26" t="s">
        <v>4220</v>
      </c>
      <c r="I1352" s="26"/>
      <c r="J1352" s="26"/>
      <c r="K1352" s="26"/>
      <c r="L1352" s="26" t="str">
        <f t="shared" si="2"/>
        <v>A</v>
      </c>
      <c r="M1352" s="26" t="str">
        <f>IFERROR(__xludf.DUMMYFUNCTION("GOOGLETRANSLATE(C1352,""EN"",""KN"")"),"ಅಸ್ಪಷ್ಟತೆ")</f>
        <v>ಅಸ್ಪಷ್ಟತೆ</v>
      </c>
      <c r="N1352" s="26" t="str">
        <f t="array" ref="N1352">_xlfn.XLOOKUP(B1352,'Sets Progress'!I:I,'Sets Progress'!I:I,"NOT YET")</f>
        <v>NOT YET</v>
      </c>
      <c r="O1352" s="26" t="str">
        <f t="array" ref="O1352">_xlfn.XLOOKUP(L:L,'Overall Progress'!L:L,'Overall Progress'!L:L,"NOT YET")</f>
        <v>NOT YET</v>
      </c>
      <c r="P1352" s="26"/>
      <c r="Q1352" s="26"/>
      <c r="R1352" s="26"/>
      <c r="S1352" s="26"/>
      <c r="T1352" s="26"/>
      <c r="U1352" s="26"/>
      <c r="V1352" s="26"/>
      <c r="W1352" s="26"/>
      <c r="X1352" s="26"/>
      <c r="Y1352" s="26"/>
      <c r="Z1352" s="26"/>
    </row>
    <row r="1353" hidden="1" customHeight="1" spans="1:26">
      <c r="A1353" s="27">
        <v>85</v>
      </c>
      <c r="B1353" s="27">
        <v>89</v>
      </c>
      <c r="C1353" s="27" t="s">
        <v>436</v>
      </c>
      <c r="D1353" s="27" t="s">
        <v>1721</v>
      </c>
      <c r="E1353" s="27" t="s">
        <v>2889</v>
      </c>
      <c r="F1353" s="27" t="str">
        <f t="shared" si="0"/>
        <v>Temporal Latin Origin</v>
      </c>
      <c r="G1353" s="27">
        <f t="shared" si="3"/>
        <v>9</v>
      </c>
      <c r="H1353" s="27" t="s">
        <v>4221</v>
      </c>
      <c r="I1353" s="27"/>
      <c r="J1353" s="27"/>
      <c r="K1353" s="27"/>
      <c r="L1353" s="27" t="str">
        <f t="shared" si="2"/>
        <v>A</v>
      </c>
      <c r="M1353" s="27" t="str">
        <f>IFERROR(__xludf.DUMMYFUNCTION("GOOGLETRANSLATE(C1353,""EN"",""KN"")"),"ಪ್ರಾಚೀನತೆ")</f>
        <v>ಪ್ರಾಚೀನತೆ</v>
      </c>
      <c r="N1353" s="27" t="str">
        <f t="array" ref="N1353">_xlfn.XLOOKUP(B1353,'Sets Progress'!I:I,'Sets Progress'!I:I,"NOT YET")</f>
        <v>NOT YET</v>
      </c>
      <c r="O1353" s="27" t="str">
        <f t="array" ref="O1353">_xlfn.XLOOKUP(L:L,'Overall Progress'!L:L,'Overall Progress'!L:L,"NOT YET")</f>
        <v>NOT YET</v>
      </c>
      <c r="P1353" s="27"/>
      <c r="Q1353" s="27"/>
      <c r="R1353" s="27"/>
      <c r="S1353" s="27"/>
      <c r="T1353" s="27"/>
      <c r="U1353" s="27"/>
      <c r="V1353" s="27"/>
      <c r="W1353" s="27"/>
      <c r="X1353" s="27"/>
      <c r="Y1353" s="27"/>
      <c r="Z1353" s="27"/>
    </row>
    <row r="1354" hidden="1" customHeight="1" spans="1:26">
      <c r="A1354" s="26">
        <v>175</v>
      </c>
      <c r="B1354" s="26">
        <v>89</v>
      </c>
      <c r="C1354" s="26" t="s">
        <v>89</v>
      </c>
      <c r="D1354" s="26" t="s">
        <v>2892</v>
      </c>
      <c r="E1354" s="26" t="s">
        <v>2899</v>
      </c>
      <c r="F1354" s="26" t="str">
        <f t="shared" si="0"/>
        <v>Spatial Middle English Origin</v>
      </c>
      <c r="G1354" s="26">
        <f t="shared" si="3"/>
        <v>7</v>
      </c>
      <c r="H1354" s="26" t="s">
        <v>4222</v>
      </c>
      <c r="I1354" s="26"/>
      <c r="J1354" s="26"/>
      <c r="K1354" s="26"/>
      <c r="L1354" s="26" t="str">
        <f t="shared" si="2"/>
        <v>B</v>
      </c>
      <c r="M1354" s="26" t="str">
        <f>IFERROR(__xludf.DUMMYFUNCTION("GOOGLETRANSLATE(C1354,""EN"",""KN"")"),"ಬೊಲ್ಸ್ಟರ್")</f>
        <v>ಬೊಲ್ಸ್ಟರ್</v>
      </c>
      <c r="N1354" s="26" t="str">
        <f t="array" ref="N1354">_xlfn.XLOOKUP(B1354,'Sets Progress'!I:I,'Sets Progress'!I:I,"NOT YET")</f>
        <v>NOT YET</v>
      </c>
      <c r="O1354" s="26" t="str">
        <f t="array" ref="O1354">_xlfn.XLOOKUP(L:L,'Overall Progress'!L:L,'Overall Progress'!L:L,"NOT YET")</f>
        <v>NOT YET</v>
      </c>
      <c r="P1354" s="26"/>
      <c r="Q1354" s="26"/>
      <c r="R1354" s="26"/>
      <c r="S1354" s="26"/>
      <c r="T1354" s="26"/>
      <c r="U1354" s="26"/>
      <c r="V1354" s="26"/>
      <c r="W1354" s="26"/>
      <c r="X1354" s="26"/>
      <c r="Y1354" s="26"/>
      <c r="Z1354" s="26"/>
    </row>
    <row r="1355" hidden="1" customHeight="1" spans="1:26">
      <c r="A1355" s="27">
        <v>230</v>
      </c>
      <c r="B1355" s="27">
        <v>89</v>
      </c>
      <c r="C1355" s="27" t="s">
        <v>581</v>
      </c>
      <c r="D1355" s="27" t="s">
        <v>2716</v>
      </c>
      <c r="E1355" s="27" t="s">
        <v>3019</v>
      </c>
      <c r="F1355" s="27" t="str">
        <f t="shared" si="0"/>
        <v>Negative Traits Italian Origin</v>
      </c>
      <c r="G1355" s="27">
        <f t="shared" si="3"/>
        <v>9</v>
      </c>
      <c r="H1355" s="27" t="s">
        <v>4223</v>
      </c>
      <c r="I1355" s="27"/>
      <c r="J1355" s="27"/>
      <c r="K1355" s="27"/>
      <c r="L1355" s="27" t="str">
        <f t="shared" si="2"/>
        <v>C</v>
      </c>
      <c r="M1355" s="27" t="str">
        <f>IFERROR(__xludf.DUMMYFUNCTION("GOOGLETRANSLATE(C1355,""EN"",""KN"")"),"ಚಿಕಾನರಿ")</f>
        <v>ಚಿಕಾನರಿ</v>
      </c>
      <c r="N1355" s="27" t="str">
        <f t="array" ref="N1355">_xlfn.XLOOKUP(B1355,'Sets Progress'!I:I,'Sets Progress'!I:I,"NOT YET")</f>
        <v>NOT YET</v>
      </c>
      <c r="O1355" s="27" t="str">
        <f t="array" ref="O1355">_xlfn.XLOOKUP(L:L,'Overall Progress'!L:L,'Overall Progress'!L:L,"NOT YET")</f>
        <v>NOT YET</v>
      </c>
      <c r="P1355" s="27"/>
      <c r="Q1355" s="27"/>
      <c r="R1355" s="27"/>
      <c r="S1355" s="27"/>
      <c r="T1355" s="27"/>
      <c r="U1355" s="27"/>
      <c r="V1355" s="27"/>
      <c r="W1355" s="27"/>
      <c r="X1355" s="27"/>
      <c r="Y1355" s="27"/>
      <c r="Z1355" s="27"/>
    </row>
    <row r="1356" customHeight="1" spans="1:26">
      <c r="A1356" s="26">
        <v>390</v>
      </c>
      <c r="B1356" s="26">
        <v>89</v>
      </c>
      <c r="C1356" s="26" t="s">
        <v>740</v>
      </c>
      <c r="D1356" s="26" t="s">
        <v>1721</v>
      </c>
      <c r="E1356" s="26" t="s">
        <v>2889</v>
      </c>
      <c r="F1356" s="26" t="str">
        <f t="shared" si="0"/>
        <v>Temporal Latin Origin</v>
      </c>
      <c r="G1356" s="26">
        <f t="shared" si="3"/>
        <v>7</v>
      </c>
      <c r="H1356" s="26"/>
      <c r="I1356" s="26"/>
      <c r="J1356" s="26"/>
      <c r="K1356" s="26"/>
      <c r="L1356" s="26" t="str">
        <f t="shared" si="2"/>
        <v>D</v>
      </c>
      <c r="M1356" s="26" t="str">
        <f>IFERROR(__xludf.DUMMYFUNCTION("GOOGLETRANSLATE(C1356,""EN"",""KN"")"),"ಅಭಿವೃದ್ಧಿಗೊಳಿಸು")</f>
        <v>ಅಭಿವೃದ್ಧಿಗೊಳಿಸು</v>
      </c>
      <c r="N1356" s="26" t="str">
        <f t="array" ref="N1356">_xlfn.XLOOKUP(B1356,'Sets Progress'!I:I,'Sets Progress'!I:I,"NOT YET")</f>
        <v>NOT YET</v>
      </c>
      <c r="O1356" s="26" t="str">
        <f t="array" ref="O1356">_xlfn.XLOOKUP(L:L,'Overall Progress'!L:L,'Overall Progress'!L:L,"NOT YET")</f>
        <v>NOT YET</v>
      </c>
      <c r="P1356" s="26"/>
      <c r="Q1356" s="26"/>
      <c r="R1356" s="26"/>
      <c r="S1356" s="26"/>
      <c r="T1356" s="26"/>
      <c r="U1356" s="26"/>
      <c r="V1356" s="26"/>
      <c r="W1356" s="26"/>
      <c r="X1356" s="26"/>
      <c r="Y1356" s="26"/>
      <c r="Z1356" s="26"/>
    </row>
    <row r="1357" hidden="1" customHeight="1" spans="1:26">
      <c r="A1357" s="27">
        <v>494</v>
      </c>
      <c r="B1357" s="27">
        <v>89</v>
      </c>
      <c r="C1357" s="27" t="s">
        <v>843</v>
      </c>
      <c r="D1357" s="27" t="s">
        <v>3022</v>
      </c>
      <c r="E1357" s="27" t="s">
        <v>2889</v>
      </c>
      <c r="F1357" s="27" t="str">
        <f t="shared" si="0"/>
        <v>Intellectual Latin Origin</v>
      </c>
      <c r="G1357" s="27">
        <f t="shared" si="3"/>
        <v>9</v>
      </c>
      <c r="H1357" s="27" t="s">
        <v>4224</v>
      </c>
      <c r="I1357" s="27"/>
      <c r="J1357" s="27"/>
      <c r="K1357" s="27"/>
      <c r="L1357" s="27" t="str">
        <f t="shared" si="2"/>
        <v>E</v>
      </c>
      <c r="M1357" s="27" t="str">
        <f>IFERROR(__xludf.DUMMYFUNCTION("GOOGLETRANSLATE(C1357,""EN"",""KN"")"),"ಪ್ರಾಯೋಗಿಕ")</f>
        <v>ಪ್ರಾಯೋಗಿಕ</v>
      </c>
      <c r="N1357" s="27" t="str">
        <f t="array" ref="N1357">_xlfn.XLOOKUP(B1357,'Sets Progress'!I:I,'Sets Progress'!I:I,"NOT YET")</f>
        <v>NOT YET</v>
      </c>
      <c r="O1357" s="27" t="str">
        <f t="array" ref="O1357">_xlfn.XLOOKUP(L:L,'Overall Progress'!L:L,'Overall Progress'!L:L,"NOT YET")</f>
        <v>NOT YET</v>
      </c>
      <c r="P1357" s="27"/>
      <c r="Q1357" s="27"/>
      <c r="R1357" s="27"/>
      <c r="S1357" s="27"/>
      <c r="T1357" s="27"/>
      <c r="U1357" s="27"/>
      <c r="V1357" s="27"/>
      <c r="W1357" s="27"/>
      <c r="X1357" s="27"/>
      <c r="Y1357" s="27"/>
      <c r="Z1357" s="27"/>
    </row>
    <row r="1358" customHeight="1" spans="1:26">
      <c r="A1358" s="26">
        <v>723</v>
      </c>
      <c r="B1358" s="26">
        <v>89</v>
      </c>
      <c r="C1358" s="26" t="s">
        <v>1065</v>
      </c>
      <c r="D1358" s="26" t="s">
        <v>1721</v>
      </c>
      <c r="E1358" s="26" t="s">
        <v>2889</v>
      </c>
      <c r="F1358" s="26" t="str">
        <f t="shared" si="0"/>
        <v>Temporal Latin Origin</v>
      </c>
      <c r="G1358" s="26">
        <f t="shared" si="3"/>
        <v>10</v>
      </c>
      <c r="H1358" s="26"/>
      <c r="I1358" s="26"/>
      <c r="J1358" s="26"/>
      <c r="K1358" s="26"/>
      <c r="L1358" s="26" t="str">
        <f t="shared" si="2"/>
        <v>I</v>
      </c>
      <c r="M1358" s="26" t="str">
        <f>IFERROR(__xludf.DUMMYFUNCTION("GOOGLETRANSLATE(C1358,""EN"",""KN"")"),"ಕಡ್ಡಾಯ")</f>
        <v>ಕಡ್ಡಾಯ</v>
      </c>
      <c r="N1358" s="26" t="str">
        <f t="array" ref="N1358">_xlfn.XLOOKUP(B1358,'Sets Progress'!I:I,'Sets Progress'!I:I,"NOT YET")</f>
        <v>NOT YET</v>
      </c>
      <c r="O1358" s="26" t="str">
        <f t="array" ref="O1358">_xlfn.XLOOKUP(L:L,'Overall Progress'!L:L,'Overall Progress'!L:L,"NOT YET")</f>
        <v>NOT YET</v>
      </c>
      <c r="P1358" s="26"/>
      <c r="Q1358" s="26"/>
      <c r="R1358" s="26"/>
      <c r="S1358" s="26"/>
      <c r="T1358" s="26"/>
      <c r="U1358" s="26"/>
      <c r="V1358" s="26"/>
      <c r="W1358" s="26"/>
      <c r="X1358" s="26"/>
      <c r="Y1358" s="26"/>
      <c r="Z1358" s="26"/>
    </row>
    <row r="1359" hidden="1" customHeight="1" spans="1:26">
      <c r="A1359" s="27">
        <v>797</v>
      </c>
      <c r="B1359" s="27">
        <v>89</v>
      </c>
      <c r="C1359" s="27" t="s">
        <v>1137</v>
      </c>
      <c r="D1359" s="27" t="s">
        <v>1721</v>
      </c>
      <c r="E1359" s="27" t="s">
        <v>2889</v>
      </c>
      <c r="F1359" s="27" t="str">
        <f t="shared" si="0"/>
        <v>Temporal Latin Origin</v>
      </c>
      <c r="G1359" s="27">
        <f t="shared" si="3"/>
        <v>14</v>
      </c>
      <c r="H1359" s="27" t="s">
        <v>4225</v>
      </c>
      <c r="I1359" s="27"/>
      <c r="J1359" s="27"/>
      <c r="K1359" s="27"/>
      <c r="L1359" s="27" t="str">
        <f t="shared" si="2"/>
        <v>I</v>
      </c>
      <c r="M1359" s="27" t="str">
        <f>IFERROR(__xludf.DUMMYFUNCTION("GOOGLETRANSLATE(C1359,""EN"",""KN"")"),"ದುಸ್ತರ")</f>
        <v>ದುಸ್ತರ</v>
      </c>
      <c r="N1359" s="27" t="str">
        <f t="array" ref="N1359">_xlfn.XLOOKUP(B1359,'Sets Progress'!I:I,'Sets Progress'!I:I,"NOT YET")</f>
        <v>NOT YET</v>
      </c>
      <c r="O1359" s="27" t="str">
        <f t="array" ref="O1359">_xlfn.XLOOKUP(L:L,'Overall Progress'!L:L,'Overall Progress'!L:L,"NOT YET")</f>
        <v>NOT YET</v>
      </c>
      <c r="P1359" s="27"/>
      <c r="Q1359" s="27"/>
      <c r="R1359" s="27"/>
      <c r="S1359" s="27"/>
      <c r="T1359" s="27"/>
      <c r="U1359" s="27"/>
      <c r="V1359" s="27"/>
      <c r="W1359" s="27"/>
      <c r="X1359" s="27"/>
      <c r="Y1359" s="27"/>
      <c r="Z1359" s="27"/>
    </row>
    <row r="1360" hidden="1" customHeight="1" spans="1:26">
      <c r="A1360" s="26">
        <v>965</v>
      </c>
      <c r="B1360" s="26">
        <v>89</v>
      </c>
      <c r="C1360" s="26" t="s">
        <v>1301</v>
      </c>
      <c r="D1360" s="26" t="s">
        <v>1721</v>
      </c>
      <c r="E1360" s="26" t="s">
        <v>2896</v>
      </c>
      <c r="F1360" s="26" t="str">
        <f t="shared" si="0"/>
        <v>Temporal Old French Origin</v>
      </c>
      <c r="G1360" s="26">
        <f t="shared" si="3"/>
        <v>9</v>
      </c>
      <c r="H1360" s="26" t="s">
        <v>4226</v>
      </c>
      <c r="I1360" s="26"/>
      <c r="J1360" s="26"/>
      <c r="K1360" s="26"/>
      <c r="L1360" s="26" t="str">
        <f t="shared" si="2"/>
        <v>O</v>
      </c>
      <c r="M1360" s="26" t="str">
        <f>IFERROR(__xludf.DUMMYFUNCTION("GOOGLETRANSLATE(C1360,""EN"",""KN"")"),"ನಮನ")</f>
        <v>ನಮನ</v>
      </c>
      <c r="N1360" s="26" t="str">
        <f t="array" ref="N1360">_xlfn.XLOOKUP(B1360,'Sets Progress'!I:I,'Sets Progress'!I:I,"NOT YET")</f>
        <v>NOT YET</v>
      </c>
      <c r="O1360" s="26" t="str">
        <f t="array" ref="O1360">_xlfn.XLOOKUP(L:L,'Overall Progress'!L:L,'Overall Progress'!L:L,"NOT YET")</f>
        <v>NOT YET</v>
      </c>
      <c r="P1360" s="26"/>
      <c r="Q1360" s="26"/>
      <c r="R1360" s="26"/>
      <c r="S1360" s="26"/>
      <c r="T1360" s="26"/>
      <c r="U1360" s="26"/>
      <c r="V1360" s="26"/>
      <c r="W1360" s="26"/>
      <c r="X1360" s="26"/>
      <c r="Y1360" s="26"/>
      <c r="Z1360" s="26"/>
    </row>
    <row r="1361" hidden="1" customHeight="1" spans="1:26">
      <c r="A1361" s="27">
        <v>987</v>
      </c>
      <c r="B1361" s="27">
        <v>89</v>
      </c>
      <c r="C1361" s="27" t="s">
        <v>1322</v>
      </c>
      <c r="D1361" s="27" t="s">
        <v>1721</v>
      </c>
      <c r="E1361" s="27" t="s">
        <v>2889</v>
      </c>
      <c r="F1361" s="27" t="str">
        <f t="shared" si="0"/>
        <v>Temporal Latin Origin</v>
      </c>
      <c r="G1361" s="27">
        <f t="shared" si="3"/>
        <v>11</v>
      </c>
      <c r="H1361" s="27" t="s">
        <v>4227</v>
      </c>
      <c r="I1361" s="27"/>
      <c r="J1361" s="27"/>
      <c r="K1361" s="27"/>
      <c r="L1361" s="27" t="str">
        <f t="shared" si="2"/>
        <v>O</v>
      </c>
      <c r="M1361" s="27" t="str">
        <f>IFERROR(__xludf.DUMMYFUNCTION("GOOGLETRANSLATE(C1361,""EN"",""KN"")"),"ಅವಕಾಶವಾದ")</f>
        <v>ಅವಕಾಶವಾದ</v>
      </c>
      <c r="N1361" s="27" t="str">
        <f t="array" ref="N1361">_xlfn.XLOOKUP(B1361,'Sets Progress'!I:I,'Sets Progress'!I:I,"NOT YET")</f>
        <v>NOT YET</v>
      </c>
      <c r="O1361" s="27" t="str">
        <f t="array" ref="O1361">_xlfn.XLOOKUP(L:L,'Overall Progress'!L:L,'Overall Progress'!L:L,"NOT YET")</f>
        <v>NOT YET</v>
      </c>
      <c r="P1361" s="27"/>
      <c r="Q1361" s="27"/>
      <c r="R1361" s="27"/>
      <c r="S1361" s="27"/>
      <c r="T1361" s="27"/>
      <c r="U1361" s="27"/>
      <c r="V1361" s="27"/>
      <c r="W1361" s="27"/>
      <c r="X1361" s="27"/>
      <c r="Y1361" s="27"/>
      <c r="Z1361" s="27"/>
    </row>
    <row r="1362" hidden="1" customHeight="1" spans="1:26">
      <c r="A1362" s="26">
        <v>1080</v>
      </c>
      <c r="B1362" s="26">
        <v>89</v>
      </c>
      <c r="C1362" s="26" t="s">
        <v>1415</v>
      </c>
      <c r="D1362" s="26" t="s">
        <v>2717</v>
      </c>
      <c r="E1362" s="26" t="s">
        <v>2896</v>
      </c>
      <c r="F1362" s="26" t="str">
        <f t="shared" si="0"/>
        <v>Positive Traits Old French Origin</v>
      </c>
      <c r="G1362" s="26">
        <f t="shared" si="3"/>
        <v>5</v>
      </c>
      <c r="H1362" s="26" t="s">
        <v>4228</v>
      </c>
      <c r="I1362" s="26"/>
      <c r="J1362" s="26"/>
      <c r="K1362" s="26"/>
      <c r="L1362" s="26" t="str">
        <f t="shared" si="2"/>
        <v>P</v>
      </c>
      <c r="M1362" s="26" t="str">
        <f>IFERROR(__xludf.DUMMYFUNCTION("GOOGLETRANSLATE(C1362,""EN"",""KN"")"),"ಸಮತೋಲನ")</f>
        <v>ಸಮತೋಲನ</v>
      </c>
      <c r="N1362" s="26" t="str">
        <f t="array" ref="N1362">_xlfn.XLOOKUP(B1362,'Sets Progress'!I:I,'Sets Progress'!I:I,"NOT YET")</f>
        <v>NOT YET</v>
      </c>
      <c r="O1362" s="26" t="str">
        <f t="array" ref="O1362">_xlfn.XLOOKUP(L:L,'Overall Progress'!L:L,'Overall Progress'!L:L,"NOT YET")</f>
        <v>NOT YET</v>
      </c>
      <c r="P1362" s="26"/>
      <c r="Q1362" s="26"/>
      <c r="R1362" s="26"/>
      <c r="S1362" s="26"/>
      <c r="T1362" s="26"/>
      <c r="U1362" s="26"/>
      <c r="V1362" s="26"/>
      <c r="W1362" s="26"/>
      <c r="X1362" s="26"/>
      <c r="Y1362" s="26"/>
      <c r="Z1362" s="26"/>
    </row>
    <row r="1363" hidden="1" customHeight="1" spans="1:26">
      <c r="A1363" s="27">
        <v>1086</v>
      </c>
      <c r="B1363" s="27">
        <v>89</v>
      </c>
      <c r="C1363" s="27" t="s">
        <v>1421</v>
      </c>
      <c r="D1363" s="27" t="s">
        <v>2717</v>
      </c>
      <c r="E1363" s="27" t="s">
        <v>2889</v>
      </c>
      <c r="F1363" s="27" t="str">
        <f t="shared" si="0"/>
        <v>Positive Traits Latin Origin</v>
      </c>
      <c r="G1363" s="27">
        <f t="shared" si="3"/>
        <v>8</v>
      </c>
      <c r="H1363" s="27" t="s">
        <v>4229</v>
      </c>
      <c r="I1363" s="27"/>
      <c r="J1363" s="27"/>
      <c r="K1363" s="27"/>
      <c r="L1363" s="27" t="str">
        <f t="shared" si="2"/>
        <v>P</v>
      </c>
      <c r="M1363" s="27" t="str">
        <f>IFERROR(__xludf.DUMMYFUNCTION("GOOGLETRANSLATE(C1363,""EN"",""KN"")"),"ಜನನಿಬಿಡ")</f>
        <v>ಜನನಿಬಿಡ</v>
      </c>
      <c r="N1363" s="27" t="str">
        <f t="array" ref="N1363">_xlfn.XLOOKUP(B1363,'Sets Progress'!I:I,'Sets Progress'!I:I,"NOT YET")</f>
        <v>NOT YET</v>
      </c>
      <c r="O1363" s="27" t="str">
        <f t="array" ref="O1363">_xlfn.XLOOKUP(L:L,'Overall Progress'!L:L,'Overall Progress'!L:L,"NOT YET")</f>
        <v>NOT YET</v>
      </c>
      <c r="P1363" s="27"/>
      <c r="Q1363" s="27"/>
      <c r="R1363" s="27"/>
      <c r="S1363" s="27"/>
      <c r="T1363" s="27"/>
      <c r="U1363" s="27"/>
      <c r="V1363" s="27"/>
      <c r="W1363" s="27"/>
      <c r="X1363" s="27"/>
      <c r="Y1363" s="27"/>
      <c r="Z1363" s="27"/>
    </row>
    <row r="1364" customHeight="1" spans="1:26">
      <c r="A1364" s="26">
        <v>1200</v>
      </c>
      <c r="B1364" s="26">
        <v>89</v>
      </c>
      <c r="C1364" s="26" t="s">
        <v>1531</v>
      </c>
      <c r="D1364" s="26" t="s">
        <v>2717</v>
      </c>
      <c r="E1364" s="26" t="s">
        <v>2896</v>
      </c>
      <c r="F1364" s="26" t="str">
        <f t="shared" si="0"/>
        <v>Positive Traits Old French Origin</v>
      </c>
      <c r="G1364" s="26">
        <f t="shared" si="3"/>
        <v>6</v>
      </c>
      <c r="H1364" s="26"/>
      <c r="I1364" s="26"/>
      <c r="J1364" s="26"/>
      <c r="K1364" s="26"/>
      <c r="L1364" s="26" t="str">
        <f t="shared" si="2"/>
        <v>R</v>
      </c>
      <c r="M1364" s="26" t="str">
        <f>IFERROR(__xludf.DUMMYFUNCTION("GOOGLETRANSLATE(C1364,""EN"",""KN"")"),"ಸವಿಯಿರಿ")</f>
        <v>ಸವಿಯಿರಿ</v>
      </c>
      <c r="N1364" s="26" t="str">
        <f t="array" ref="N1364">_xlfn.XLOOKUP(B1364,'Sets Progress'!I:I,'Sets Progress'!I:I,"NOT YET")</f>
        <v>NOT YET</v>
      </c>
      <c r="O1364" s="26" t="str">
        <f t="array" ref="O1364">_xlfn.XLOOKUP(L:L,'Overall Progress'!L:L,'Overall Progress'!L:L,"NOT YET")</f>
        <v>NOT YET</v>
      </c>
      <c r="P1364" s="26"/>
      <c r="Q1364" s="26"/>
      <c r="R1364" s="26"/>
      <c r="S1364" s="26"/>
      <c r="T1364" s="26"/>
      <c r="U1364" s="26"/>
      <c r="V1364" s="26"/>
      <c r="W1364" s="26"/>
      <c r="X1364" s="26"/>
      <c r="Y1364" s="26"/>
      <c r="Z1364" s="26"/>
    </row>
    <row r="1365" hidden="1" customHeight="1" spans="1:26">
      <c r="A1365" s="27">
        <v>1437</v>
      </c>
      <c r="B1365" s="27">
        <v>89</v>
      </c>
      <c r="C1365" s="27" t="s">
        <v>1765</v>
      </c>
      <c r="D1365" s="27" t="s">
        <v>2716</v>
      </c>
      <c r="E1365" s="27" t="s">
        <v>2908</v>
      </c>
      <c r="F1365" s="27" t="str">
        <f t="shared" si="0"/>
        <v>Negative Traits Old English Origin</v>
      </c>
      <c r="G1365" s="27">
        <f t="shared" si="3"/>
        <v>9</v>
      </c>
      <c r="H1365" s="27" t="s">
        <v>4230</v>
      </c>
      <c r="I1365" s="27"/>
      <c r="J1365" s="27"/>
      <c r="K1365" s="27"/>
      <c r="L1365" s="27" t="str">
        <f t="shared" si="2"/>
        <v>U</v>
      </c>
      <c r="M1365" s="27" t="str">
        <f>IFERROR(__xludf.DUMMYFUNCTION("GOOGLETRANSLATE(C1365,""EN"",""KN"")"),"ನಿರಾಭರಣ")</f>
        <v>ನಿರಾಭರಣ</v>
      </c>
      <c r="N1365" s="27" t="str">
        <f t="array" ref="N1365">_xlfn.XLOOKUP(B1365,'Sets Progress'!I:I,'Sets Progress'!I:I,"NOT YET")</f>
        <v>NOT YET</v>
      </c>
      <c r="O1365" s="27" t="str">
        <f t="array" ref="O1365">_xlfn.XLOOKUP(L:L,'Overall Progress'!L:L,'Overall Progress'!L:L,"NOT YET")</f>
        <v>NOT YET</v>
      </c>
      <c r="P1365" s="27"/>
      <c r="Q1365" s="27"/>
      <c r="R1365" s="27"/>
      <c r="S1365" s="27"/>
      <c r="T1365" s="27"/>
      <c r="U1365" s="27"/>
      <c r="V1365" s="27"/>
      <c r="W1365" s="27"/>
      <c r="X1365" s="27"/>
      <c r="Y1365" s="27"/>
      <c r="Z1365" s="27"/>
    </row>
    <row r="1366" hidden="1" customHeight="1" spans="1:26">
      <c r="A1366" s="26">
        <v>21</v>
      </c>
      <c r="B1366" s="26">
        <v>90</v>
      </c>
      <c r="C1366" s="26" t="s">
        <v>385</v>
      </c>
      <c r="D1366" s="26" t="s">
        <v>2892</v>
      </c>
      <c r="E1366" s="26" t="s">
        <v>2889</v>
      </c>
      <c r="F1366" s="26" t="str">
        <f t="shared" si="0"/>
        <v>Spatial Latin Origin</v>
      </c>
      <c r="G1366" s="26">
        <f t="shared" si="3"/>
        <v>10</v>
      </c>
      <c r="H1366" s="26" t="s">
        <v>4231</v>
      </c>
      <c r="I1366" s="26"/>
      <c r="J1366" s="26"/>
      <c r="K1366" s="26"/>
      <c r="L1366" s="26" t="str">
        <f t="shared" si="2"/>
        <v>A</v>
      </c>
      <c r="M1366" s="26" t="str">
        <f>IFERROR(__xludf.DUMMYFUNCTION("GOOGLETRANSLATE(C1366,""EN"",""KN"")"),"ಪ್ರವೇಶಿಸಬಹುದು")</f>
        <v>ಪ್ರವೇಶಿಸಬಹುದು</v>
      </c>
      <c r="N1366" s="26" t="str">
        <f t="array" ref="N1366">_xlfn.XLOOKUP(B1366,'Sets Progress'!I:I,'Sets Progress'!I:I,"NOT YET")</f>
        <v>NOT YET</v>
      </c>
      <c r="O1366" s="26" t="str">
        <f t="array" ref="O1366">_xlfn.XLOOKUP(L:L,'Overall Progress'!L:L,'Overall Progress'!L:L,"NOT YET")</f>
        <v>NOT YET</v>
      </c>
      <c r="P1366" s="26"/>
      <c r="Q1366" s="26"/>
      <c r="R1366" s="26"/>
      <c r="S1366" s="26"/>
      <c r="T1366" s="26"/>
      <c r="U1366" s="26"/>
      <c r="V1366" s="26"/>
      <c r="W1366" s="26"/>
      <c r="X1366" s="26"/>
      <c r="Y1366" s="26"/>
      <c r="Z1366" s="26"/>
    </row>
    <row r="1367" hidden="1" customHeight="1" spans="1:26">
      <c r="A1367" s="27">
        <v>72</v>
      </c>
      <c r="B1367" s="27">
        <v>90</v>
      </c>
      <c r="C1367" s="27" t="s">
        <v>61</v>
      </c>
      <c r="D1367" s="27" t="s">
        <v>1721</v>
      </c>
      <c r="E1367" s="27" t="s">
        <v>2893</v>
      </c>
      <c r="F1367" s="27" t="str">
        <f t="shared" si="0"/>
        <v>Temporal Greek Origin</v>
      </c>
      <c r="G1367" s="27">
        <f t="shared" si="3"/>
        <v>11</v>
      </c>
      <c r="H1367" s="27" t="s">
        <v>4232</v>
      </c>
      <c r="I1367" s="27"/>
      <c r="J1367" s="27"/>
      <c r="K1367" s="27"/>
      <c r="L1367" s="27" t="str">
        <f t="shared" si="2"/>
        <v>A</v>
      </c>
      <c r="M1367" s="27" t="str">
        <f>IFERROR(__xludf.DUMMYFUNCTION("GOOGLETRANSLATE(C1367,""EN"",""KN"")"),"ಅನಾಕ್ರೊನಿಸಂ")</f>
        <v>ಅನಾಕ್ರೊನಿಸಂ</v>
      </c>
      <c r="N1367" s="27" t="str">
        <f t="array" ref="N1367">_xlfn.XLOOKUP(B1367,'Sets Progress'!I:I,'Sets Progress'!I:I,"NOT YET")</f>
        <v>NOT YET</v>
      </c>
      <c r="O1367" s="27" t="str">
        <f t="array" ref="O1367">_xlfn.XLOOKUP(L:L,'Overall Progress'!L:L,'Overall Progress'!L:L,"NOT YET")</f>
        <v>NOT YET</v>
      </c>
      <c r="P1367" s="27"/>
      <c r="Q1367" s="27"/>
      <c r="R1367" s="27"/>
      <c r="S1367" s="27"/>
      <c r="T1367" s="27"/>
      <c r="U1367" s="27"/>
      <c r="V1367" s="27"/>
      <c r="W1367" s="27"/>
      <c r="X1367" s="27"/>
      <c r="Y1367" s="27"/>
      <c r="Z1367" s="27"/>
    </row>
    <row r="1368" hidden="1" customHeight="1" spans="1:26">
      <c r="A1368" s="26">
        <v>109</v>
      </c>
      <c r="B1368" s="26">
        <v>90</v>
      </c>
      <c r="C1368" s="26" t="s">
        <v>459</v>
      </c>
      <c r="D1368" s="26" t="s">
        <v>2717</v>
      </c>
      <c r="E1368" s="26" t="s">
        <v>2908</v>
      </c>
      <c r="F1368" s="26" t="str">
        <f t="shared" si="0"/>
        <v>Positive Traits Old English Origin</v>
      </c>
      <c r="G1368" s="26">
        <f t="shared" si="3"/>
        <v>7</v>
      </c>
      <c r="H1368" s="26" t="s">
        <v>4233</v>
      </c>
      <c r="I1368" s="26"/>
      <c r="J1368" s="26"/>
      <c r="K1368" s="26"/>
      <c r="L1368" s="26" t="str">
        <f t="shared" si="2"/>
        <v>A</v>
      </c>
      <c r="M1368" s="26" t="str">
        <f>IFERROR(__xludf.DUMMYFUNCTION("GOOGLETRANSLATE(C1368,""EN"",""KN"")"),"ಕಲಾಹೀನ")</f>
        <v>ಕಲಾಹೀನ</v>
      </c>
      <c r="N1368" s="26" t="str">
        <f t="array" ref="N1368">_xlfn.XLOOKUP(B1368,'Sets Progress'!I:I,'Sets Progress'!I:I,"NOT YET")</f>
        <v>NOT YET</v>
      </c>
      <c r="O1368" s="26" t="str">
        <f t="array" ref="O1368">_xlfn.XLOOKUP(L:L,'Overall Progress'!L:L,'Overall Progress'!L:L,"NOT YET")</f>
        <v>NOT YET</v>
      </c>
      <c r="P1368" s="26"/>
      <c r="Q1368" s="26"/>
      <c r="R1368" s="26"/>
      <c r="S1368" s="26"/>
      <c r="T1368" s="26"/>
      <c r="U1368" s="26"/>
      <c r="V1368" s="26"/>
      <c r="W1368" s="26"/>
      <c r="X1368" s="26"/>
      <c r="Y1368" s="26"/>
      <c r="Z1368" s="26"/>
    </row>
    <row r="1369" hidden="1" customHeight="1" spans="1:26">
      <c r="A1369" s="27">
        <v>249</v>
      </c>
      <c r="B1369" s="27">
        <v>90</v>
      </c>
      <c r="C1369" s="27" t="s">
        <v>600</v>
      </c>
      <c r="D1369" s="27" t="s">
        <v>3022</v>
      </c>
      <c r="E1369" s="27" t="s">
        <v>2889</v>
      </c>
      <c r="F1369" s="27" t="str">
        <f t="shared" si="0"/>
        <v>Intellectual Latin Origin</v>
      </c>
      <c r="G1369" s="27">
        <f t="shared" si="3"/>
        <v>8</v>
      </c>
      <c r="H1369" s="27" t="s">
        <v>4234</v>
      </c>
      <c r="I1369" s="27"/>
      <c r="J1369" s="27"/>
      <c r="K1369" s="27"/>
      <c r="L1369" s="27" t="str">
        <f t="shared" si="2"/>
        <v>C</v>
      </c>
      <c r="M1369" s="27" t="str">
        <f>IFERROR(__xludf.DUMMYFUNCTION("GOOGLETRANSLATE(C1369,""EN"",""KN"")"),"ಯೋಚಿಸು")</f>
        <v>ಯೋಚಿಸು</v>
      </c>
      <c r="N1369" s="27" t="str">
        <f t="array" ref="N1369">_xlfn.XLOOKUP(B1369,'Sets Progress'!I:I,'Sets Progress'!I:I,"NOT YET")</f>
        <v>NOT YET</v>
      </c>
      <c r="O1369" s="27" t="str">
        <f t="array" ref="O1369">_xlfn.XLOOKUP(L:L,'Overall Progress'!L:L,'Overall Progress'!L:L,"NOT YET")</f>
        <v>NOT YET</v>
      </c>
      <c r="P1369" s="27"/>
      <c r="Q1369" s="27"/>
      <c r="R1369" s="27"/>
      <c r="S1369" s="27"/>
      <c r="T1369" s="27"/>
      <c r="U1369" s="27"/>
      <c r="V1369" s="27"/>
      <c r="W1369" s="27"/>
      <c r="X1369" s="27"/>
      <c r="Y1369" s="27"/>
      <c r="Z1369" s="27"/>
    </row>
    <row r="1370" hidden="1" customHeight="1" spans="1:26">
      <c r="A1370" s="26">
        <v>273</v>
      </c>
      <c r="B1370" s="26">
        <v>90</v>
      </c>
      <c r="C1370" s="26" t="s">
        <v>626</v>
      </c>
      <c r="D1370" s="26" t="s">
        <v>2717</v>
      </c>
      <c r="E1370" s="26" t="s">
        <v>2889</v>
      </c>
      <c r="F1370" s="26" t="str">
        <f t="shared" si="0"/>
        <v>Positive Traits Latin Origin</v>
      </c>
      <c r="G1370" s="26">
        <f t="shared" si="3"/>
        <v>13</v>
      </c>
      <c r="H1370" s="26" t="s">
        <v>4235</v>
      </c>
      <c r="I1370" s="26"/>
      <c r="J1370" s="26"/>
      <c r="K1370" s="26"/>
      <c r="L1370" s="26" t="str">
        <f t="shared" si="2"/>
        <v>C</v>
      </c>
      <c r="M1370" s="26" t="str">
        <f>IFERROR(__xludf.DUMMYFUNCTION("GOOGLETRANSLATE(C1370,""EN"",""KN"")"),"ಸಮಗ್ರ")</f>
        <v>ಸಮಗ್ರ</v>
      </c>
      <c r="N1370" s="26" t="str">
        <f t="array" ref="N1370">_xlfn.XLOOKUP(B1370,'Sets Progress'!I:I,'Sets Progress'!I:I,"NOT YET")</f>
        <v>NOT YET</v>
      </c>
      <c r="O1370" s="26" t="str">
        <f t="array" ref="O1370">_xlfn.XLOOKUP(L:L,'Overall Progress'!L:L,'Overall Progress'!L:L,"NOT YET")</f>
        <v>NOT YET</v>
      </c>
      <c r="P1370" s="26"/>
      <c r="Q1370" s="26"/>
      <c r="R1370" s="26"/>
      <c r="S1370" s="26"/>
      <c r="T1370" s="26"/>
      <c r="U1370" s="26"/>
      <c r="V1370" s="26"/>
      <c r="W1370" s="26"/>
      <c r="X1370" s="26"/>
      <c r="Y1370" s="26"/>
      <c r="Z1370" s="26"/>
    </row>
    <row r="1371" hidden="1" customHeight="1" spans="1:26">
      <c r="A1371" s="27">
        <v>305</v>
      </c>
      <c r="B1371" s="27">
        <v>90</v>
      </c>
      <c r="C1371" s="27" t="s">
        <v>657</v>
      </c>
      <c r="D1371" s="27" t="s">
        <v>1721</v>
      </c>
      <c r="E1371" s="27" t="s">
        <v>2889</v>
      </c>
      <c r="F1371" s="27" t="str">
        <f t="shared" si="0"/>
        <v>Temporal Latin Origin</v>
      </c>
      <c r="G1371" s="27">
        <f t="shared" si="3"/>
        <v>12</v>
      </c>
      <c r="H1371" s="27" t="s">
        <v>4236</v>
      </c>
      <c r="I1371" s="27"/>
      <c r="J1371" s="27"/>
      <c r="K1371" s="27"/>
      <c r="L1371" s="27" t="str">
        <f t="shared" si="2"/>
        <v>C</v>
      </c>
      <c r="M1371" s="27" t="str">
        <f>IFERROR(__xludf.DUMMYFUNCTION("GOOGLETRANSLATE(C1371,""EN"",""KN"")"),"ಸಾಂಪ್ರದಾಯಿಕ")</f>
        <v>ಸಾಂಪ್ರದಾಯಿಕ</v>
      </c>
      <c r="N1371" s="27" t="str">
        <f t="array" ref="N1371">_xlfn.XLOOKUP(B1371,'Sets Progress'!I:I,'Sets Progress'!I:I,"NOT YET")</f>
        <v>NOT YET</v>
      </c>
      <c r="O1371" s="27" t="str">
        <f t="array" ref="O1371">_xlfn.XLOOKUP(L:L,'Overall Progress'!L:L,'Overall Progress'!L:L,"NOT YET")</f>
        <v>NOT YET</v>
      </c>
      <c r="P1371" s="27"/>
      <c r="Q1371" s="27"/>
      <c r="R1371" s="27"/>
      <c r="S1371" s="27"/>
      <c r="T1371" s="27"/>
      <c r="U1371" s="27"/>
      <c r="V1371" s="27"/>
      <c r="W1371" s="27"/>
      <c r="X1371" s="27"/>
      <c r="Y1371" s="27"/>
      <c r="Z1371" s="27"/>
    </row>
    <row r="1372" hidden="1" customHeight="1" spans="1:26">
      <c r="A1372" s="26">
        <v>345</v>
      </c>
      <c r="B1372" s="26">
        <v>90</v>
      </c>
      <c r="C1372" s="26" t="s">
        <v>695</v>
      </c>
      <c r="D1372" s="26" t="s">
        <v>2892</v>
      </c>
      <c r="E1372" s="26" t="s">
        <v>2899</v>
      </c>
      <c r="F1372" s="26" t="str">
        <f t="shared" si="0"/>
        <v>Spatial Middle English Origin</v>
      </c>
      <c r="G1372" s="26">
        <f t="shared" si="3"/>
        <v>6</v>
      </c>
      <c r="H1372" s="26" t="s">
        <v>4237</v>
      </c>
      <c r="I1372" s="26"/>
      <c r="J1372" s="26"/>
      <c r="K1372" s="26"/>
      <c r="L1372" s="26" t="str">
        <f t="shared" si="2"/>
        <v>D</v>
      </c>
      <c r="M1372" s="26" t="str">
        <f>IFERROR(__xludf.DUMMYFUNCTION("GOOGLETRANSLATE(C1372,""EN"",""KN"")"),"ಕೊರತೆ")</f>
        <v>ಕೊರತೆ</v>
      </c>
      <c r="N1372" s="26" t="str">
        <f t="array" ref="N1372">_xlfn.XLOOKUP(B1372,'Sets Progress'!I:I,'Sets Progress'!I:I,"NOT YET")</f>
        <v>NOT YET</v>
      </c>
      <c r="O1372" s="26" t="str">
        <f t="array" ref="O1372">_xlfn.XLOOKUP(L:L,'Overall Progress'!L:L,'Overall Progress'!L:L,"NOT YET")</f>
        <v>NOT YET</v>
      </c>
      <c r="P1372" s="26"/>
      <c r="Q1372" s="26"/>
      <c r="R1372" s="26"/>
      <c r="S1372" s="26"/>
      <c r="T1372" s="26"/>
      <c r="U1372" s="26"/>
      <c r="V1372" s="26"/>
      <c r="W1372" s="26"/>
      <c r="X1372" s="26"/>
      <c r="Y1372" s="26"/>
      <c r="Z1372" s="26"/>
    </row>
    <row r="1373" hidden="1" customHeight="1" spans="1:26">
      <c r="A1373" s="27">
        <v>372</v>
      </c>
      <c r="B1373" s="27">
        <v>90</v>
      </c>
      <c r="C1373" s="27" t="s">
        <v>722</v>
      </c>
      <c r="D1373" s="27" t="s">
        <v>2716</v>
      </c>
      <c r="E1373" s="27" t="s">
        <v>2889</v>
      </c>
      <c r="F1373" s="27" t="str">
        <f t="shared" si="0"/>
        <v>Negative Traits Latin Origin</v>
      </c>
      <c r="G1373" s="27">
        <f t="shared" si="3"/>
        <v>8</v>
      </c>
      <c r="H1373" s="27" t="s">
        <v>4238</v>
      </c>
      <c r="I1373" s="27"/>
      <c r="J1373" s="27"/>
      <c r="K1373" s="27"/>
      <c r="L1373" s="27" t="str">
        <f t="shared" si="2"/>
        <v>D</v>
      </c>
      <c r="M1373" s="27" t="str">
        <f>IFERROR(__xludf.DUMMYFUNCTION("GOOGLETRANSLATE(C1373,""EN"",""KN"")"),"ಖಂಡಿಸು")</f>
        <v>ಖಂಡಿಸು</v>
      </c>
      <c r="N1373" s="27" t="str">
        <f t="array" ref="N1373">_xlfn.XLOOKUP(B1373,'Sets Progress'!I:I,'Sets Progress'!I:I,"NOT YET")</f>
        <v>NOT YET</v>
      </c>
      <c r="O1373" s="27" t="str">
        <f t="array" ref="O1373">_xlfn.XLOOKUP(L:L,'Overall Progress'!L:L,'Overall Progress'!L:L,"NOT YET")</f>
        <v>NOT YET</v>
      </c>
      <c r="P1373" s="27"/>
      <c r="Q1373" s="27"/>
      <c r="R1373" s="27"/>
      <c r="S1373" s="27"/>
      <c r="T1373" s="27"/>
      <c r="U1373" s="27"/>
      <c r="V1373" s="27"/>
      <c r="W1373" s="27"/>
      <c r="X1373" s="27"/>
      <c r="Y1373" s="27"/>
      <c r="Z1373" s="27"/>
    </row>
    <row r="1374" hidden="1" customHeight="1" spans="1:26">
      <c r="A1374" s="26">
        <v>452</v>
      </c>
      <c r="B1374" s="26">
        <v>90</v>
      </c>
      <c r="C1374" s="26" t="s">
        <v>801</v>
      </c>
      <c r="D1374" s="26" t="s">
        <v>2928</v>
      </c>
      <c r="E1374" s="26" t="s">
        <v>2893</v>
      </c>
      <c r="F1374" s="26" t="str">
        <f t="shared" si="0"/>
        <v>Philosophical Greek Origin</v>
      </c>
      <c r="G1374" s="26">
        <f t="shared" si="3"/>
        <v>8</v>
      </c>
      <c r="H1374" s="26" t="s">
        <v>4239</v>
      </c>
      <c r="I1374" s="26"/>
      <c r="J1374" s="26"/>
      <c r="K1374" s="26"/>
      <c r="L1374" s="26" t="str">
        <f t="shared" si="2"/>
        <v>D</v>
      </c>
      <c r="M1374" s="26" t="str">
        <f>IFERROR(__xludf.DUMMYFUNCTION("GOOGLETRANSLATE(C1374,""EN"",""KN"")"),"ಡಾಗ್ಮ್ಯಾಟಿಕ್")</f>
        <v>ಡಾಗ್ಮ್ಯಾಟಿಕ್</v>
      </c>
      <c r="N1374" s="26" t="str">
        <f t="array" ref="N1374">_xlfn.XLOOKUP(B1374,'Sets Progress'!I:I,'Sets Progress'!I:I,"NOT YET")</f>
        <v>NOT YET</v>
      </c>
      <c r="O1374" s="26" t="str">
        <f t="array" ref="O1374">_xlfn.XLOOKUP(L:L,'Overall Progress'!L:L,'Overall Progress'!L:L,"NOT YET")</f>
        <v>NOT YET</v>
      </c>
      <c r="P1374" s="26"/>
      <c r="Q1374" s="26"/>
      <c r="R1374" s="26"/>
      <c r="S1374" s="26"/>
      <c r="T1374" s="26"/>
      <c r="U1374" s="26"/>
      <c r="V1374" s="26"/>
      <c r="W1374" s="26"/>
      <c r="X1374" s="26"/>
      <c r="Y1374" s="26"/>
      <c r="Z1374" s="26"/>
    </row>
    <row r="1375" hidden="1" customHeight="1" spans="1:26">
      <c r="A1375" s="27">
        <v>539</v>
      </c>
      <c r="B1375" s="27">
        <v>90</v>
      </c>
      <c r="C1375" s="27" t="s">
        <v>885</v>
      </c>
      <c r="D1375" s="27" t="s">
        <v>2946</v>
      </c>
      <c r="E1375" s="27" t="s">
        <v>2893</v>
      </c>
      <c r="F1375" s="27" t="str">
        <f t="shared" si="0"/>
        <v>Emotional Greek Origin</v>
      </c>
      <c r="G1375" s="27">
        <f t="shared" si="3"/>
        <v>8</v>
      </c>
      <c r="H1375" s="27" t="s">
        <v>4240</v>
      </c>
      <c r="I1375" s="27"/>
      <c r="J1375" s="27"/>
      <c r="K1375" s="27"/>
      <c r="L1375" s="27" t="str">
        <f t="shared" si="2"/>
        <v>E</v>
      </c>
      <c r="M1375" s="27" t="str">
        <f>IFERROR(__xludf.DUMMYFUNCTION("GOOGLETRANSLATE(C1375,""EN"",""KN"")"),"ಯೂಫೋರಿಕ್")</f>
        <v>ಯೂಫೋರಿಕ್</v>
      </c>
      <c r="N1375" s="27" t="str">
        <f t="array" ref="N1375">_xlfn.XLOOKUP(B1375,'Sets Progress'!I:I,'Sets Progress'!I:I,"NOT YET")</f>
        <v>NOT YET</v>
      </c>
      <c r="O1375" s="27" t="str">
        <f t="array" ref="O1375">_xlfn.XLOOKUP(L:L,'Overall Progress'!L:L,'Overall Progress'!L:L,"NOT YET")</f>
        <v>NOT YET</v>
      </c>
      <c r="P1375" s="27"/>
      <c r="Q1375" s="27"/>
      <c r="R1375" s="27"/>
      <c r="S1375" s="27"/>
      <c r="T1375" s="27"/>
      <c r="U1375" s="27"/>
      <c r="V1375" s="27"/>
      <c r="W1375" s="27"/>
      <c r="X1375" s="27"/>
      <c r="Y1375" s="27"/>
      <c r="Z1375" s="27"/>
    </row>
    <row r="1376" customHeight="1" spans="1:26">
      <c r="A1376" s="26">
        <v>571</v>
      </c>
      <c r="B1376" s="26">
        <v>90</v>
      </c>
      <c r="C1376" s="26" t="s">
        <v>916</v>
      </c>
      <c r="D1376" s="26" t="s">
        <v>1721</v>
      </c>
      <c r="E1376" s="26" t="s">
        <v>2889</v>
      </c>
      <c r="F1376" s="26" t="str">
        <f t="shared" si="0"/>
        <v>Temporal Latin Origin</v>
      </c>
      <c r="G1376" s="26">
        <f t="shared" si="3"/>
        <v>5</v>
      </c>
      <c r="H1376" s="26"/>
      <c r="I1376" s="26"/>
      <c r="J1376" s="26"/>
      <c r="K1376" s="26"/>
      <c r="L1376" s="26" t="str">
        <f t="shared" si="2"/>
        <v>E</v>
      </c>
      <c r="M1376" s="26" t="str">
        <f>IFERROR(__xludf.DUMMYFUNCTION("GOOGLETRANSLATE(C1376,""EN"",""KN"")"),"ಎಕ್ಸ್ಟೋಲ್")</f>
        <v>ಎಕ್ಸ್ಟೋಲ್</v>
      </c>
      <c r="N1376" s="26" t="str">
        <f t="array" ref="N1376">_xlfn.XLOOKUP(B1376,'Sets Progress'!I:I,'Sets Progress'!I:I,"NOT YET")</f>
        <v>NOT YET</v>
      </c>
      <c r="O1376" s="26" t="str">
        <f t="array" ref="O1376">_xlfn.XLOOKUP(L:L,'Overall Progress'!L:L,'Overall Progress'!L:L,"NOT YET")</f>
        <v>NOT YET</v>
      </c>
      <c r="P1376" s="26"/>
      <c r="Q1376" s="26"/>
      <c r="R1376" s="26"/>
      <c r="S1376" s="26"/>
      <c r="T1376" s="26"/>
      <c r="U1376" s="26"/>
      <c r="V1376" s="26"/>
      <c r="W1376" s="26"/>
      <c r="X1376" s="26"/>
      <c r="Y1376" s="26"/>
      <c r="Z1376" s="26"/>
    </row>
    <row r="1377" hidden="1" customHeight="1" spans="1:26">
      <c r="A1377" s="27">
        <v>895</v>
      </c>
      <c r="B1377" s="27">
        <v>90</v>
      </c>
      <c r="C1377" s="27" t="s">
        <v>1232</v>
      </c>
      <c r="D1377" s="27" t="s">
        <v>1721</v>
      </c>
      <c r="E1377" s="27" t="s">
        <v>3298</v>
      </c>
      <c r="F1377" s="27" t="str">
        <f t="shared" si="0"/>
        <v>Temporal Arabic Origin</v>
      </c>
      <c r="G1377" s="27">
        <f t="shared" si="3"/>
        <v>4</v>
      </c>
      <c r="H1377" s="27" t="s">
        <v>4241</v>
      </c>
      <c r="I1377" s="27"/>
      <c r="J1377" s="27"/>
      <c r="K1377" s="27"/>
      <c r="L1377" s="27" t="str">
        <f t="shared" si="2"/>
        <v>M</v>
      </c>
      <c r="M1377" s="27" t="str">
        <f>IFERROR(__xludf.DUMMYFUNCTION("GOOGLETRANSLATE(C1377,""EN"",""KN"")"),"ಮುಖವಾಡ")</f>
        <v>ಮುಖವಾಡ</v>
      </c>
      <c r="N1377" s="27" t="str">
        <f t="array" ref="N1377">_xlfn.XLOOKUP(B1377,'Sets Progress'!I:I,'Sets Progress'!I:I,"NOT YET")</f>
        <v>NOT YET</v>
      </c>
      <c r="O1377" s="27" t="str">
        <f t="array" ref="O1377">_xlfn.XLOOKUP(L:L,'Overall Progress'!L:L,'Overall Progress'!L:L,"NOT YET")</f>
        <v>NOT YET</v>
      </c>
      <c r="P1377" s="27"/>
      <c r="Q1377" s="27"/>
      <c r="R1377" s="27"/>
      <c r="S1377" s="27"/>
      <c r="T1377" s="27"/>
      <c r="U1377" s="27"/>
      <c r="V1377" s="27"/>
      <c r="W1377" s="27"/>
      <c r="X1377" s="27"/>
      <c r="Y1377" s="27"/>
      <c r="Z1377" s="27"/>
    </row>
    <row r="1378" hidden="1" customHeight="1" spans="1:26">
      <c r="A1378" s="26">
        <v>1007</v>
      </c>
      <c r="B1378" s="26">
        <v>90</v>
      </c>
      <c r="C1378" s="26" t="s">
        <v>1342</v>
      </c>
      <c r="D1378" s="26" t="s">
        <v>1721</v>
      </c>
      <c r="E1378" s="26" t="s">
        <v>2889</v>
      </c>
      <c r="F1378" s="26" t="str">
        <f t="shared" si="0"/>
        <v>Temporal Latin Origin</v>
      </c>
      <c r="G1378" s="26">
        <f t="shared" si="3"/>
        <v>6</v>
      </c>
      <c r="H1378" s="26" t="s">
        <v>4242</v>
      </c>
      <c r="I1378" s="26"/>
      <c r="J1378" s="26"/>
      <c r="K1378" s="26"/>
      <c r="L1378" s="26" t="str">
        <f t="shared" si="2"/>
        <v>P</v>
      </c>
      <c r="M1378" s="26" t="str">
        <f>IFERROR(__xludf.DUMMYFUNCTION("GOOGLETRANSLATE(C1378,""EN"",""KN"")"),"ಸಮಾಧಾನಪಡಿಸು")</f>
        <v>ಸಮಾಧಾನಪಡಿಸು</v>
      </c>
      <c r="N1378" s="26" t="str">
        <f t="array" ref="N1378">_xlfn.XLOOKUP(B1378,'Sets Progress'!I:I,'Sets Progress'!I:I,"NOT YET")</f>
        <v>NOT YET</v>
      </c>
      <c r="O1378" s="26" t="str">
        <f t="array" ref="O1378">_xlfn.XLOOKUP(L:L,'Overall Progress'!L:L,'Overall Progress'!L:L,"NOT YET")</f>
        <v>NOT YET</v>
      </c>
      <c r="P1378" s="26"/>
      <c r="Q1378" s="26"/>
      <c r="R1378" s="26"/>
      <c r="S1378" s="26"/>
      <c r="T1378" s="26"/>
      <c r="U1378" s="26"/>
      <c r="V1378" s="26"/>
      <c r="W1378" s="26"/>
      <c r="X1378" s="26"/>
      <c r="Y1378" s="26"/>
      <c r="Z1378" s="26"/>
    </row>
    <row r="1379" hidden="1" customHeight="1" spans="1:26">
      <c r="A1379" s="27">
        <v>1060</v>
      </c>
      <c r="B1379" s="27">
        <v>90</v>
      </c>
      <c r="C1379" s="27" t="s">
        <v>1395</v>
      </c>
      <c r="D1379" s="27" t="s">
        <v>2716</v>
      </c>
      <c r="E1379" s="27" t="s">
        <v>2889</v>
      </c>
      <c r="F1379" s="27" t="str">
        <f t="shared" si="0"/>
        <v>Negative Traits Latin Origin</v>
      </c>
      <c r="G1379" s="27">
        <f t="shared" si="3"/>
        <v>8</v>
      </c>
      <c r="H1379" s="27" t="s">
        <v>4243</v>
      </c>
      <c r="I1379" s="27"/>
      <c r="J1379" s="27"/>
      <c r="K1379" s="27"/>
      <c r="L1379" s="27" t="str">
        <f t="shared" si="2"/>
        <v>P</v>
      </c>
      <c r="M1379" s="27" t="str">
        <f>IFERROR(__xludf.DUMMYFUNCTION("GOOGLETRANSLATE(C1379,""EN"",""KN"")"),"ಪೆಟ್ಯುಲಂಟ್")</f>
        <v>ಪೆಟ್ಯುಲಂಟ್</v>
      </c>
      <c r="N1379" s="27" t="str">
        <f t="array" ref="N1379">_xlfn.XLOOKUP(B1379,'Sets Progress'!I:I,'Sets Progress'!I:I,"NOT YET")</f>
        <v>NOT YET</v>
      </c>
      <c r="O1379" s="27" t="str">
        <f t="array" ref="O1379">_xlfn.XLOOKUP(L:L,'Overall Progress'!L:L,'Overall Progress'!L:L,"NOT YET")</f>
        <v>NOT YET</v>
      </c>
      <c r="P1379" s="27"/>
      <c r="Q1379" s="27"/>
      <c r="R1379" s="27"/>
      <c r="S1379" s="27"/>
      <c r="T1379" s="27"/>
      <c r="U1379" s="27"/>
      <c r="V1379" s="27"/>
      <c r="W1379" s="27"/>
      <c r="X1379" s="27"/>
      <c r="Y1379" s="27"/>
      <c r="Z1379" s="27"/>
    </row>
    <row r="1380" hidden="1" customHeight="1" spans="1:26">
      <c r="A1380" s="26">
        <v>1104</v>
      </c>
      <c r="B1380" s="26">
        <v>90</v>
      </c>
      <c r="C1380" s="26" t="s">
        <v>1438</v>
      </c>
      <c r="D1380" s="26" t="s">
        <v>1721</v>
      </c>
      <c r="E1380" s="26" t="s">
        <v>2889</v>
      </c>
      <c r="F1380" s="26" t="str">
        <f t="shared" si="0"/>
        <v>Temporal Latin Origin</v>
      </c>
      <c r="G1380" s="26">
        <f t="shared" si="3"/>
        <v>11</v>
      </c>
      <c r="H1380" s="26" t="s">
        <v>4244</v>
      </c>
      <c r="I1380" s="26"/>
      <c r="J1380" s="26"/>
      <c r="K1380" s="26"/>
      <c r="L1380" s="26" t="str">
        <f t="shared" si="2"/>
        <v>P</v>
      </c>
      <c r="M1380" s="26" t="str">
        <f>IFERROR(__xludf.DUMMYFUNCTION("GOOGLETRANSLATE(C1380,""EN"",""KN"")"),"ಪೂರ್ವಯೋಜಿತ")</f>
        <v>ಪೂರ್ವಯೋಜಿತ</v>
      </c>
      <c r="N1380" s="26" t="str">
        <f t="array" ref="N1380">_xlfn.XLOOKUP(B1380,'Sets Progress'!I:I,'Sets Progress'!I:I,"NOT YET")</f>
        <v>NOT YET</v>
      </c>
      <c r="O1380" s="26" t="str">
        <f t="array" ref="O1380">_xlfn.XLOOKUP(L:L,'Overall Progress'!L:L,'Overall Progress'!L:L,"NOT YET")</f>
        <v>NOT YET</v>
      </c>
      <c r="P1380" s="26"/>
      <c r="Q1380" s="26"/>
      <c r="R1380" s="26"/>
      <c r="S1380" s="26"/>
      <c r="T1380" s="26"/>
      <c r="U1380" s="26"/>
      <c r="V1380" s="26"/>
      <c r="W1380" s="26"/>
      <c r="X1380" s="26"/>
      <c r="Y1380" s="26"/>
      <c r="Z1380" s="26"/>
    </row>
    <row r="1381" customHeight="1" spans="1:26">
      <c r="A1381" s="27">
        <v>1178</v>
      </c>
      <c r="B1381" s="27">
        <v>90</v>
      </c>
      <c r="C1381" s="27" t="s">
        <v>1509</v>
      </c>
      <c r="D1381" s="27" t="s">
        <v>2717</v>
      </c>
      <c r="E1381" s="27" t="s">
        <v>2889</v>
      </c>
      <c r="F1381" s="27" t="str">
        <f t="shared" si="0"/>
        <v>Positive Traits Latin Origin</v>
      </c>
      <c r="G1381" s="27">
        <f t="shared" si="3"/>
        <v>9</v>
      </c>
      <c r="H1381" s="27"/>
      <c r="I1381" s="27"/>
      <c r="J1381" s="27"/>
      <c r="K1381" s="27"/>
      <c r="L1381" s="27" t="str">
        <f t="shared" si="2"/>
        <v>R</v>
      </c>
      <c r="M1381" s="27" t="str">
        <f>IFERROR(__xludf.DUMMYFUNCTION("GOOGLETRANSLATE(C1381,""EN"",""KN"")"),"ಸಮನ್ವಯಗೊಳಿಸು")</f>
        <v>ಸಮನ್ವಯಗೊಳಿಸು</v>
      </c>
      <c r="N1381" s="27" t="str">
        <f t="array" ref="N1381">_xlfn.XLOOKUP(B1381,'Sets Progress'!I:I,'Sets Progress'!I:I,"NOT YET")</f>
        <v>NOT YET</v>
      </c>
      <c r="O1381" s="27" t="str">
        <f t="array" ref="O1381">_xlfn.XLOOKUP(L:L,'Overall Progress'!L:L,'Overall Progress'!L:L,"NOT YET")</f>
        <v>NOT YET</v>
      </c>
      <c r="P1381" s="27"/>
      <c r="Q1381" s="27"/>
      <c r="R1381" s="27"/>
      <c r="S1381" s="27"/>
      <c r="T1381" s="27"/>
      <c r="U1381" s="27"/>
      <c r="V1381" s="27"/>
      <c r="W1381" s="27"/>
      <c r="X1381" s="27"/>
      <c r="Y1381" s="27"/>
      <c r="Z1381" s="27"/>
    </row>
    <row r="1382" customHeight="1" spans="1:26">
      <c r="A1382" s="26">
        <v>1261</v>
      </c>
      <c r="B1382" s="26">
        <v>90</v>
      </c>
      <c r="C1382" s="26" t="s">
        <v>1592</v>
      </c>
      <c r="D1382" s="26" t="s">
        <v>1721</v>
      </c>
      <c r="E1382" s="26" t="s">
        <v>2908</v>
      </c>
      <c r="F1382" s="26" t="str">
        <f t="shared" si="0"/>
        <v>Temporal Old English Origin</v>
      </c>
      <c r="G1382" s="26">
        <f t="shared" si="3"/>
        <v>10</v>
      </c>
      <c r="H1382" s="26"/>
      <c r="I1382" s="26"/>
      <c r="J1382" s="26"/>
      <c r="K1382" s="26"/>
      <c r="L1382" s="26" t="str">
        <f t="shared" si="2"/>
        <v>S</v>
      </c>
      <c r="M1382" s="26" t="str">
        <f>IFERROR(__xludf.DUMMYFUNCTION("GOOGLETRANSLATE(C1382,""EN"",""KN"")"),"ಸೆಕೆಂಡ್ ಹ್ಯಾಂಡ್")</f>
        <v>ಸೆಕೆಂಡ್ ಹ್ಯಾಂಡ್</v>
      </c>
      <c r="N1382" s="26" t="str">
        <f t="array" ref="N1382">_xlfn.XLOOKUP(B1382,'Sets Progress'!I:I,'Sets Progress'!I:I,"NOT YET")</f>
        <v>NOT YET</v>
      </c>
      <c r="O1382" s="26" t="str">
        <f t="array" ref="O1382">_xlfn.XLOOKUP(L:L,'Overall Progress'!L:L,'Overall Progress'!L:L,"NOT YET")</f>
        <v>NOT YET</v>
      </c>
      <c r="P1382" s="26"/>
      <c r="Q1382" s="26"/>
      <c r="R1382" s="26"/>
      <c r="S1382" s="26"/>
      <c r="T1382" s="26"/>
      <c r="U1382" s="26"/>
      <c r="V1382" s="26"/>
      <c r="W1382" s="26"/>
      <c r="X1382" s="26"/>
      <c r="Y1382" s="26"/>
      <c r="Z1382" s="26"/>
    </row>
    <row r="1383" customHeight="1" spans="1:26">
      <c r="A1383" s="27">
        <v>1280</v>
      </c>
      <c r="B1383" s="27">
        <v>90</v>
      </c>
      <c r="C1383" s="27" t="s">
        <v>1611</v>
      </c>
      <c r="D1383" s="27" t="s">
        <v>2716</v>
      </c>
      <c r="E1383" s="27" t="s">
        <v>2908</v>
      </c>
      <c r="F1383" s="27" t="str">
        <f t="shared" si="0"/>
        <v>Negative Traits Old English Origin</v>
      </c>
      <c r="G1383" s="27">
        <f t="shared" si="3"/>
        <v>6</v>
      </c>
      <c r="H1383" s="27"/>
      <c r="I1383" s="27"/>
      <c r="J1383" s="27"/>
      <c r="K1383" s="27"/>
      <c r="L1383" s="27" t="str">
        <f t="shared" si="2"/>
        <v>S</v>
      </c>
      <c r="M1383" s="27" t="str">
        <f>IFERROR(__xludf.DUMMYFUNCTION("GOOGLETRANSLATE(C1383,""EN"",""KN"")"),"ಶ್ರಿಲ್")</f>
        <v>ಶ್ರಿಲ್</v>
      </c>
      <c r="N1383" s="27" t="str">
        <f t="array" ref="N1383">_xlfn.XLOOKUP(B1383,'Sets Progress'!I:I,'Sets Progress'!I:I,"NOT YET")</f>
        <v>NOT YET</v>
      </c>
      <c r="O1383" s="27" t="str">
        <f t="array" ref="O1383">_xlfn.XLOOKUP(L:L,'Overall Progress'!L:L,'Overall Progress'!L:L,"NOT YET")</f>
        <v>NOT YET</v>
      </c>
      <c r="P1383" s="27"/>
      <c r="Q1383" s="27"/>
      <c r="R1383" s="27"/>
      <c r="S1383" s="27"/>
      <c r="T1383" s="27"/>
      <c r="U1383" s="27"/>
      <c r="V1383" s="27"/>
      <c r="W1383" s="27"/>
      <c r="X1383" s="27"/>
      <c r="Y1383" s="27"/>
      <c r="Z1383" s="27"/>
    </row>
    <row r="1384" hidden="1" customHeight="1" spans="1:26">
      <c r="A1384" s="26">
        <v>1312</v>
      </c>
      <c r="B1384" s="26">
        <v>90</v>
      </c>
      <c r="C1384" s="26" t="s">
        <v>1643</v>
      </c>
      <c r="D1384" s="26" t="s">
        <v>2716</v>
      </c>
      <c r="E1384" s="26" t="s">
        <v>2889</v>
      </c>
      <c r="F1384" s="26" t="str">
        <f t="shared" si="0"/>
        <v>Negative Traits Latin Origin</v>
      </c>
      <c r="G1384" s="26">
        <f t="shared" si="3"/>
        <v>8</v>
      </c>
      <c r="H1384" s="26" t="s">
        <v>4245</v>
      </c>
      <c r="I1384" s="26"/>
      <c r="J1384" s="26"/>
      <c r="K1384" s="26"/>
      <c r="L1384" s="26" t="str">
        <f t="shared" si="2"/>
        <v>S</v>
      </c>
      <c r="M1384" s="26" t="str">
        <f>IFERROR(__xludf.DUMMYFUNCTION("GOOGLETRANSLATE(C1384,""EN"",""KN"")"),"ವಿಶೇಷವಾದ")</f>
        <v>ವಿಶೇಷವಾದ</v>
      </c>
      <c r="N1384" s="26" t="str">
        <f t="array" ref="N1384">_xlfn.XLOOKUP(B1384,'Sets Progress'!I:I,'Sets Progress'!I:I,"NOT YET")</f>
        <v>NOT YET</v>
      </c>
      <c r="O1384" s="26" t="str">
        <f t="array" ref="O1384">_xlfn.XLOOKUP(L:L,'Overall Progress'!L:L,'Overall Progress'!L:L,"NOT YET")</f>
        <v>NOT YET</v>
      </c>
      <c r="P1384" s="26"/>
      <c r="Q1384" s="26"/>
      <c r="R1384" s="26"/>
      <c r="S1384" s="26"/>
      <c r="T1384" s="26"/>
      <c r="U1384" s="26"/>
      <c r="V1384" s="26"/>
      <c r="W1384" s="26"/>
      <c r="X1384" s="26"/>
      <c r="Y1384" s="26"/>
      <c r="Z1384" s="26"/>
    </row>
    <row r="1385" hidden="1" customHeight="1" spans="1:26">
      <c r="A1385" s="27">
        <v>1429</v>
      </c>
      <c r="B1385" s="27">
        <v>90</v>
      </c>
      <c r="C1385" s="27" t="s">
        <v>1758</v>
      </c>
      <c r="D1385" s="27" t="s">
        <v>2716</v>
      </c>
      <c r="E1385" s="27" t="s">
        <v>2889</v>
      </c>
      <c r="F1385" s="27" t="str">
        <f t="shared" si="0"/>
        <v>Negative Traits Latin Origin</v>
      </c>
      <c r="G1385" s="27">
        <f t="shared" si="3"/>
        <v>6</v>
      </c>
      <c r="H1385" s="27" t="s">
        <v>4246</v>
      </c>
      <c r="I1385" s="27"/>
      <c r="J1385" s="27"/>
      <c r="K1385" s="27"/>
      <c r="L1385" s="27" t="str">
        <f t="shared" si="2"/>
        <v>T</v>
      </c>
      <c r="M1385" s="27" t="str">
        <f>IFERROR(__xludf.DUMMYFUNCTION("GOOGLETRANSLATE(C1385,""EN"",""KN"")"),"ಪ್ರಕ್ಷುಬ್ಧ")</f>
        <v>ಪ್ರಕ್ಷುಬ್ಧ</v>
      </c>
      <c r="N1385" s="27" t="str">
        <f t="array" ref="N1385">_xlfn.XLOOKUP(B1385,'Sets Progress'!I:I,'Sets Progress'!I:I,"NOT YET")</f>
        <v>NOT YET</v>
      </c>
      <c r="O1385" s="27" t="str">
        <f t="array" ref="O1385">_xlfn.XLOOKUP(L:L,'Overall Progress'!L:L,'Overall Progress'!L:L,"NOT YET")</f>
        <v>NOT YET</v>
      </c>
      <c r="P1385" s="27"/>
      <c r="Q1385" s="27"/>
      <c r="R1385" s="27"/>
      <c r="S1385" s="27"/>
      <c r="T1385" s="27"/>
      <c r="U1385" s="27"/>
      <c r="V1385" s="27"/>
      <c r="W1385" s="27"/>
      <c r="X1385" s="27"/>
      <c r="Y1385" s="27"/>
      <c r="Z1385" s="27"/>
    </row>
    <row r="1386" hidden="1" customHeight="1" spans="1:26">
      <c r="A1386" s="26">
        <v>39</v>
      </c>
      <c r="B1386" s="26">
        <v>91</v>
      </c>
      <c r="C1386" s="26" t="s">
        <v>395</v>
      </c>
      <c r="D1386" s="26" t="s">
        <v>2716</v>
      </c>
      <c r="E1386" s="26" t="s">
        <v>2889</v>
      </c>
      <c r="F1386" s="26" t="str">
        <f t="shared" si="0"/>
        <v>Negative Traits Latin Origin</v>
      </c>
      <c r="G1386" s="26">
        <f t="shared" si="3"/>
        <v>10</v>
      </c>
      <c r="H1386" s="26" t="s">
        <v>4247</v>
      </c>
      <c r="I1386" s="26"/>
      <c r="J1386" s="26"/>
      <c r="K1386" s="26"/>
      <c r="L1386" s="26" t="str">
        <f t="shared" si="2"/>
        <v>A</v>
      </c>
      <c r="M1386" s="26" t="str">
        <f>IFERROR(__xludf.DUMMYFUNCTION("GOOGLETRANSLATE(C1386,""EN"",""KN"")"),"ವ್ಯಭಿಚಾರ")</f>
        <v>ವ್ಯಭಿಚಾರ</v>
      </c>
      <c r="N1386" s="26" t="str">
        <f t="array" ref="N1386">_xlfn.XLOOKUP(B1386,'Sets Progress'!I:I,'Sets Progress'!I:I,"NOT YET")</f>
        <v>NOT YET</v>
      </c>
      <c r="O1386" s="26" t="str">
        <f t="array" ref="O1386">_xlfn.XLOOKUP(L:L,'Overall Progress'!L:L,'Overall Progress'!L:L,"NOT YET")</f>
        <v>NOT YET</v>
      </c>
      <c r="P1386" s="26"/>
      <c r="Q1386" s="26"/>
      <c r="R1386" s="26"/>
      <c r="S1386" s="26"/>
      <c r="T1386" s="26"/>
      <c r="U1386" s="26"/>
      <c r="V1386" s="26"/>
      <c r="W1386" s="26"/>
      <c r="X1386" s="26"/>
      <c r="Y1386" s="26"/>
      <c r="Z1386" s="26"/>
    </row>
    <row r="1387" hidden="1" customHeight="1" spans="1:26">
      <c r="A1387" s="27">
        <v>104</v>
      </c>
      <c r="B1387" s="27">
        <v>91</v>
      </c>
      <c r="C1387" s="27" t="s">
        <v>455</v>
      </c>
      <c r="D1387" s="27" t="s">
        <v>2946</v>
      </c>
      <c r="E1387" s="27" t="s">
        <v>2889</v>
      </c>
      <c r="F1387" s="27" t="str">
        <f t="shared" si="0"/>
        <v>Emotional Latin Origin</v>
      </c>
      <c r="G1387" s="27">
        <f t="shared" si="3"/>
        <v>6</v>
      </c>
      <c r="H1387" s="27" t="s">
        <v>4248</v>
      </c>
      <c r="I1387" s="27"/>
      <c r="J1387" s="27"/>
      <c r="K1387" s="27"/>
      <c r="L1387" s="27" t="str">
        <f t="shared" si="2"/>
        <v>A</v>
      </c>
      <c r="M1387" s="27" t="str">
        <f>IFERROR(__xludf.DUMMYFUNCTION("GOOGLETRANSLATE(C1387,""EN"",""KN"")"),"ಆರ್ಡೆಂಟ್")</f>
        <v>ಆರ್ಡೆಂಟ್</v>
      </c>
      <c r="N1387" s="27" t="str">
        <f t="array" ref="N1387">_xlfn.XLOOKUP(B1387,'Sets Progress'!I:I,'Sets Progress'!I:I,"NOT YET")</f>
        <v>NOT YET</v>
      </c>
      <c r="O1387" s="27" t="str">
        <f t="array" ref="O1387">_xlfn.XLOOKUP(L:L,'Overall Progress'!L:L,'Overall Progress'!L:L,"NOT YET")</f>
        <v>NOT YET</v>
      </c>
      <c r="P1387" s="27"/>
      <c r="Q1387" s="27"/>
      <c r="R1387" s="27"/>
      <c r="S1387" s="27"/>
      <c r="T1387" s="27"/>
      <c r="U1387" s="27"/>
      <c r="V1387" s="27"/>
      <c r="W1387" s="27"/>
      <c r="X1387" s="27"/>
      <c r="Y1387" s="27"/>
      <c r="Z1387" s="27"/>
    </row>
    <row r="1388" hidden="1" customHeight="1" spans="1:26">
      <c r="A1388" s="26">
        <v>377</v>
      </c>
      <c r="B1388" s="26">
        <v>91</v>
      </c>
      <c r="C1388" s="26" t="s">
        <v>727</v>
      </c>
      <c r="D1388" s="26" t="s">
        <v>2716</v>
      </c>
      <c r="E1388" s="26" t="s">
        <v>2889</v>
      </c>
      <c r="F1388" s="26" t="str">
        <f t="shared" si="0"/>
        <v>Negative Traits Latin Origin</v>
      </c>
      <c r="G1388" s="26">
        <f t="shared" si="3"/>
        <v>6</v>
      </c>
      <c r="H1388" s="26" t="s">
        <v>4249</v>
      </c>
      <c r="I1388" s="26"/>
      <c r="J1388" s="26"/>
      <c r="K1388" s="26"/>
      <c r="L1388" s="26" t="str">
        <f t="shared" si="2"/>
        <v>D</v>
      </c>
      <c r="M1388" s="26" t="str">
        <f>IFERROR(__xludf.DUMMYFUNCTION("GOOGLETRANSLATE(C1388,""EN"",""KN"")"),"ಡೆರಿಡ್")</f>
        <v>ಡೆರಿಡ್</v>
      </c>
      <c r="N1388" s="26" t="str">
        <f t="array" ref="N1388">_xlfn.XLOOKUP(B1388,'Sets Progress'!I:I,'Sets Progress'!I:I,"NOT YET")</f>
        <v>NOT YET</v>
      </c>
      <c r="O1388" s="26" t="str">
        <f t="array" ref="O1388">_xlfn.XLOOKUP(L:L,'Overall Progress'!L:L,'Overall Progress'!L:L,"NOT YET")</f>
        <v>NOT YET</v>
      </c>
      <c r="P1388" s="26"/>
      <c r="Q1388" s="26"/>
      <c r="R1388" s="26"/>
      <c r="S1388" s="26"/>
      <c r="T1388" s="26"/>
      <c r="U1388" s="26"/>
      <c r="V1388" s="26"/>
      <c r="W1388" s="26"/>
      <c r="X1388" s="26"/>
      <c r="Y1388" s="26"/>
      <c r="Z1388" s="26"/>
    </row>
    <row r="1389" customHeight="1" spans="1:26">
      <c r="A1389" s="27">
        <v>379</v>
      </c>
      <c r="B1389" s="27">
        <v>91</v>
      </c>
      <c r="C1389" s="27" t="s">
        <v>729</v>
      </c>
      <c r="D1389" s="27" t="s">
        <v>1721</v>
      </c>
      <c r="E1389" s="27" t="s">
        <v>2889</v>
      </c>
      <c r="F1389" s="27" t="str">
        <f t="shared" si="0"/>
        <v>Temporal Latin Origin</v>
      </c>
      <c r="G1389" s="27">
        <f t="shared" si="3"/>
        <v>9</v>
      </c>
      <c r="H1389" s="27"/>
      <c r="I1389" s="27"/>
      <c r="J1389" s="27"/>
      <c r="K1389" s="27"/>
      <c r="L1389" s="27" t="str">
        <f t="shared" si="2"/>
        <v>D</v>
      </c>
      <c r="M1389" s="27" t="str">
        <f>IFERROR(__xludf.DUMMYFUNCTION("GOOGLETRANSLATE(C1389,""EN"",""KN"")"),"ಡೆಸಿಕೇಟ್")</f>
        <v>ಡೆಸಿಕೇಟ್</v>
      </c>
      <c r="N1389" s="27" t="str">
        <f t="array" ref="N1389">_xlfn.XLOOKUP(B1389,'Sets Progress'!I:I,'Sets Progress'!I:I,"NOT YET")</f>
        <v>NOT YET</v>
      </c>
      <c r="O1389" s="27" t="str">
        <f t="array" ref="O1389">_xlfn.XLOOKUP(L:L,'Overall Progress'!L:L,'Overall Progress'!L:L,"NOT YET")</f>
        <v>NOT YET</v>
      </c>
      <c r="P1389" s="27"/>
      <c r="Q1389" s="27"/>
      <c r="R1389" s="27"/>
      <c r="S1389" s="27"/>
      <c r="T1389" s="27"/>
      <c r="U1389" s="27"/>
      <c r="V1389" s="27"/>
      <c r="W1389" s="27"/>
      <c r="X1389" s="27"/>
      <c r="Y1389" s="27"/>
      <c r="Z1389" s="27"/>
    </row>
    <row r="1390" customHeight="1" spans="1:26">
      <c r="A1390" s="26">
        <v>616</v>
      </c>
      <c r="B1390" s="26">
        <v>91</v>
      </c>
      <c r="C1390" s="26" t="s">
        <v>960</v>
      </c>
      <c r="D1390" s="26" t="s">
        <v>1721</v>
      </c>
      <c r="E1390" s="26" t="s">
        <v>2889</v>
      </c>
      <c r="F1390" s="26" t="str">
        <f t="shared" si="0"/>
        <v>Temporal Latin Origin</v>
      </c>
      <c r="G1390" s="26">
        <f t="shared" si="3"/>
        <v>6</v>
      </c>
      <c r="H1390" s="26"/>
      <c r="I1390" s="26"/>
      <c r="J1390" s="26"/>
      <c r="K1390" s="26"/>
      <c r="L1390" s="26" t="str">
        <f t="shared" si="2"/>
        <v>F</v>
      </c>
      <c r="M1390" s="26" t="str">
        <f>IFERROR(__xludf.DUMMYFUNCTION("GOOGLETRANSLATE(C1390,""EN"",""KN"")"),"ಫೋಮೆಂಟ್")</f>
        <v>ಫೋಮೆಂಟ್</v>
      </c>
      <c r="N1390" s="26" t="str">
        <f t="array" ref="N1390">_xlfn.XLOOKUP(B1390,'Sets Progress'!I:I,'Sets Progress'!I:I,"NOT YET")</f>
        <v>NOT YET</v>
      </c>
      <c r="O1390" s="26" t="str">
        <f t="array" ref="O1390">_xlfn.XLOOKUP(L:L,'Overall Progress'!L:L,'Overall Progress'!L:L,"NOT YET")</f>
        <v>NOT YET</v>
      </c>
      <c r="P1390" s="26"/>
      <c r="Q1390" s="26"/>
      <c r="R1390" s="26"/>
      <c r="S1390" s="26"/>
      <c r="T1390" s="26"/>
      <c r="U1390" s="26"/>
      <c r="V1390" s="26"/>
      <c r="W1390" s="26"/>
      <c r="X1390" s="26"/>
      <c r="Y1390" s="26"/>
      <c r="Z1390" s="26"/>
    </row>
    <row r="1391" customHeight="1" spans="1:26">
      <c r="A1391" s="27">
        <v>638</v>
      </c>
      <c r="B1391" s="27">
        <v>91</v>
      </c>
      <c r="C1391" s="27" t="s">
        <v>982</v>
      </c>
      <c r="D1391" s="27" t="s">
        <v>2717</v>
      </c>
      <c r="E1391" s="27" t="s">
        <v>2908</v>
      </c>
      <c r="F1391" s="27" t="str">
        <f t="shared" si="0"/>
        <v>Positive Traits Old English Origin</v>
      </c>
      <c r="G1391" s="27">
        <f t="shared" si="3"/>
        <v>8</v>
      </c>
      <c r="H1391" s="27"/>
      <c r="I1391" s="27"/>
      <c r="J1391" s="27"/>
      <c r="K1391" s="27"/>
      <c r="L1391" s="27" t="str">
        <f t="shared" si="2"/>
        <v>F</v>
      </c>
      <c r="M1391" s="27" t="str">
        <f>IFERROR(__xludf.DUMMYFUNCTION("GOOGLETRANSLATE(C1391,""EN"",""KN"")"),"ಫಲಪ್ರದ")</f>
        <v>ಫಲಪ್ರದ</v>
      </c>
      <c r="N1391" s="27" t="str">
        <f t="array" ref="N1391">_xlfn.XLOOKUP(B1391,'Sets Progress'!I:I,'Sets Progress'!I:I,"NOT YET")</f>
        <v>NOT YET</v>
      </c>
      <c r="O1391" s="27" t="str">
        <f t="array" ref="O1391">_xlfn.XLOOKUP(L:L,'Overall Progress'!L:L,'Overall Progress'!L:L,"NOT YET")</f>
        <v>NOT YET</v>
      </c>
      <c r="P1391" s="27"/>
      <c r="Q1391" s="27"/>
      <c r="R1391" s="27"/>
      <c r="S1391" s="27"/>
      <c r="T1391" s="27"/>
      <c r="U1391" s="27"/>
      <c r="V1391" s="27"/>
      <c r="W1391" s="27"/>
      <c r="X1391" s="27"/>
      <c r="Y1391" s="27"/>
      <c r="Z1391" s="27"/>
    </row>
    <row r="1392" hidden="1" customHeight="1" spans="1:26">
      <c r="A1392" s="26">
        <v>648</v>
      </c>
      <c r="B1392" s="26">
        <v>91</v>
      </c>
      <c r="C1392" s="26" t="s">
        <v>166</v>
      </c>
      <c r="D1392" s="26" t="s">
        <v>1638</v>
      </c>
      <c r="E1392" s="26" t="s">
        <v>2889</v>
      </c>
      <c r="F1392" s="26" t="str">
        <f t="shared" si="0"/>
        <v>Sound Latin Origin</v>
      </c>
      <c r="G1392" s="26">
        <f t="shared" si="3"/>
        <v>9</v>
      </c>
      <c r="H1392" s="26" t="s">
        <v>4250</v>
      </c>
      <c r="I1392" s="26"/>
      <c r="J1392" s="26"/>
      <c r="K1392" s="26"/>
      <c r="L1392" s="26" t="str">
        <f t="shared" si="2"/>
        <v>G</v>
      </c>
      <c r="M1392" s="26" t="str">
        <f>IFERROR(__xludf.DUMMYFUNCTION("GOOGLETRANSLATE(C1392,""EN"",""KN"")"),"ಗಾರ್ರುಲಸ್")</f>
        <v>ಗಾರ್ರುಲಸ್</v>
      </c>
      <c r="N1392" s="26" t="str">
        <f t="array" ref="N1392">_xlfn.XLOOKUP(B1392,'Sets Progress'!I:I,'Sets Progress'!I:I,"NOT YET")</f>
        <v>NOT YET</v>
      </c>
      <c r="O1392" s="26" t="str">
        <f t="array" ref="O1392">_xlfn.XLOOKUP(L:L,'Overall Progress'!L:L,'Overall Progress'!L:L,"NOT YET")</f>
        <v>NOT YET</v>
      </c>
      <c r="P1392" s="26"/>
      <c r="Q1392" s="26"/>
      <c r="R1392" s="26"/>
      <c r="S1392" s="26"/>
      <c r="T1392" s="26"/>
      <c r="U1392" s="26"/>
      <c r="V1392" s="26"/>
      <c r="W1392" s="26"/>
      <c r="X1392" s="26"/>
      <c r="Y1392" s="26"/>
      <c r="Z1392" s="26"/>
    </row>
    <row r="1393" customHeight="1" spans="1:26">
      <c r="A1393" s="27">
        <v>747</v>
      </c>
      <c r="B1393" s="27">
        <v>91</v>
      </c>
      <c r="C1393" s="27" t="s">
        <v>1088</v>
      </c>
      <c r="D1393" s="27" t="s">
        <v>1721</v>
      </c>
      <c r="E1393" s="27" t="s">
        <v>2889</v>
      </c>
      <c r="F1393" s="27" t="str">
        <f t="shared" si="0"/>
        <v>Temporal Latin Origin</v>
      </c>
      <c r="G1393" s="27">
        <f t="shared" si="3"/>
        <v>10</v>
      </c>
      <c r="H1393" s="27"/>
      <c r="I1393" s="27"/>
      <c r="J1393" s="27"/>
      <c r="K1393" s="27"/>
      <c r="L1393" s="27" t="str">
        <f t="shared" si="2"/>
        <v>I</v>
      </c>
      <c r="M1393" s="27" t="str">
        <f>IFERROR(__xludf.DUMMYFUNCTION("GOOGLETRANSLATE(C1393,""EN"",""KN"")"),"ಪ್ರಚೋದನೆ")</f>
        <v>ಪ್ರಚೋದನೆ</v>
      </c>
      <c r="N1393" s="27" t="str">
        <f t="array" ref="N1393">_xlfn.XLOOKUP(B1393,'Sets Progress'!I:I,'Sets Progress'!I:I,"NOT YET")</f>
        <v>NOT YET</v>
      </c>
      <c r="O1393" s="27" t="str">
        <f t="array" ref="O1393">_xlfn.XLOOKUP(L:L,'Overall Progress'!L:L,'Overall Progress'!L:L,"NOT YET")</f>
        <v>NOT YET</v>
      </c>
      <c r="P1393" s="27"/>
      <c r="Q1393" s="27"/>
      <c r="R1393" s="27"/>
      <c r="S1393" s="27"/>
      <c r="T1393" s="27"/>
      <c r="U1393" s="27"/>
      <c r="V1393" s="27"/>
      <c r="W1393" s="27"/>
      <c r="X1393" s="27"/>
      <c r="Y1393" s="27"/>
      <c r="Z1393" s="27"/>
    </row>
    <row r="1394" customHeight="1" spans="1:26">
      <c r="A1394" s="26">
        <v>807</v>
      </c>
      <c r="B1394" s="26">
        <v>91</v>
      </c>
      <c r="C1394" s="26" t="s">
        <v>1147</v>
      </c>
      <c r="D1394" s="26" t="s">
        <v>1721</v>
      </c>
      <c r="E1394" s="26" t="s">
        <v>2889</v>
      </c>
      <c r="F1394" s="26" t="str">
        <f t="shared" si="0"/>
        <v>Temporal Latin Origin</v>
      </c>
      <c r="G1394" s="26">
        <f t="shared" si="3"/>
        <v>11</v>
      </c>
      <c r="H1394" s="26"/>
      <c r="I1394" s="26"/>
      <c r="J1394" s="26"/>
      <c r="K1394" s="26"/>
      <c r="L1394" s="26" t="str">
        <f t="shared" si="2"/>
        <v>I</v>
      </c>
      <c r="M1394" s="26" t="str">
        <f>IFERROR(__xludf.DUMMYFUNCTION("GOOGLETRANSLATE(C1394,""EN"",""KN"")"),"ಹೆಣೆದುಕೊಂಡಿದೆ")</f>
        <v>ಹೆಣೆದುಕೊಂಡಿದೆ</v>
      </c>
      <c r="N1394" s="26" t="str">
        <f t="array" ref="N1394">_xlfn.XLOOKUP(B1394,'Sets Progress'!I:I,'Sets Progress'!I:I,"NOT YET")</f>
        <v>NOT YET</v>
      </c>
      <c r="O1394" s="26" t="str">
        <f t="array" ref="O1394">_xlfn.XLOOKUP(L:L,'Overall Progress'!L:L,'Overall Progress'!L:L,"NOT YET")</f>
        <v>NOT YET</v>
      </c>
      <c r="P1394" s="26"/>
      <c r="Q1394" s="26"/>
      <c r="R1394" s="26"/>
      <c r="S1394" s="26"/>
      <c r="T1394" s="26"/>
      <c r="U1394" s="26"/>
      <c r="V1394" s="26"/>
      <c r="W1394" s="26"/>
      <c r="X1394" s="26"/>
      <c r="Y1394" s="26"/>
      <c r="Z1394" s="26"/>
    </row>
    <row r="1395" hidden="1" customHeight="1" spans="1:26">
      <c r="A1395" s="27">
        <v>1020</v>
      </c>
      <c r="B1395" s="27">
        <v>91</v>
      </c>
      <c r="C1395" s="27" t="s">
        <v>1355</v>
      </c>
      <c r="D1395" s="27" t="s">
        <v>1721</v>
      </c>
      <c r="E1395" s="27" t="s">
        <v>2889</v>
      </c>
      <c r="F1395" s="27" t="str">
        <f t="shared" si="0"/>
        <v>Temporal Latin Origin</v>
      </c>
      <c r="G1395" s="27">
        <f t="shared" si="3"/>
        <v>10</v>
      </c>
      <c r="H1395" s="27" t="s">
        <v>4251</v>
      </c>
      <c r="I1395" s="27"/>
      <c r="J1395" s="27"/>
      <c r="K1395" s="27"/>
      <c r="L1395" s="27" t="str">
        <f t="shared" si="2"/>
        <v>P</v>
      </c>
      <c r="M1395" s="27" t="str">
        <f>IFERROR(__xludf.DUMMYFUNCTION("GOOGLETRANSLATE(C1395,""EN"",""KN"")"),"ಪಕ್ಷಪಾತ")</f>
        <v>ಪಕ್ಷಪಾತ</v>
      </c>
      <c r="N1395" s="27" t="str">
        <f t="array" ref="N1395">_xlfn.XLOOKUP(B1395,'Sets Progress'!I:I,'Sets Progress'!I:I,"NOT YET")</f>
        <v>NOT YET</v>
      </c>
      <c r="O1395" s="27" t="str">
        <f t="array" ref="O1395">_xlfn.XLOOKUP(L:L,'Overall Progress'!L:L,'Overall Progress'!L:L,"NOT YET")</f>
        <v>NOT YET</v>
      </c>
      <c r="P1395" s="27"/>
      <c r="Q1395" s="27"/>
      <c r="R1395" s="27"/>
      <c r="S1395" s="27"/>
      <c r="T1395" s="27"/>
      <c r="U1395" s="27"/>
      <c r="V1395" s="27"/>
      <c r="W1395" s="27"/>
      <c r="X1395" s="27"/>
      <c r="Y1395" s="27"/>
      <c r="Z1395" s="27"/>
    </row>
    <row r="1396" hidden="1" customHeight="1" spans="1:26">
      <c r="A1396" s="26">
        <v>1145</v>
      </c>
      <c r="B1396" s="26">
        <v>91</v>
      </c>
      <c r="C1396" s="26" t="s">
        <v>1477</v>
      </c>
      <c r="D1396" s="26" t="s">
        <v>2717</v>
      </c>
      <c r="E1396" s="26" t="s">
        <v>2896</v>
      </c>
      <c r="F1396" s="26" t="str">
        <f t="shared" si="0"/>
        <v>Positive Traits Old French Origin</v>
      </c>
      <c r="G1396" s="26">
        <f t="shared" si="3"/>
        <v>7</v>
      </c>
      <c r="H1396" s="26" t="s">
        <v>4252</v>
      </c>
      <c r="I1396" s="26"/>
      <c r="J1396" s="26"/>
      <c r="K1396" s="26"/>
      <c r="L1396" s="26" t="str">
        <f t="shared" si="2"/>
        <v>P</v>
      </c>
      <c r="M1396" s="26" t="str">
        <f>IFERROR(__xludf.DUMMYFUNCTION("GOOGLETRANSLATE(C1396,""EN"",""KN"")"),"ಪರಾಕ್ರಮ")</f>
        <v>ಪರಾಕ್ರಮ</v>
      </c>
      <c r="N1396" s="26" t="str">
        <f t="array" ref="N1396">_xlfn.XLOOKUP(B1396,'Sets Progress'!I:I,'Sets Progress'!I:I,"NOT YET")</f>
        <v>NOT YET</v>
      </c>
      <c r="O1396" s="26" t="str">
        <f t="array" ref="O1396">_xlfn.XLOOKUP(L:L,'Overall Progress'!L:L,'Overall Progress'!L:L,"NOT YET")</f>
        <v>NOT YET</v>
      </c>
      <c r="P1396" s="26"/>
      <c r="Q1396" s="26"/>
      <c r="R1396" s="26"/>
      <c r="S1396" s="26"/>
      <c r="T1396" s="26"/>
      <c r="U1396" s="26"/>
      <c r="V1396" s="26"/>
      <c r="W1396" s="26"/>
      <c r="X1396" s="26"/>
      <c r="Y1396" s="26"/>
      <c r="Z1396" s="26"/>
    </row>
    <row r="1397" hidden="1" customHeight="1" spans="1:26">
      <c r="A1397" s="27">
        <v>1328</v>
      </c>
      <c r="B1397" s="27">
        <v>91</v>
      </c>
      <c r="C1397" s="27" t="s">
        <v>1659</v>
      </c>
      <c r="D1397" s="27" t="s">
        <v>2717</v>
      </c>
      <c r="E1397" s="27" t="s">
        <v>2889</v>
      </c>
      <c r="F1397" s="27" t="str">
        <f t="shared" si="0"/>
        <v>Positive Traits Latin Origin</v>
      </c>
      <c r="G1397" s="27">
        <f t="shared" si="3"/>
        <v>9</v>
      </c>
      <c r="H1397" s="27" t="s">
        <v>4253</v>
      </c>
      <c r="I1397" s="27"/>
      <c r="J1397" s="27"/>
      <c r="K1397" s="27"/>
      <c r="L1397" s="27" t="str">
        <f t="shared" si="2"/>
        <v>S</v>
      </c>
      <c r="M1397" s="27" t="str">
        <f>IFERROR(__xludf.DUMMYFUNCTION("GOOGLETRANSLATE(C1397,""EN"",""KN"")"),"ಪ್ರಚೋದಿಸಿ")</f>
        <v>ಪ್ರಚೋದಿಸಿ</v>
      </c>
      <c r="N1397" s="27" t="str">
        <f t="array" ref="N1397">_xlfn.XLOOKUP(B1397,'Sets Progress'!I:I,'Sets Progress'!I:I,"NOT YET")</f>
        <v>NOT YET</v>
      </c>
      <c r="O1397" s="27" t="str">
        <f t="array" ref="O1397">_xlfn.XLOOKUP(L:L,'Overall Progress'!L:L,'Overall Progress'!L:L,"NOT YET")</f>
        <v>NOT YET</v>
      </c>
      <c r="P1397" s="27"/>
      <c r="Q1397" s="27"/>
      <c r="R1397" s="27"/>
      <c r="S1397" s="27"/>
      <c r="T1397" s="27"/>
      <c r="U1397" s="27"/>
      <c r="V1397" s="27"/>
      <c r="W1397" s="27"/>
      <c r="X1397" s="27"/>
      <c r="Y1397" s="27"/>
      <c r="Z1397" s="27"/>
    </row>
    <row r="1398" hidden="1" customHeight="1" spans="1:26">
      <c r="A1398" s="26">
        <v>1349</v>
      </c>
      <c r="B1398" s="26">
        <v>91</v>
      </c>
      <c r="C1398" s="26" t="s">
        <v>1680</v>
      </c>
      <c r="D1398" s="26" t="s">
        <v>2716</v>
      </c>
      <c r="E1398" s="26" t="s">
        <v>2889</v>
      </c>
      <c r="F1398" s="26" t="str">
        <f t="shared" si="0"/>
        <v>Negative Traits Latin Origin</v>
      </c>
      <c r="G1398" s="26">
        <f t="shared" si="3"/>
        <v>11</v>
      </c>
      <c r="H1398" s="26" t="s">
        <v>4254</v>
      </c>
      <c r="I1398" s="26"/>
      <c r="J1398" s="26"/>
      <c r="K1398" s="26"/>
      <c r="L1398" s="26" t="str">
        <f t="shared" si="2"/>
        <v>S</v>
      </c>
      <c r="M1398" s="26" t="str">
        <f>IFERROR(__xludf.DUMMYFUNCTION("GOOGLETRANSLATE(C1398,""EN"",""KN"")"),"ಮೇಲ್ನೋಟದ")</f>
        <v>ಮೇಲ್ನೋಟದ</v>
      </c>
      <c r="N1398" s="26" t="str">
        <f t="array" ref="N1398">_xlfn.XLOOKUP(B1398,'Sets Progress'!I:I,'Sets Progress'!I:I,"NOT YET")</f>
        <v>NOT YET</v>
      </c>
      <c r="O1398" s="26" t="str">
        <f t="array" ref="O1398">_xlfn.XLOOKUP(L:L,'Overall Progress'!L:L,'Overall Progress'!L:L,"NOT YET")</f>
        <v>NOT YET</v>
      </c>
      <c r="P1398" s="26"/>
      <c r="Q1398" s="26"/>
      <c r="R1398" s="26"/>
      <c r="S1398" s="26"/>
      <c r="T1398" s="26"/>
      <c r="U1398" s="26"/>
      <c r="V1398" s="26"/>
      <c r="W1398" s="26"/>
      <c r="X1398" s="26"/>
      <c r="Y1398" s="26"/>
      <c r="Z1398" s="26"/>
    </row>
    <row r="1399" hidden="1" customHeight="1" spans="1:26">
      <c r="A1399" s="27">
        <v>1451</v>
      </c>
      <c r="B1399" s="27">
        <v>91</v>
      </c>
      <c r="C1399" s="27" t="s">
        <v>1779</v>
      </c>
      <c r="D1399" s="27" t="s">
        <v>1721</v>
      </c>
      <c r="E1399" s="27" t="s">
        <v>2908</v>
      </c>
      <c r="F1399" s="27" t="str">
        <f t="shared" si="0"/>
        <v>Temporal Old English Origin</v>
      </c>
      <c r="G1399" s="27">
        <f t="shared" si="3"/>
        <v>11</v>
      </c>
      <c r="H1399" s="27" t="s">
        <v>4255</v>
      </c>
      <c r="I1399" s="27"/>
      <c r="J1399" s="27"/>
      <c r="K1399" s="27"/>
      <c r="L1399" s="27" t="str">
        <f t="shared" si="2"/>
        <v>U</v>
      </c>
      <c r="M1399" s="27" t="str">
        <f>IFERROR(__xludf.DUMMYFUNCTION("GOOGLETRANSLATE(C1399,""EN"",""KN"")"),"ಕಡಿಮೆ ವರದಿ ಮಾಡಿ")</f>
        <v>ಕಡಿಮೆ ವರದಿ ಮಾಡಿ</v>
      </c>
      <c r="N1399" s="27" t="str">
        <f t="array" ref="N1399">_xlfn.XLOOKUP(B1399,'Sets Progress'!I:I,'Sets Progress'!I:I,"NOT YET")</f>
        <v>NOT YET</v>
      </c>
      <c r="O1399" s="27" t="str">
        <f t="array" ref="O1399">_xlfn.XLOOKUP(L:L,'Overall Progress'!L:L,'Overall Progress'!L:L,"NOT YET")</f>
        <v>NOT YET</v>
      </c>
      <c r="P1399" s="27"/>
      <c r="Q1399" s="27"/>
      <c r="R1399" s="27"/>
      <c r="S1399" s="27"/>
      <c r="T1399" s="27"/>
      <c r="U1399" s="27"/>
      <c r="V1399" s="27"/>
      <c r="W1399" s="27"/>
      <c r="X1399" s="27"/>
      <c r="Y1399" s="27"/>
      <c r="Z1399" s="27"/>
    </row>
    <row r="1400" hidden="1" customHeight="1" spans="1:26">
      <c r="A1400" s="26">
        <v>74</v>
      </c>
      <c r="B1400" s="26">
        <v>92</v>
      </c>
      <c r="C1400" s="26" t="s">
        <v>426</v>
      </c>
      <c r="D1400" s="26" t="s">
        <v>2928</v>
      </c>
      <c r="E1400" s="26" t="s">
        <v>2889</v>
      </c>
      <c r="F1400" s="26" t="str">
        <f t="shared" si="0"/>
        <v>Philosophical Latin Origin</v>
      </c>
      <c r="G1400" s="26">
        <f t="shared" si="3"/>
        <v>9</v>
      </c>
      <c r="H1400" s="26" t="s">
        <v>4256</v>
      </c>
      <c r="I1400" s="26"/>
      <c r="J1400" s="26"/>
      <c r="K1400" s="26"/>
      <c r="L1400" s="26" t="str">
        <f t="shared" si="2"/>
        <v>A</v>
      </c>
      <c r="M1400" s="26" t="str">
        <f>IFERROR(__xludf.DUMMYFUNCTION("GOOGLETRANSLATE(C1400,""EN"",""KN"")"),"ಸದೃಶ")</f>
        <v>ಸದೃಶ</v>
      </c>
      <c r="N1400" s="26">
        <f t="array" ref="N1400">_xlfn.XLOOKUP(B1400,'Sets Progress'!I:I,'Sets Progress'!I:I,"NOT YET")</f>
        <v>92</v>
      </c>
      <c r="O1400" s="26" t="str">
        <f t="array" ref="O1400">_xlfn.XLOOKUP(L:L,'Overall Progress'!L:L,'Overall Progress'!L:L,"NOT YET")</f>
        <v>NOT YET</v>
      </c>
      <c r="P1400" s="26"/>
      <c r="Q1400" s="26"/>
      <c r="R1400" s="26"/>
      <c r="S1400" s="26"/>
      <c r="T1400" s="26"/>
      <c r="U1400" s="26"/>
      <c r="V1400" s="26"/>
      <c r="W1400" s="26"/>
      <c r="X1400" s="26"/>
      <c r="Y1400" s="26"/>
      <c r="Z1400" s="26"/>
    </row>
    <row r="1401" hidden="1" customHeight="1" spans="1:26">
      <c r="A1401" s="27">
        <v>283</v>
      </c>
      <c r="B1401" s="27">
        <v>92</v>
      </c>
      <c r="C1401" s="27" t="s">
        <v>636</v>
      </c>
      <c r="D1401" s="27" t="s">
        <v>2717</v>
      </c>
      <c r="E1401" s="27" t="s">
        <v>2889</v>
      </c>
      <c r="F1401" s="27" t="str">
        <f t="shared" si="0"/>
        <v>Positive Traits Latin Origin</v>
      </c>
      <c r="G1401" s="27">
        <f t="shared" si="3"/>
        <v>9</v>
      </c>
      <c r="H1401" s="27" t="s">
        <v>4257</v>
      </c>
      <c r="I1401" s="27"/>
      <c r="J1401" s="27"/>
      <c r="K1401" s="27"/>
      <c r="L1401" s="27" t="str">
        <f t="shared" si="2"/>
        <v>C</v>
      </c>
      <c r="M1401" s="27" t="str">
        <f>IFERROR(__xludf.DUMMYFUNCTION("GOOGLETRANSLATE(C1401,""EN"",""KN"")"),"ಸೌಹಾರ್ದಯುತ")</f>
        <v>ಸೌಹಾರ್ದಯುತ</v>
      </c>
      <c r="N1401" s="27">
        <f t="array" ref="N1401">_xlfn.XLOOKUP(B1401,'Sets Progress'!I:I,'Sets Progress'!I:I,"NOT YET")</f>
        <v>92</v>
      </c>
      <c r="O1401" s="27" t="str">
        <f t="array" ref="O1401">_xlfn.XLOOKUP(L:L,'Overall Progress'!L:L,'Overall Progress'!L:L,"NOT YET")</f>
        <v>NOT YET</v>
      </c>
      <c r="P1401" s="27"/>
      <c r="Q1401" s="27"/>
      <c r="R1401" s="27"/>
      <c r="S1401" s="27"/>
      <c r="T1401" s="27"/>
      <c r="U1401" s="27"/>
      <c r="V1401" s="27"/>
      <c r="W1401" s="27"/>
      <c r="X1401" s="27"/>
      <c r="Y1401" s="27"/>
      <c r="Z1401" s="27"/>
    </row>
    <row r="1402" hidden="1" customHeight="1" spans="1:26">
      <c r="A1402" s="26">
        <v>290</v>
      </c>
      <c r="B1402" s="26">
        <v>92</v>
      </c>
      <c r="C1402" s="26" t="s">
        <v>643</v>
      </c>
      <c r="D1402" s="26" t="s">
        <v>2716</v>
      </c>
      <c r="E1402" s="26" t="s">
        <v>2889</v>
      </c>
      <c r="F1402" s="26" t="str">
        <f t="shared" si="0"/>
        <v>Negative Traits Latin Origin</v>
      </c>
      <c r="G1402" s="26">
        <f t="shared" si="3"/>
        <v>8</v>
      </c>
      <c r="H1402" s="26" t="s">
        <v>4258</v>
      </c>
      <c r="I1402" s="26"/>
      <c r="J1402" s="26"/>
      <c r="K1402" s="26"/>
      <c r="L1402" s="26" t="str">
        <f t="shared" si="2"/>
        <v>C</v>
      </c>
      <c r="M1402" s="26" t="str">
        <f>IFERROR(__xludf.DUMMYFUNCTION("GOOGLETRANSLATE(C1402,""EN"",""KN"")"),"ಪಿತೂರಿ")</f>
        <v>ಪಿತೂರಿ</v>
      </c>
      <c r="N1402" s="26">
        <f t="array" ref="N1402">_xlfn.XLOOKUP(B1402,'Sets Progress'!I:I,'Sets Progress'!I:I,"NOT YET")</f>
        <v>92</v>
      </c>
      <c r="O1402" s="26" t="str">
        <f t="array" ref="O1402">_xlfn.XLOOKUP(L:L,'Overall Progress'!L:L,'Overall Progress'!L:L,"NOT YET")</f>
        <v>NOT YET</v>
      </c>
      <c r="P1402" s="26"/>
      <c r="Q1402" s="26"/>
      <c r="R1402" s="26"/>
      <c r="S1402" s="26"/>
      <c r="T1402" s="26"/>
      <c r="U1402" s="26"/>
      <c r="V1402" s="26"/>
      <c r="W1402" s="26"/>
      <c r="X1402" s="26"/>
      <c r="Y1402" s="26"/>
      <c r="Z1402" s="26"/>
    </row>
    <row r="1403" hidden="1" customHeight="1" spans="1:26">
      <c r="A1403" s="27">
        <v>323</v>
      </c>
      <c r="B1403" s="27">
        <v>92</v>
      </c>
      <c r="C1403" s="27" t="s">
        <v>673</v>
      </c>
      <c r="D1403" s="27" t="s">
        <v>2892</v>
      </c>
      <c r="E1403" s="27" t="s">
        <v>2908</v>
      </c>
      <c r="F1403" s="27" t="str">
        <f t="shared" si="0"/>
        <v>Spatial Old English Origin</v>
      </c>
      <c r="G1403" s="27">
        <f t="shared" si="3"/>
        <v>3</v>
      </c>
      <c r="H1403" s="27" t="s">
        <v>4259</v>
      </c>
      <c r="I1403" s="27"/>
      <c r="J1403" s="27"/>
      <c r="K1403" s="27"/>
      <c r="L1403" s="27" t="str">
        <f t="shared" si="2"/>
        <v>C</v>
      </c>
      <c r="M1403" s="27" t="str">
        <f>IFERROR(__xludf.DUMMYFUNCTION("GOOGLETRANSLATE(C1403,""EN"",""KN"")"),"ಹಸು")</f>
        <v>ಹಸು</v>
      </c>
      <c r="N1403" s="27">
        <f t="array" ref="N1403">_xlfn.XLOOKUP(B1403,'Sets Progress'!I:I,'Sets Progress'!I:I,"NOT YET")</f>
        <v>92</v>
      </c>
      <c r="O1403" s="27" t="str">
        <f t="array" ref="O1403">_xlfn.XLOOKUP(L:L,'Overall Progress'!L:L,'Overall Progress'!L:L,"NOT YET")</f>
        <v>NOT YET</v>
      </c>
      <c r="P1403" s="27"/>
      <c r="Q1403" s="27"/>
      <c r="R1403" s="27"/>
      <c r="S1403" s="27"/>
      <c r="T1403" s="27"/>
      <c r="U1403" s="27"/>
      <c r="V1403" s="27"/>
      <c r="W1403" s="27"/>
      <c r="X1403" s="27"/>
      <c r="Y1403" s="27"/>
      <c r="Z1403" s="27"/>
    </row>
    <row r="1404" hidden="1" customHeight="1" spans="1:26">
      <c r="A1404" s="26">
        <v>522</v>
      </c>
      <c r="B1404" s="26">
        <v>92</v>
      </c>
      <c r="C1404" s="26" t="s">
        <v>131</v>
      </c>
      <c r="D1404" s="26" t="s">
        <v>1721</v>
      </c>
      <c r="E1404" s="26" t="s">
        <v>2893</v>
      </c>
      <c r="F1404" s="26" t="str">
        <f t="shared" si="0"/>
        <v>Temporal Greek Origin</v>
      </c>
      <c r="G1404" s="26">
        <f t="shared" si="3"/>
        <v>9</v>
      </c>
      <c r="H1404" s="26" t="s">
        <v>4260</v>
      </c>
      <c r="I1404" s="26"/>
      <c r="J1404" s="26"/>
      <c r="K1404" s="26"/>
      <c r="L1404" s="26" t="str">
        <f t="shared" si="2"/>
        <v>E</v>
      </c>
      <c r="M1404" s="26" t="str">
        <f>IFERROR(__xludf.DUMMYFUNCTION("GOOGLETRANSLATE(C1404,""EN"",""KN"")"),"ಅಲ್ಪಕಾಲಿಕ")</f>
        <v>ಅಲ್ಪಕಾಲಿಕ</v>
      </c>
      <c r="N1404" s="26">
        <f t="array" ref="N1404">_xlfn.XLOOKUP(B1404,'Sets Progress'!I:I,'Sets Progress'!I:I,"NOT YET")</f>
        <v>92</v>
      </c>
      <c r="O1404" s="26" t="str">
        <f t="array" ref="O1404">_xlfn.XLOOKUP(L:L,'Overall Progress'!L:L,'Overall Progress'!L:L,"NOT YET")</f>
        <v>NOT YET</v>
      </c>
      <c r="P1404" s="26"/>
      <c r="Q1404" s="26"/>
      <c r="R1404" s="26"/>
      <c r="S1404" s="26"/>
      <c r="T1404" s="26"/>
      <c r="U1404" s="26"/>
      <c r="V1404" s="26"/>
      <c r="W1404" s="26"/>
      <c r="X1404" s="26"/>
      <c r="Y1404" s="26"/>
      <c r="Z1404" s="26"/>
    </row>
    <row r="1405" hidden="1" customHeight="1" spans="1:26">
      <c r="A1405" s="27">
        <v>538</v>
      </c>
      <c r="B1405" s="27">
        <v>92</v>
      </c>
      <c r="C1405" s="27" t="s">
        <v>884</v>
      </c>
      <c r="D1405" s="27" t="s">
        <v>3003</v>
      </c>
      <c r="E1405" s="27" t="s">
        <v>2893</v>
      </c>
      <c r="F1405" s="27" t="str">
        <f t="shared" si="0"/>
        <v>Linguistic Greek Origin</v>
      </c>
      <c r="G1405" s="27">
        <f t="shared" si="3"/>
        <v>9</v>
      </c>
      <c r="H1405" s="27" t="s">
        <v>4261</v>
      </c>
      <c r="I1405" s="27"/>
      <c r="J1405" s="27"/>
      <c r="K1405" s="27" t="s">
        <v>4262</v>
      </c>
      <c r="L1405" s="27" t="str">
        <f t="shared" si="2"/>
        <v>E</v>
      </c>
      <c r="M1405" s="27" t="str">
        <f>IFERROR(__xludf.DUMMYFUNCTION("GOOGLETRANSLATE(C1405,""EN"",""KN"")"),"ಸೌಮ್ಯೋಕ್ತಿ")</f>
        <v>ಸೌಮ್ಯೋಕ್ತಿ</v>
      </c>
      <c r="N1405" s="27">
        <f t="array" ref="N1405">_xlfn.XLOOKUP(B1405,'Sets Progress'!I:I,'Sets Progress'!I:I,"NOT YET")</f>
        <v>92</v>
      </c>
      <c r="O1405" s="27" t="str">
        <f t="array" ref="O1405">_xlfn.XLOOKUP(L:L,'Overall Progress'!L:L,'Overall Progress'!L:L,"NOT YET")</f>
        <v>NOT YET</v>
      </c>
      <c r="P1405" s="27"/>
      <c r="Q1405" s="27"/>
      <c r="R1405" s="27"/>
      <c r="S1405" s="27"/>
      <c r="T1405" s="27"/>
      <c r="U1405" s="27"/>
      <c r="V1405" s="27"/>
      <c r="W1405" s="27"/>
      <c r="X1405" s="27"/>
      <c r="Y1405" s="27"/>
      <c r="Z1405" s="27"/>
    </row>
    <row r="1406" hidden="1" customHeight="1" spans="1:26">
      <c r="A1406" s="26">
        <v>896</v>
      </c>
      <c r="B1406" s="26">
        <v>92</v>
      </c>
      <c r="C1406" s="26" t="s">
        <v>1233</v>
      </c>
      <c r="D1406" s="26" t="s">
        <v>1721</v>
      </c>
      <c r="E1406" s="26" t="s">
        <v>2896</v>
      </c>
      <c r="F1406" s="26" t="str">
        <f t="shared" si="0"/>
        <v>Temporal Old French Origin</v>
      </c>
      <c r="G1406" s="26">
        <f t="shared" si="3"/>
        <v>11</v>
      </c>
      <c r="H1406" s="26" t="s">
        <v>4263</v>
      </c>
      <c r="I1406" s="26"/>
      <c r="J1406" s="26"/>
      <c r="K1406" s="26"/>
      <c r="L1406" s="26" t="str">
        <f t="shared" si="2"/>
        <v>M</v>
      </c>
      <c r="M1406" s="26" t="str">
        <f>IFERROR(__xludf.DUMMYFUNCTION("GOOGLETRANSLATE(C1406,""EN"",""KN"")"),"ಮೆಟೀರಿಯಲ್ ಮಾಡಿ")</f>
        <v>ಮೆಟೀರಿಯಲ್ ಮಾಡಿ</v>
      </c>
      <c r="N1406" s="26">
        <f t="array" ref="N1406">_xlfn.XLOOKUP(B1406,'Sets Progress'!I:I,'Sets Progress'!I:I,"NOT YET")</f>
        <v>92</v>
      </c>
      <c r="O1406" s="26" t="str">
        <f t="array" ref="O1406">_xlfn.XLOOKUP(L:L,'Overall Progress'!L:L,'Overall Progress'!L:L,"NOT YET")</f>
        <v>NOT YET</v>
      </c>
      <c r="P1406" s="26"/>
      <c r="Q1406" s="26"/>
      <c r="R1406" s="26"/>
      <c r="S1406" s="26"/>
      <c r="T1406" s="26"/>
      <c r="U1406" s="26"/>
      <c r="V1406" s="26"/>
      <c r="W1406" s="26"/>
      <c r="X1406" s="26"/>
      <c r="Y1406" s="26"/>
      <c r="Z1406" s="26"/>
    </row>
    <row r="1407" hidden="1" customHeight="1" spans="1:26">
      <c r="A1407" s="27">
        <v>907</v>
      </c>
      <c r="B1407" s="27">
        <v>92</v>
      </c>
      <c r="C1407" s="27" t="s">
        <v>1244</v>
      </c>
      <c r="D1407" s="27" t="s">
        <v>2716</v>
      </c>
      <c r="E1407" s="27" t="s">
        <v>2889</v>
      </c>
      <c r="F1407" s="27" t="str">
        <f t="shared" si="0"/>
        <v>Negative Traits Latin Origin</v>
      </c>
      <c r="G1407" s="27">
        <f t="shared" si="3"/>
        <v>9</v>
      </c>
      <c r="H1407" s="27" t="s">
        <v>4264</v>
      </c>
      <c r="I1407" s="27"/>
      <c r="J1407" s="27"/>
      <c r="K1407" s="27"/>
      <c r="L1407" s="27" t="str">
        <f t="shared" si="2"/>
        <v>M</v>
      </c>
      <c r="M1407" s="27" t="str">
        <f>IFERROR(__xludf.DUMMYFUNCTION("GOOGLETRANSLATE(C1407,""EN"",""KN"")"),"ಮರ್ಕ್ಯುರಿಯಲ್")</f>
        <v>ಮರ್ಕ್ಯುರಿಯಲ್</v>
      </c>
      <c r="N1407" s="27">
        <f t="array" ref="N1407">_xlfn.XLOOKUP(B1407,'Sets Progress'!I:I,'Sets Progress'!I:I,"NOT YET")</f>
        <v>92</v>
      </c>
      <c r="O1407" s="27" t="str">
        <f t="array" ref="O1407">_xlfn.XLOOKUP(L:L,'Overall Progress'!L:L,'Overall Progress'!L:L,"NOT YET")</f>
        <v>NOT YET</v>
      </c>
      <c r="P1407" s="27"/>
      <c r="Q1407" s="27"/>
      <c r="R1407" s="27"/>
      <c r="S1407" s="27"/>
      <c r="T1407" s="27"/>
      <c r="U1407" s="27"/>
      <c r="V1407" s="27"/>
      <c r="W1407" s="27"/>
      <c r="X1407" s="27"/>
      <c r="Y1407" s="27"/>
      <c r="Z1407" s="27"/>
    </row>
    <row r="1408" hidden="1" customHeight="1" spans="1:26">
      <c r="A1408" s="26">
        <v>912</v>
      </c>
      <c r="B1408" s="26">
        <v>92</v>
      </c>
      <c r="C1408" s="26" t="s">
        <v>1248</v>
      </c>
      <c r="D1408" s="26" t="s">
        <v>2717</v>
      </c>
      <c r="E1408" s="26" t="s">
        <v>2908</v>
      </c>
      <c r="F1408" s="26" t="str">
        <f t="shared" si="0"/>
        <v>Positive Traits Old English Origin</v>
      </c>
      <c r="G1408" s="26">
        <f t="shared" si="3"/>
        <v>10</v>
      </c>
      <c r="H1408" s="26" t="s">
        <v>4265</v>
      </c>
      <c r="I1408" s="26"/>
      <c r="J1408" s="26"/>
      <c r="K1408" s="26"/>
      <c r="L1408" s="26" t="str">
        <f t="shared" si="2"/>
        <v>M</v>
      </c>
      <c r="M1408" s="26" t="str">
        <f>IFERROR(__xludf.DUMMYFUNCTION("GOOGLETRANSLATE(C1408,""EN"",""KN"")"),"ಮೆಟಲ್ಸಮ್")</f>
        <v>ಮೆಟಲ್ಸಮ್</v>
      </c>
      <c r="N1408" s="26">
        <f t="array" ref="N1408">_xlfn.XLOOKUP(B1408,'Sets Progress'!I:I,'Sets Progress'!I:I,"NOT YET")</f>
        <v>92</v>
      </c>
      <c r="O1408" s="26" t="str">
        <f t="array" ref="O1408">_xlfn.XLOOKUP(L:L,'Overall Progress'!L:L,'Overall Progress'!L:L,"NOT YET")</f>
        <v>NOT YET</v>
      </c>
      <c r="P1408" s="26"/>
      <c r="Q1408" s="26"/>
      <c r="R1408" s="26"/>
      <c r="S1408" s="26"/>
      <c r="T1408" s="26"/>
      <c r="U1408" s="26"/>
      <c r="V1408" s="26"/>
      <c r="W1408" s="26"/>
      <c r="X1408" s="26"/>
      <c r="Y1408" s="26"/>
      <c r="Z1408" s="26"/>
    </row>
    <row r="1409" hidden="1" customHeight="1" spans="1:26">
      <c r="A1409" s="27">
        <v>913</v>
      </c>
      <c r="B1409" s="27">
        <v>92</v>
      </c>
      <c r="C1409" s="27" t="s">
        <v>1249</v>
      </c>
      <c r="D1409" s="27" t="s">
        <v>1721</v>
      </c>
      <c r="E1409" s="27" t="s">
        <v>2893</v>
      </c>
      <c r="F1409" s="27" t="str">
        <f t="shared" si="0"/>
        <v>Temporal Greek Origin</v>
      </c>
      <c r="G1409" s="27">
        <f t="shared" si="3"/>
        <v>5</v>
      </c>
      <c r="H1409" s="27" t="s">
        <v>4266</v>
      </c>
      <c r="I1409" s="27"/>
      <c r="J1409" s="27"/>
      <c r="K1409" s="27"/>
      <c r="L1409" s="27" t="str">
        <f t="shared" si="2"/>
        <v>M</v>
      </c>
      <c r="M1409" s="27" t="str">
        <f>IFERROR(__xludf.DUMMYFUNCTION("GOOGLETRANSLATE(C1409,""EN"",""KN"")"),"ಮಿಮಿಕ್")</f>
        <v>ಮಿಮಿಕ್</v>
      </c>
      <c r="N1409" s="27">
        <f t="array" ref="N1409">_xlfn.XLOOKUP(B1409,'Sets Progress'!I:I,'Sets Progress'!I:I,"NOT YET")</f>
        <v>92</v>
      </c>
      <c r="O1409" s="27" t="str">
        <f t="array" ref="O1409">_xlfn.XLOOKUP(L:L,'Overall Progress'!L:L,'Overall Progress'!L:L,"NOT YET")</f>
        <v>NOT YET</v>
      </c>
      <c r="P1409" s="27"/>
      <c r="Q1409" s="27"/>
      <c r="R1409" s="27"/>
      <c r="S1409" s="27"/>
      <c r="T1409" s="27"/>
      <c r="U1409" s="27"/>
      <c r="V1409" s="27"/>
      <c r="W1409" s="27"/>
      <c r="X1409" s="27"/>
      <c r="Y1409" s="27"/>
      <c r="Z1409" s="27"/>
    </row>
    <row r="1410" hidden="1" customHeight="1" spans="1:26">
      <c r="A1410" s="26">
        <v>973</v>
      </c>
      <c r="B1410" s="26">
        <v>92</v>
      </c>
      <c r="C1410" s="26" t="s">
        <v>1309</v>
      </c>
      <c r="D1410" s="26" t="s">
        <v>2716</v>
      </c>
      <c r="E1410" s="26" t="s">
        <v>2889</v>
      </c>
      <c r="F1410" s="26" t="str">
        <f t="shared" si="0"/>
        <v>Negative Traits Latin Origin</v>
      </c>
      <c r="G1410" s="26">
        <f t="shared" si="3"/>
        <v>10</v>
      </c>
      <c r="H1410" s="26" t="s">
        <v>4267</v>
      </c>
      <c r="I1410" s="26"/>
      <c r="J1410" s="26"/>
      <c r="K1410" s="26"/>
      <c r="L1410" s="26" t="str">
        <f t="shared" si="2"/>
        <v>O</v>
      </c>
      <c r="M1410" s="26" t="str">
        <f>IFERROR(__xludf.DUMMYFUNCTION("GOOGLETRANSLATE(C1410,""EN"",""KN"")"),"ಒಬ್ಸೆಕ್ವಿಯಸ್")</f>
        <v>ಒಬ್ಸೆಕ್ವಿಯಸ್</v>
      </c>
      <c r="N1410" s="26">
        <f t="array" ref="N1410">_xlfn.XLOOKUP(B1410,'Sets Progress'!I:I,'Sets Progress'!I:I,"NOT YET")</f>
        <v>92</v>
      </c>
      <c r="O1410" s="26" t="str">
        <f t="array" ref="O1410">_xlfn.XLOOKUP(L:L,'Overall Progress'!L:L,'Overall Progress'!L:L,"NOT YET")</f>
        <v>NOT YET</v>
      </c>
      <c r="P1410" s="26"/>
      <c r="Q1410" s="26"/>
      <c r="R1410" s="26"/>
      <c r="S1410" s="26"/>
      <c r="T1410" s="26"/>
      <c r="U1410" s="26"/>
      <c r="V1410" s="26"/>
      <c r="W1410" s="26"/>
      <c r="X1410" s="26"/>
      <c r="Y1410" s="26"/>
      <c r="Z1410" s="26"/>
    </row>
    <row r="1411" hidden="1" customHeight="1" spans="1:26">
      <c r="A1411" s="27">
        <v>1210</v>
      </c>
      <c r="B1411" s="27">
        <v>92</v>
      </c>
      <c r="C1411" s="27" t="s">
        <v>1541</v>
      </c>
      <c r="D1411" s="27" t="s">
        <v>1721</v>
      </c>
      <c r="E1411" s="27" t="s">
        <v>2889</v>
      </c>
      <c r="F1411" s="27" t="str">
        <f t="shared" si="0"/>
        <v>Temporal Latin Origin</v>
      </c>
      <c r="G1411" s="27">
        <f t="shared" si="3"/>
        <v>9</v>
      </c>
      <c r="H1411" s="27" t="s">
        <v>4268</v>
      </c>
      <c r="I1411" s="27"/>
      <c r="J1411" s="27"/>
      <c r="K1411" s="27"/>
      <c r="L1411" s="27" t="str">
        <f t="shared" si="2"/>
        <v>R</v>
      </c>
      <c r="M1411" s="27" t="str">
        <f>IFERROR(__xludf.DUMMYFUNCTION("GOOGLETRANSLATE(C1411,""EN"",""KN"")"),"ಪುನರಾವರ್ತಿಸಿ")</f>
        <v>ಪುನರಾವರ್ತಿಸಿ</v>
      </c>
      <c r="N1411" s="27">
        <f t="array" ref="N1411">_xlfn.XLOOKUP(B1411,'Sets Progress'!I:I,'Sets Progress'!I:I,"NOT YET")</f>
        <v>92</v>
      </c>
      <c r="O1411" s="27" t="str">
        <f t="array" ref="O1411">_xlfn.XLOOKUP(L:L,'Overall Progress'!L:L,'Overall Progress'!L:L,"NOT YET")</f>
        <v>NOT YET</v>
      </c>
      <c r="P1411" s="27"/>
      <c r="Q1411" s="27"/>
      <c r="R1411" s="27"/>
      <c r="S1411" s="27"/>
      <c r="T1411" s="27"/>
      <c r="U1411" s="27"/>
      <c r="V1411" s="27"/>
      <c r="W1411" s="27"/>
      <c r="X1411" s="27"/>
      <c r="Y1411" s="27"/>
      <c r="Z1411" s="27"/>
    </row>
    <row r="1412" hidden="1" customHeight="1" spans="1:26">
      <c r="A1412" s="26">
        <v>12</v>
      </c>
      <c r="B1412" s="26">
        <v>93</v>
      </c>
      <c r="C1412" s="26" t="s">
        <v>24</v>
      </c>
      <c r="D1412" s="26" t="s">
        <v>2892</v>
      </c>
      <c r="E1412" s="26" t="s">
        <v>2908</v>
      </c>
      <c r="F1412" s="26" t="str">
        <f t="shared" si="0"/>
        <v>Spatial Old English Origin</v>
      </c>
      <c r="G1412" s="26">
        <f t="shared" si="3"/>
        <v>7</v>
      </c>
      <c r="H1412" s="26" t="s">
        <v>4269</v>
      </c>
      <c r="I1412" s="26"/>
      <c r="J1412" s="26"/>
      <c r="K1412" s="26"/>
      <c r="L1412" s="26" t="str">
        <f t="shared" si="2"/>
        <v>A</v>
      </c>
      <c r="M1412" s="26" t="str">
        <f>IFERROR(__xludf.DUMMYFUNCTION("GOOGLETRANSLATE(C1412,""EN"",""KN"")"),"ಪಕ್ಕದಲ್ಲಿ")</f>
        <v>ಪಕ್ಕದಲ್ಲಿ</v>
      </c>
      <c r="N1412" s="26">
        <f t="array" ref="N1412">_xlfn.XLOOKUP(B1412,'Sets Progress'!I:I,'Sets Progress'!I:I,"NOT YET")</f>
        <v>93</v>
      </c>
      <c r="O1412" s="26" t="str">
        <f t="array" ref="O1412">_xlfn.XLOOKUP(L:L,'Overall Progress'!L:L,'Overall Progress'!L:L,"NOT YET")</f>
        <v>NOT YET</v>
      </c>
      <c r="P1412" s="26"/>
      <c r="Q1412" s="26"/>
      <c r="R1412" s="26"/>
      <c r="S1412" s="26"/>
      <c r="T1412" s="26"/>
      <c r="U1412" s="26"/>
      <c r="V1412" s="26"/>
      <c r="W1412" s="26"/>
      <c r="X1412" s="26"/>
      <c r="Y1412" s="26"/>
      <c r="Z1412" s="26"/>
    </row>
    <row r="1413" hidden="1" customHeight="1" spans="1:26">
      <c r="A1413" s="27">
        <v>113</v>
      </c>
      <c r="B1413" s="27">
        <v>93</v>
      </c>
      <c r="C1413" s="27" t="s">
        <v>463</v>
      </c>
      <c r="D1413" s="27" t="s">
        <v>2946</v>
      </c>
      <c r="E1413" s="27" t="s">
        <v>2889</v>
      </c>
      <c r="F1413" s="27" t="str">
        <f t="shared" si="0"/>
        <v>Emotional Latin Origin</v>
      </c>
      <c r="G1413" s="27">
        <f t="shared" si="3"/>
        <v>9</v>
      </c>
      <c r="H1413" s="27" t="s">
        <v>4270</v>
      </c>
      <c r="I1413" s="27"/>
      <c r="J1413" s="27"/>
      <c r="K1413" s="27"/>
      <c r="L1413" s="27" t="str">
        <f t="shared" si="2"/>
        <v>A</v>
      </c>
      <c r="M1413" s="27" t="str">
        <f>IFERROR(__xludf.DUMMYFUNCTION("GOOGLETRANSLATE(C1413,""EN"",""KN"")"),"ಆಸ್ಪರ್ಶನ್")</f>
        <v>ಆಸ್ಪರ್ಶನ್</v>
      </c>
      <c r="N1413" s="27">
        <f t="array" ref="N1413">_xlfn.XLOOKUP(B1413,'Sets Progress'!I:I,'Sets Progress'!I:I,"NOT YET")</f>
        <v>93</v>
      </c>
      <c r="O1413" s="27" t="str">
        <f t="array" ref="O1413">_xlfn.XLOOKUP(L:L,'Overall Progress'!L:L,'Overall Progress'!L:L,"NOT YET")</f>
        <v>NOT YET</v>
      </c>
      <c r="P1413" s="27"/>
      <c r="Q1413" s="27"/>
      <c r="R1413" s="27"/>
      <c r="S1413" s="27"/>
      <c r="T1413" s="27"/>
      <c r="U1413" s="27"/>
      <c r="V1413" s="27"/>
      <c r="W1413" s="27"/>
      <c r="X1413" s="27"/>
      <c r="Y1413" s="27"/>
      <c r="Z1413" s="27"/>
    </row>
    <row r="1414" hidden="1" customHeight="1" spans="1:26">
      <c r="A1414" s="26">
        <v>120</v>
      </c>
      <c r="B1414" s="26">
        <v>93</v>
      </c>
      <c r="C1414" s="26" t="s">
        <v>469</v>
      </c>
      <c r="D1414" s="26" t="s">
        <v>3016</v>
      </c>
      <c r="E1414" s="26" t="s">
        <v>2889</v>
      </c>
      <c r="F1414" s="26" t="str">
        <f t="shared" si="0"/>
        <v>Taste Latin Origin</v>
      </c>
      <c r="G1414" s="26">
        <f t="shared" si="3"/>
        <v>10</v>
      </c>
      <c r="H1414" s="26" t="s">
        <v>4271</v>
      </c>
      <c r="I1414" s="26"/>
      <c r="J1414" s="26"/>
      <c r="K1414" s="26"/>
      <c r="L1414" s="26" t="str">
        <f t="shared" si="2"/>
        <v>A</v>
      </c>
      <c r="M1414" s="26" t="str">
        <f>IFERROR(__xludf.DUMMYFUNCTION("GOOGLETRANSLATE(C1414,""EN"",""KN"")"),"ಸಂಕೋಚಕ")</f>
        <v>ಸಂಕೋಚಕ</v>
      </c>
      <c r="N1414" s="26">
        <f t="array" ref="N1414">_xlfn.XLOOKUP(B1414,'Sets Progress'!I:I,'Sets Progress'!I:I,"NOT YET")</f>
        <v>93</v>
      </c>
      <c r="O1414" s="26" t="str">
        <f t="array" ref="O1414">_xlfn.XLOOKUP(L:L,'Overall Progress'!L:L,'Overall Progress'!L:L,"NOT YET")</f>
        <v>NOT YET</v>
      </c>
      <c r="P1414" s="26"/>
      <c r="Q1414" s="26"/>
      <c r="R1414" s="26"/>
      <c r="S1414" s="26"/>
      <c r="T1414" s="26"/>
      <c r="U1414" s="26"/>
      <c r="V1414" s="26"/>
      <c r="W1414" s="26"/>
      <c r="X1414" s="26"/>
      <c r="Y1414" s="26"/>
      <c r="Z1414" s="26"/>
    </row>
    <row r="1415" hidden="1" customHeight="1" spans="1:26">
      <c r="A1415" s="27">
        <v>143</v>
      </c>
      <c r="B1415" s="27">
        <v>93</v>
      </c>
      <c r="C1415" s="27" t="s">
        <v>492</v>
      </c>
      <c r="D1415" s="27" t="s">
        <v>2892</v>
      </c>
      <c r="E1415" s="27" t="s">
        <v>3019</v>
      </c>
      <c r="F1415" s="27" t="str">
        <f t="shared" si="0"/>
        <v>Spatial Italian Origin</v>
      </c>
      <c r="G1415" s="27">
        <f t="shared" si="3"/>
        <v>7</v>
      </c>
      <c r="H1415" s="27" t="s">
        <v>4272</v>
      </c>
      <c r="I1415" s="27"/>
      <c r="J1415" s="27"/>
      <c r="K1415" s="27"/>
      <c r="L1415" s="27" t="str">
        <f t="shared" si="2"/>
        <v>B</v>
      </c>
      <c r="M1415" s="27" t="str">
        <f>IFERROR(__xludf.DUMMYFUNCTION("GOOGLETRANSLATE(C1415,""EN"",""KN"")"),"ಬಲೂನ್")</f>
        <v>ಬಲೂನ್</v>
      </c>
      <c r="N1415" s="27">
        <f t="array" ref="N1415">_xlfn.XLOOKUP(B1415,'Sets Progress'!I:I,'Sets Progress'!I:I,"NOT YET")</f>
        <v>93</v>
      </c>
      <c r="O1415" s="27" t="str">
        <f t="array" ref="O1415">_xlfn.XLOOKUP(L:L,'Overall Progress'!L:L,'Overall Progress'!L:L,"NOT YET")</f>
        <v>NOT YET</v>
      </c>
      <c r="P1415" s="27"/>
      <c r="Q1415" s="27"/>
      <c r="R1415" s="27"/>
      <c r="S1415" s="27"/>
      <c r="T1415" s="27"/>
      <c r="U1415" s="27"/>
      <c r="V1415" s="27"/>
      <c r="W1415" s="27"/>
      <c r="X1415" s="27"/>
      <c r="Y1415" s="27"/>
      <c r="Z1415" s="27"/>
    </row>
    <row r="1416" hidden="1" customHeight="1" spans="1:26">
      <c r="A1416" s="26">
        <v>146</v>
      </c>
      <c r="B1416" s="26">
        <v>93</v>
      </c>
      <c r="C1416" s="26" t="s">
        <v>495</v>
      </c>
      <c r="D1416" s="26" t="s">
        <v>2717</v>
      </c>
      <c r="E1416" s="26" t="s">
        <v>2911</v>
      </c>
      <c r="F1416" s="26" t="str">
        <f t="shared" si="0"/>
        <v>Positive Traits French Origin</v>
      </c>
      <c r="G1416" s="26">
        <f t="shared" si="3"/>
        <v>6</v>
      </c>
      <c r="H1416" s="26" t="s">
        <v>4273</v>
      </c>
      <c r="I1416" s="26"/>
      <c r="J1416" s="26"/>
      <c r="K1416" s="26"/>
      <c r="L1416" s="26" t="str">
        <f t="shared" si="2"/>
        <v>B</v>
      </c>
      <c r="M1416" s="26" t="str">
        <f>IFERROR(__xludf.DUMMYFUNCTION("GOOGLETRANSLATE(C1416,""EN"",""KN"")"),"ಹಾಸ್ಯಗಾರ")</f>
        <v>ಹಾಸ್ಯಗಾರ</v>
      </c>
      <c r="N1416" s="26">
        <f t="array" ref="N1416">_xlfn.XLOOKUP(B1416,'Sets Progress'!I:I,'Sets Progress'!I:I,"NOT YET")</f>
        <v>93</v>
      </c>
      <c r="O1416" s="26" t="str">
        <f t="array" ref="O1416">_xlfn.XLOOKUP(L:L,'Overall Progress'!L:L,'Overall Progress'!L:L,"NOT YET")</f>
        <v>NOT YET</v>
      </c>
      <c r="P1416" s="26"/>
      <c r="Q1416" s="26"/>
      <c r="R1416" s="26"/>
      <c r="S1416" s="26"/>
      <c r="T1416" s="26"/>
      <c r="U1416" s="26"/>
      <c r="V1416" s="26"/>
      <c r="W1416" s="26"/>
      <c r="X1416" s="26"/>
      <c r="Y1416" s="26"/>
      <c r="Z1416" s="26"/>
    </row>
    <row r="1417" hidden="1" customHeight="1" spans="1:26">
      <c r="A1417" s="27">
        <v>176</v>
      </c>
      <c r="B1417" s="27">
        <v>93</v>
      </c>
      <c r="C1417" s="27" t="s">
        <v>526</v>
      </c>
      <c r="D1417" s="27" t="s">
        <v>1638</v>
      </c>
      <c r="E1417" s="27" t="s">
        <v>2893</v>
      </c>
      <c r="F1417" s="27" t="str">
        <f t="shared" si="0"/>
        <v>Sound Greek Origin</v>
      </c>
      <c r="G1417" s="27">
        <f t="shared" si="3"/>
        <v>9</v>
      </c>
      <c r="H1417" s="27" t="s">
        <v>4274</v>
      </c>
      <c r="I1417" s="27"/>
      <c r="J1417" s="27"/>
      <c r="K1417" s="27"/>
      <c r="L1417" s="27" t="str">
        <f t="shared" si="2"/>
        <v>B</v>
      </c>
      <c r="M1417" s="27" t="str">
        <f>IFERROR(__xludf.DUMMYFUNCTION("GOOGLETRANSLATE(C1417,""EN"",""KN"")"),"ಬೊಂಬಾಸ್ಟಿಕ್")</f>
        <v>ಬೊಂಬಾಸ್ಟಿಕ್</v>
      </c>
      <c r="N1417" s="27">
        <f t="array" ref="N1417">_xlfn.XLOOKUP(B1417,'Sets Progress'!I:I,'Sets Progress'!I:I,"NOT YET")</f>
        <v>93</v>
      </c>
      <c r="O1417" s="27" t="str">
        <f t="array" ref="O1417">_xlfn.XLOOKUP(L:L,'Overall Progress'!L:L,'Overall Progress'!L:L,"NOT YET")</f>
        <v>NOT YET</v>
      </c>
      <c r="P1417" s="27"/>
      <c r="Q1417" s="27"/>
      <c r="R1417" s="27"/>
      <c r="S1417" s="27"/>
      <c r="T1417" s="27"/>
      <c r="U1417" s="27"/>
      <c r="V1417" s="27"/>
      <c r="W1417" s="27"/>
      <c r="X1417" s="27"/>
      <c r="Y1417" s="27"/>
      <c r="Z1417" s="27"/>
    </row>
    <row r="1418" hidden="1" customHeight="1" spans="1:26">
      <c r="A1418" s="26">
        <v>234</v>
      </c>
      <c r="B1418" s="26">
        <v>93</v>
      </c>
      <c r="C1418" s="26" t="s">
        <v>585</v>
      </c>
      <c r="D1418" s="26" t="s">
        <v>2928</v>
      </c>
      <c r="E1418" s="26" t="s">
        <v>2889</v>
      </c>
      <c r="F1418" s="26" t="str">
        <f t="shared" si="0"/>
        <v>Philosophical Latin Origin</v>
      </c>
      <c r="G1418" s="26">
        <f t="shared" si="3"/>
        <v>11</v>
      </c>
      <c r="H1418" s="26" t="s">
        <v>4275</v>
      </c>
      <c r="I1418" s="26"/>
      <c r="J1418" s="26"/>
      <c r="K1418" s="26"/>
      <c r="L1418" s="26" t="str">
        <f t="shared" si="2"/>
        <v>C</v>
      </c>
      <c r="M1418" s="26" t="str">
        <f>IFERROR(__xludf.DUMMYFUNCTION("GOOGLETRANSLATE(C1418,""EN"",""KN"")"),"ಸುತ್ತೋಲೆ")</f>
        <v>ಸುತ್ತೋಲೆ</v>
      </c>
      <c r="N1418" s="26">
        <f t="array" ref="N1418">_xlfn.XLOOKUP(B1418,'Sets Progress'!I:I,'Sets Progress'!I:I,"NOT YET")</f>
        <v>93</v>
      </c>
      <c r="O1418" s="26" t="str">
        <f t="array" ref="O1418">_xlfn.XLOOKUP(L:L,'Overall Progress'!L:L,'Overall Progress'!L:L,"NOT YET")</f>
        <v>NOT YET</v>
      </c>
      <c r="P1418" s="26"/>
      <c r="Q1418" s="26"/>
      <c r="R1418" s="26"/>
      <c r="S1418" s="26"/>
      <c r="T1418" s="26"/>
      <c r="U1418" s="26"/>
      <c r="V1418" s="26"/>
      <c r="W1418" s="26"/>
      <c r="X1418" s="26"/>
      <c r="Y1418" s="26"/>
      <c r="Z1418" s="26"/>
    </row>
    <row r="1419" hidden="1" customHeight="1" spans="1:26">
      <c r="A1419" s="27">
        <v>301</v>
      </c>
      <c r="B1419" s="27">
        <v>93</v>
      </c>
      <c r="C1419" s="27" t="s">
        <v>654</v>
      </c>
      <c r="D1419" s="27" t="s">
        <v>1721</v>
      </c>
      <c r="E1419" s="27" t="s">
        <v>2911</v>
      </c>
      <c r="F1419" s="27" t="str">
        <f t="shared" si="0"/>
        <v>Temporal French Origin</v>
      </c>
      <c r="G1419" s="27">
        <f t="shared" si="3"/>
        <v>11</v>
      </c>
      <c r="H1419" s="27" t="s">
        <v>4276</v>
      </c>
      <c r="I1419" s="27"/>
      <c r="J1419" s="27"/>
      <c r="K1419" s="27"/>
      <c r="L1419" s="27" t="str">
        <f t="shared" si="2"/>
        <v>C</v>
      </c>
      <c r="M1419" s="27" t="str">
        <f>IFERROR(__xludf.DUMMYFUNCTION("GOOGLETRANSLATE(C1419,""EN"",""KN"")"),"ಖಂಡನೆಗಳು")</f>
        <v>ಖಂಡನೆಗಳು</v>
      </c>
      <c r="N1419" s="27">
        <f t="array" ref="N1419">_xlfn.XLOOKUP(B1419,'Sets Progress'!I:I,'Sets Progress'!I:I,"NOT YET")</f>
        <v>93</v>
      </c>
      <c r="O1419" s="27" t="str">
        <f t="array" ref="O1419">_xlfn.XLOOKUP(L:L,'Overall Progress'!L:L,'Overall Progress'!L:L,"NOT YET")</f>
        <v>NOT YET</v>
      </c>
      <c r="P1419" s="27"/>
      <c r="Q1419" s="27"/>
      <c r="R1419" s="27"/>
      <c r="S1419" s="27"/>
      <c r="T1419" s="27"/>
      <c r="U1419" s="27"/>
      <c r="V1419" s="27"/>
      <c r="W1419" s="27"/>
      <c r="X1419" s="27"/>
      <c r="Y1419" s="27"/>
      <c r="Z1419" s="27"/>
    </row>
    <row r="1420" hidden="1" customHeight="1" spans="1:26">
      <c r="A1420" s="26">
        <v>341</v>
      </c>
      <c r="B1420" s="26">
        <v>93</v>
      </c>
      <c r="C1420" s="26" t="s">
        <v>691</v>
      </c>
      <c r="D1420" s="26" t="s">
        <v>2716</v>
      </c>
      <c r="E1420" s="26" t="s">
        <v>2893</v>
      </c>
      <c r="F1420" s="26" t="str">
        <f t="shared" si="0"/>
        <v>Negative Traits Greek Origin</v>
      </c>
      <c r="G1420" s="26">
        <f t="shared" si="3"/>
        <v>7</v>
      </c>
      <c r="H1420" s="26" t="s">
        <v>4277</v>
      </c>
      <c r="I1420" s="26"/>
      <c r="J1420" s="26"/>
      <c r="K1420" s="26"/>
      <c r="L1420" s="26" t="str">
        <f t="shared" si="2"/>
        <v>C</v>
      </c>
      <c r="M1420" s="26" t="str">
        <f>IFERROR(__xludf.DUMMYFUNCTION("GOOGLETRANSLATE(C1420,""EN"",""KN"")"),"ಸಿನಿಕತನದ")</f>
        <v>ಸಿನಿಕತನದ</v>
      </c>
      <c r="N1420" s="26">
        <f t="array" ref="N1420">_xlfn.XLOOKUP(B1420,'Sets Progress'!I:I,'Sets Progress'!I:I,"NOT YET")</f>
        <v>93</v>
      </c>
      <c r="O1420" s="26" t="str">
        <f t="array" ref="O1420">_xlfn.XLOOKUP(L:L,'Overall Progress'!L:L,'Overall Progress'!L:L,"NOT YET")</f>
        <v>NOT YET</v>
      </c>
      <c r="P1420" s="26"/>
      <c r="Q1420" s="26"/>
      <c r="R1420" s="26"/>
      <c r="S1420" s="26"/>
      <c r="T1420" s="26"/>
      <c r="U1420" s="26"/>
      <c r="V1420" s="26"/>
      <c r="W1420" s="26"/>
      <c r="X1420" s="26"/>
      <c r="Y1420" s="26"/>
      <c r="Z1420" s="26"/>
    </row>
    <row r="1421" hidden="1" customHeight="1" spans="1:26">
      <c r="A1421" s="27">
        <v>347</v>
      </c>
      <c r="B1421" s="27">
        <v>93</v>
      </c>
      <c r="C1421" s="27" t="s">
        <v>697</v>
      </c>
      <c r="D1421" s="27" t="s">
        <v>2716</v>
      </c>
      <c r="E1421" s="27" t="s">
        <v>2889</v>
      </c>
      <c r="F1421" s="27" t="str">
        <f t="shared" si="0"/>
        <v>Negative Traits Latin Origin</v>
      </c>
      <c r="G1421" s="27">
        <f t="shared" si="3"/>
        <v>6</v>
      </c>
      <c r="H1421" s="27" t="s">
        <v>4278</v>
      </c>
      <c r="I1421" s="27"/>
      <c r="J1421" s="27"/>
      <c r="K1421" s="27"/>
      <c r="L1421" s="27" t="str">
        <f t="shared" si="2"/>
        <v>D</v>
      </c>
      <c r="M1421" s="27" t="str">
        <f>IFERROR(__xludf.DUMMYFUNCTION("GOOGLETRANSLATE(C1421,""EN"",""KN"")"),"ಅವಮಾನ")</f>
        <v>ಅವಮಾನ</v>
      </c>
      <c r="N1421" s="27">
        <f t="array" ref="N1421">_xlfn.XLOOKUP(B1421,'Sets Progress'!I:I,'Sets Progress'!I:I,"NOT YET")</f>
        <v>93</v>
      </c>
      <c r="O1421" s="27" t="str">
        <f t="array" ref="O1421">_xlfn.XLOOKUP(L:L,'Overall Progress'!L:L,'Overall Progress'!L:L,"NOT YET")</f>
        <v>NOT YET</v>
      </c>
      <c r="P1421" s="27"/>
      <c r="Q1421" s="27"/>
      <c r="R1421" s="27"/>
      <c r="S1421" s="27"/>
      <c r="T1421" s="27"/>
      <c r="U1421" s="27"/>
      <c r="V1421" s="27"/>
      <c r="W1421" s="27"/>
      <c r="X1421" s="27"/>
      <c r="Y1421" s="27"/>
      <c r="Z1421" s="27"/>
    </row>
    <row r="1422" hidden="1" customHeight="1" spans="1:26">
      <c r="A1422" s="26">
        <v>360</v>
      </c>
      <c r="B1422" s="26">
        <v>93</v>
      </c>
      <c r="C1422" s="26" t="s">
        <v>710</v>
      </c>
      <c r="D1422" s="26" t="s">
        <v>2898</v>
      </c>
      <c r="E1422" s="26" t="s">
        <v>2908</v>
      </c>
      <c r="F1422" s="26" t="str">
        <f t="shared" si="0"/>
        <v>Physical Sensation Old English Origin</v>
      </c>
      <c r="G1422" s="26">
        <f t="shared" si="3"/>
        <v>4</v>
      </c>
      <c r="H1422" s="26" t="s">
        <v>4279</v>
      </c>
      <c r="I1422" s="26"/>
      <c r="J1422" s="26"/>
      <c r="K1422" s="26"/>
      <c r="L1422" s="26" t="str">
        <f t="shared" si="2"/>
        <v>D</v>
      </c>
      <c r="M1422" s="26" t="str">
        <f>IFERROR(__xludf.DUMMYFUNCTION("GOOGLETRANSLATE(C1422,""EN"",""KN"")"),"ಚತುರ")</f>
        <v>ಚತುರ</v>
      </c>
      <c r="N1422" s="26">
        <f t="array" ref="N1422">_xlfn.XLOOKUP(B1422,'Sets Progress'!I:I,'Sets Progress'!I:I,"NOT YET")</f>
        <v>93</v>
      </c>
      <c r="O1422" s="26" t="str">
        <f t="array" ref="O1422">_xlfn.XLOOKUP(L:L,'Overall Progress'!L:L,'Overall Progress'!L:L,"NOT YET")</f>
        <v>NOT YET</v>
      </c>
      <c r="P1422" s="26"/>
      <c r="Q1422" s="26"/>
      <c r="R1422" s="26"/>
      <c r="S1422" s="26"/>
      <c r="T1422" s="26"/>
      <c r="U1422" s="26"/>
      <c r="V1422" s="26"/>
      <c r="W1422" s="26"/>
      <c r="X1422" s="26"/>
      <c r="Y1422" s="26"/>
      <c r="Z1422" s="26"/>
    </row>
    <row r="1423" hidden="1" customHeight="1" spans="1:26">
      <c r="A1423" s="27">
        <v>444</v>
      </c>
      <c r="B1423" s="27">
        <v>93</v>
      </c>
      <c r="C1423" s="27" t="s">
        <v>793</v>
      </c>
      <c r="D1423" s="27" t="s">
        <v>2892</v>
      </c>
      <c r="E1423" s="27" t="s">
        <v>2889</v>
      </c>
      <c r="F1423" s="27" t="str">
        <f t="shared" si="0"/>
        <v>Spatial Latin Origin</v>
      </c>
      <c r="G1423" s="27">
        <f t="shared" si="3"/>
        <v>7</v>
      </c>
      <c r="H1423" s="27" t="s">
        <v>4280</v>
      </c>
      <c r="I1423" s="27"/>
      <c r="J1423" s="27"/>
      <c r="K1423" s="27"/>
      <c r="L1423" s="27" t="str">
        <f t="shared" si="2"/>
        <v>D</v>
      </c>
      <c r="M1423" s="27" t="str">
        <f>IFERROR(__xludf.DUMMYFUNCTION("GOOGLETRANSLATE(C1423,""EN"",""KN"")"),"ವಿರೂಪಗೊಳಿಸು")</f>
        <v>ವಿರೂಪಗೊಳಿಸು</v>
      </c>
      <c r="N1423" s="27">
        <f t="array" ref="N1423">_xlfn.XLOOKUP(B1423,'Sets Progress'!I:I,'Sets Progress'!I:I,"NOT YET")</f>
        <v>93</v>
      </c>
      <c r="O1423" s="27" t="str">
        <f t="array" ref="O1423">_xlfn.XLOOKUP(L:L,'Overall Progress'!L:L,'Overall Progress'!L:L,"NOT YET")</f>
        <v>NOT YET</v>
      </c>
      <c r="P1423" s="27"/>
      <c r="Q1423" s="27"/>
      <c r="R1423" s="27"/>
      <c r="S1423" s="27"/>
      <c r="T1423" s="27"/>
      <c r="U1423" s="27"/>
      <c r="V1423" s="27"/>
      <c r="W1423" s="27"/>
      <c r="X1423" s="27"/>
      <c r="Y1423" s="27"/>
      <c r="Z1423" s="27"/>
    </row>
    <row r="1424" hidden="1" customHeight="1" spans="1:26">
      <c r="A1424" s="26">
        <v>559</v>
      </c>
      <c r="B1424" s="26">
        <v>93</v>
      </c>
      <c r="C1424" s="26" t="s">
        <v>905</v>
      </c>
      <c r="D1424" s="26" t="s">
        <v>3234</v>
      </c>
      <c r="E1424" s="26" t="s">
        <v>2889</v>
      </c>
      <c r="F1424" s="26" t="str">
        <f t="shared" si="0"/>
        <v>Religious Latin Origin</v>
      </c>
      <c r="G1424" s="26">
        <f t="shared" si="3"/>
        <v>8</v>
      </c>
      <c r="H1424" s="26" t="s">
        <v>4281</v>
      </c>
      <c r="I1424" s="26"/>
      <c r="J1424" s="26"/>
      <c r="K1424" s="26"/>
      <c r="L1424" s="26" t="str">
        <f t="shared" si="2"/>
        <v>E</v>
      </c>
      <c r="M1424" s="26" t="str">
        <f>IFERROR(__xludf.DUMMYFUNCTION("GOOGLETRANSLATE(C1424,""EN"",""KN"")"),"ಭೂತೋಚ್ಚಾಟನೆ")</f>
        <v>ಭೂತೋಚ್ಚಾಟನೆ</v>
      </c>
      <c r="N1424" s="26">
        <f t="array" ref="N1424">_xlfn.XLOOKUP(B1424,'Sets Progress'!I:I,'Sets Progress'!I:I,"NOT YET")</f>
        <v>93</v>
      </c>
      <c r="O1424" s="26" t="str">
        <f t="array" ref="O1424">_xlfn.XLOOKUP(L:L,'Overall Progress'!L:L,'Overall Progress'!L:L,"NOT YET")</f>
        <v>NOT YET</v>
      </c>
      <c r="P1424" s="26"/>
      <c r="Q1424" s="26"/>
      <c r="R1424" s="26"/>
      <c r="S1424" s="26"/>
      <c r="T1424" s="26"/>
      <c r="U1424" s="26"/>
      <c r="V1424" s="26"/>
      <c r="W1424" s="26"/>
      <c r="X1424" s="26"/>
      <c r="Y1424" s="26"/>
      <c r="Z1424" s="26"/>
    </row>
    <row r="1425" hidden="1" customHeight="1" spans="1:26">
      <c r="A1425" s="27">
        <v>708</v>
      </c>
      <c r="B1425" s="27">
        <v>93</v>
      </c>
      <c r="C1425" s="27" t="s">
        <v>1050</v>
      </c>
      <c r="D1425" s="27" t="s">
        <v>1721</v>
      </c>
      <c r="E1425" s="27" t="s">
        <v>2889</v>
      </c>
      <c r="F1425" s="27" t="str">
        <f t="shared" si="0"/>
        <v>Temporal Latin Origin</v>
      </c>
      <c r="G1425" s="27">
        <f t="shared" si="3"/>
        <v>8</v>
      </c>
      <c r="H1425" s="27" t="s">
        <v>4282</v>
      </c>
      <c r="I1425" s="27"/>
      <c r="J1425" s="27"/>
      <c r="K1425" s="27"/>
      <c r="L1425" s="27" t="str">
        <f t="shared" si="2"/>
        <v>I</v>
      </c>
      <c r="M1425" s="27" t="str">
        <f>IFERROR(__xludf.DUMMYFUNCTION("GOOGLETRANSLATE(C1425,""EN"",""KN"")"),"ಭ್ರಮೆ")</f>
        <v>ಭ್ರಮೆ</v>
      </c>
      <c r="N1425" s="27">
        <f t="array" ref="N1425">_xlfn.XLOOKUP(B1425,'Sets Progress'!I:I,'Sets Progress'!I:I,"NOT YET")</f>
        <v>93</v>
      </c>
      <c r="O1425" s="27" t="str">
        <f t="array" ref="O1425">_xlfn.XLOOKUP(L:L,'Overall Progress'!L:L,'Overall Progress'!L:L,"NOT YET")</f>
        <v>NOT YET</v>
      </c>
      <c r="P1425" s="27"/>
      <c r="Q1425" s="27"/>
      <c r="R1425" s="27"/>
      <c r="S1425" s="27"/>
      <c r="T1425" s="27"/>
      <c r="U1425" s="27"/>
      <c r="V1425" s="27"/>
      <c r="W1425" s="27"/>
      <c r="X1425" s="27"/>
      <c r="Y1425" s="27"/>
      <c r="Z1425" s="27"/>
    </row>
    <row r="1426" hidden="1" customHeight="1" spans="1:26">
      <c r="A1426" s="26">
        <v>883</v>
      </c>
      <c r="B1426" s="26">
        <v>93</v>
      </c>
      <c r="C1426" s="26" t="s">
        <v>1220</v>
      </c>
      <c r="D1426" s="26" t="s">
        <v>2716</v>
      </c>
      <c r="E1426" s="26" t="s">
        <v>2889</v>
      </c>
      <c r="F1426" s="26" t="str">
        <f t="shared" si="0"/>
        <v>Negative Traits Latin Origin</v>
      </c>
      <c r="G1426" s="26">
        <f t="shared" si="3"/>
        <v>6</v>
      </c>
      <c r="H1426" s="26" t="s">
        <v>4283</v>
      </c>
      <c r="I1426" s="26"/>
      <c r="J1426" s="26"/>
      <c r="K1426" s="26"/>
      <c r="L1426" s="26" t="str">
        <f t="shared" si="2"/>
        <v>M</v>
      </c>
      <c r="M1426" s="26" t="str">
        <f>IFERROR(__xludf.DUMMYFUNCTION("GOOGLETRANSLATE(C1426,""EN"",""KN"")"),"ಮಲಾಡಿ")</f>
        <v>ಮಲಾಡಿ</v>
      </c>
      <c r="N1426" s="26">
        <f t="array" ref="N1426">_xlfn.XLOOKUP(B1426,'Sets Progress'!I:I,'Sets Progress'!I:I,"NOT YET")</f>
        <v>93</v>
      </c>
      <c r="O1426" s="26" t="str">
        <f t="array" ref="O1426">_xlfn.XLOOKUP(L:L,'Overall Progress'!L:L,'Overall Progress'!L:L,"NOT YET")</f>
        <v>NOT YET</v>
      </c>
      <c r="P1426" s="26"/>
      <c r="Q1426" s="26"/>
      <c r="R1426" s="26"/>
      <c r="S1426" s="26"/>
      <c r="T1426" s="26"/>
      <c r="U1426" s="26"/>
      <c r="V1426" s="26"/>
      <c r="W1426" s="26"/>
      <c r="X1426" s="26"/>
      <c r="Y1426" s="26"/>
      <c r="Z1426" s="26"/>
    </row>
    <row r="1427" hidden="1" customHeight="1" spans="1:26">
      <c r="A1427" s="27">
        <v>955</v>
      </c>
      <c r="B1427" s="27">
        <v>93</v>
      </c>
      <c r="C1427" s="27" t="s">
        <v>1291</v>
      </c>
      <c r="D1427" s="27" t="s">
        <v>2716</v>
      </c>
      <c r="E1427" s="27" t="s">
        <v>2911</v>
      </c>
      <c r="F1427" s="27" t="str">
        <f t="shared" si="0"/>
        <v>Negative Traits French Origin</v>
      </c>
      <c r="G1427" s="27">
        <f t="shared" si="3"/>
        <v>10</v>
      </c>
      <c r="H1427" s="27" t="s">
        <v>4284</v>
      </c>
      <c r="I1427" s="27"/>
      <c r="J1427" s="27"/>
      <c r="K1427" s="27"/>
      <c r="L1427" s="27" t="str">
        <f t="shared" si="2"/>
        <v>N</v>
      </c>
      <c r="M1427" s="27" t="str">
        <f>IFERROR(__xludf.DUMMYFUNCTION("GOOGLETRANSLATE(C1427,""EN"",""KN"")"),"ನಾನ್ಚಾಲಂಟ್")</f>
        <v>ನಾನ್ಚಾಲಂಟ್</v>
      </c>
      <c r="N1427" s="27">
        <f t="array" ref="N1427">_xlfn.XLOOKUP(B1427,'Sets Progress'!I:I,'Sets Progress'!I:I,"NOT YET")</f>
        <v>93</v>
      </c>
      <c r="O1427" s="27" t="str">
        <f t="array" ref="O1427">_xlfn.XLOOKUP(L:L,'Overall Progress'!L:L,'Overall Progress'!L:L,"NOT YET")</f>
        <v>NOT YET</v>
      </c>
      <c r="P1427" s="27"/>
      <c r="Q1427" s="27"/>
      <c r="R1427" s="27"/>
      <c r="S1427" s="27"/>
      <c r="T1427" s="27"/>
      <c r="U1427" s="27"/>
      <c r="V1427" s="27"/>
      <c r="W1427" s="27"/>
      <c r="X1427" s="27"/>
      <c r="Y1427" s="27"/>
      <c r="Z1427" s="27"/>
    </row>
    <row r="1428" hidden="1" customHeight="1" spans="1:26">
      <c r="A1428" s="26">
        <v>1042</v>
      </c>
      <c r="B1428" s="26">
        <v>93</v>
      </c>
      <c r="C1428" s="26" t="s">
        <v>1377</v>
      </c>
      <c r="D1428" s="26" t="s">
        <v>2716</v>
      </c>
      <c r="E1428" s="26" t="s">
        <v>2889</v>
      </c>
      <c r="F1428" s="26" t="str">
        <f t="shared" si="0"/>
        <v>Negative Traits Latin Origin</v>
      </c>
      <c r="G1428" s="26">
        <f t="shared" si="3"/>
        <v>7</v>
      </c>
      <c r="H1428" s="26" t="s">
        <v>4285</v>
      </c>
      <c r="I1428" s="26"/>
      <c r="J1428" s="26"/>
      <c r="K1428" s="26"/>
      <c r="L1428" s="26" t="str">
        <f t="shared" si="2"/>
        <v>P</v>
      </c>
      <c r="M1428" s="26" t="str">
        <f>IFERROR(__xludf.DUMMYFUNCTION("GOOGLETRANSLATE(C1428,""EN"",""KN"")"),"ದ್ರೋಹ")</f>
        <v>ದ್ರೋಹ</v>
      </c>
      <c r="N1428" s="26">
        <f t="array" ref="N1428">_xlfn.XLOOKUP(B1428,'Sets Progress'!I:I,'Sets Progress'!I:I,"NOT YET")</f>
        <v>93</v>
      </c>
      <c r="O1428" s="26" t="str">
        <f t="array" ref="O1428">_xlfn.XLOOKUP(L:L,'Overall Progress'!L:L,'Overall Progress'!L:L,"NOT YET")</f>
        <v>NOT YET</v>
      </c>
      <c r="P1428" s="26"/>
      <c r="Q1428" s="26"/>
      <c r="R1428" s="26"/>
      <c r="S1428" s="26"/>
      <c r="T1428" s="26"/>
      <c r="U1428" s="26"/>
      <c r="V1428" s="26"/>
      <c r="W1428" s="26"/>
      <c r="X1428" s="26"/>
      <c r="Y1428" s="26"/>
      <c r="Z1428" s="26"/>
    </row>
    <row r="1429" hidden="1" customHeight="1" spans="1:26">
      <c r="A1429" s="27">
        <v>1182</v>
      </c>
      <c r="B1429" s="27">
        <v>93</v>
      </c>
      <c r="C1429" s="27" t="s">
        <v>1513</v>
      </c>
      <c r="D1429" s="27" t="s">
        <v>2717</v>
      </c>
      <c r="E1429" s="27" t="s">
        <v>2889</v>
      </c>
      <c r="F1429" s="27" t="str">
        <f t="shared" si="0"/>
        <v>Positive Traits Latin Origin</v>
      </c>
      <c r="G1429" s="27">
        <f t="shared" si="3"/>
        <v>10</v>
      </c>
      <c r="H1429" s="27" t="s">
        <v>4286</v>
      </c>
      <c r="I1429" s="27"/>
      <c r="J1429" s="27"/>
      <c r="K1429" s="27"/>
      <c r="L1429" s="27" t="str">
        <f t="shared" si="2"/>
        <v>R</v>
      </c>
      <c r="M1429" s="27" t="str">
        <f>IFERROR(__xludf.DUMMYFUNCTION("GOOGLETRANSLATE(C1429,""EN"",""KN"")"),"ವಿಮೋಚನೆ")</f>
        <v>ವಿಮೋಚನೆ</v>
      </c>
      <c r="N1429" s="27">
        <f t="array" ref="N1429">_xlfn.XLOOKUP(B1429,'Sets Progress'!I:I,'Sets Progress'!I:I,"NOT YET")</f>
        <v>93</v>
      </c>
      <c r="O1429" s="27" t="str">
        <f t="array" ref="O1429">_xlfn.XLOOKUP(L:L,'Overall Progress'!L:L,'Overall Progress'!L:L,"NOT YET")</f>
        <v>NOT YET</v>
      </c>
      <c r="P1429" s="27"/>
      <c r="Q1429" s="27"/>
      <c r="R1429" s="27"/>
      <c r="S1429" s="27"/>
      <c r="T1429" s="27"/>
      <c r="U1429" s="27"/>
      <c r="V1429" s="27"/>
      <c r="W1429" s="27"/>
      <c r="X1429" s="27"/>
      <c r="Y1429" s="27"/>
      <c r="Z1429" s="27"/>
    </row>
    <row r="1430" hidden="1" customHeight="1" spans="1:26">
      <c r="A1430" s="26">
        <v>1202</v>
      </c>
      <c r="B1430" s="26">
        <v>93</v>
      </c>
      <c r="C1430" s="26" t="s">
        <v>1533</v>
      </c>
      <c r="D1430" s="26" t="s">
        <v>1721</v>
      </c>
      <c r="E1430" s="26" t="s">
        <v>2889</v>
      </c>
      <c r="F1430" s="26" t="str">
        <f t="shared" si="0"/>
        <v>Temporal Latin Origin</v>
      </c>
      <c r="G1430" s="26">
        <f t="shared" si="3"/>
        <v>6</v>
      </c>
      <c r="H1430" s="26" t="s">
        <v>4287</v>
      </c>
      <c r="I1430" s="26"/>
      <c r="J1430" s="26"/>
      <c r="K1430" s="26"/>
      <c r="L1430" s="26" t="str">
        <f t="shared" si="2"/>
        <v>R</v>
      </c>
      <c r="M1430" s="26" t="str">
        <f>IFERROR(__xludf.DUMMYFUNCTION("GOOGLETRANSLATE(C1430,""EN"",""KN"")"),"ರಿಮೋಟ್")</f>
        <v>ರಿಮೋಟ್</v>
      </c>
      <c r="N1430" s="26">
        <f t="array" ref="N1430">_xlfn.XLOOKUP(B1430,'Sets Progress'!I:I,'Sets Progress'!I:I,"NOT YET")</f>
        <v>93</v>
      </c>
      <c r="O1430" s="26" t="str">
        <f t="array" ref="O1430">_xlfn.XLOOKUP(L:L,'Overall Progress'!L:L,'Overall Progress'!L:L,"NOT YET")</f>
        <v>NOT YET</v>
      </c>
      <c r="P1430" s="26"/>
      <c r="Q1430" s="26"/>
      <c r="R1430" s="26"/>
      <c r="S1430" s="26"/>
      <c r="T1430" s="26"/>
      <c r="U1430" s="26"/>
      <c r="V1430" s="26"/>
      <c r="W1430" s="26"/>
      <c r="X1430" s="26"/>
      <c r="Y1430" s="26"/>
      <c r="Z1430" s="26"/>
    </row>
    <row r="1431" hidden="1" customHeight="1" spans="1:26">
      <c r="A1431" s="27">
        <v>1241</v>
      </c>
      <c r="B1431" s="27">
        <v>93</v>
      </c>
      <c r="C1431" s="27" t="s">
        <v>1572</v>
      </c>
      <c r="D1431" s="27" t="s">
        <v>1721</v>
      </c>
      <c r="E1431" s="27" t="s">
        <v>2889</v>
      </c>
      <c r="F1431" s="27" t="str">
        <f t="shared" si="0"/>
        <v>Temporal Latin Origin</v>
      </c>
      <c r="G1431" s="27">
        <f t="shared" si="3"/>
        <v>8</v>
      </c>
      <c r="H1431" s="27" t="s">
        <v>4288</v>
      </c>
      <c r="I1431" s="27"/>
      <c r="J1431" s="27"/>
      <c r="K1431" s="27"/>
      <c r="L1431" s="27" t="str">
        <f t="shared" si="2"/>
        <v>R</v>
      </c>
      <c r="M1431" s="27" t="str">
        <f>IFERROR(__xludf.DUMMYFUNCTION("GOOGLETRANSLATE(C1431,""EN"",""KN"")"),"ಮೆಲುಕು ಹಾಕು")</f>
        <v>ಮೆಲುಕು ಹಾಕು</v>
      </c>
      <c r="N1431" s="27">
        <f t="array" ref="N1431">_xlfn.XLOOKUP(B1431,'Sets Progress'!I:I,'Sets Progress'!I:I,"NOT YET")</f>
        <v>93</v>
      </c>
      <c r="O1431" s="27" t="str">
        <f t="array" ref="O1431">_xlfn.XLOOKUP(L:L,'Overall Progress'!L:L,'Overall Progress'!L:L,"NOT YET")</f>
        <v>NOT YET</v>
      </c>
      <c r="P1431" s="27"/>
      <c r="Q1431" s="27"/>
      <c r="R1431" s="27"/>
      <c r="S1431" s="27"/>
      <c r="T1431" s="27"/>
      <c r="U1431" s="27"/>
      <c r="V1431" s="27"/>
      <c r="W1431" s="27"/>
      <c r="X1431" s="27"/>
      <c r="Y1431" s="27"/>
      <c r="Z1431" s="27"/>
    </row>
    <row r="1432" hidden="1" customHeight="1" spans="1:26">
      <c r="A1432" s="26">
        <v>1372</v>
      </c>
      <c r="B1432" s="26">
        <v>93</v>
      </c>
      <c r="C1432" s="26" t="s">
        <v>1703</v>
      </c>
      <c r="D1432" s="26" t="s">
        <v>1721</v>
      </c>
      <c r="E1432" s="26" t="s">
        <v>2893</v>
      </c>
      <c r="F1432" s="26" t="str">
        <f t="shared" si="0"/>
        <v>Temporal Greek Origin</v>
      </c>
      <c r="G1432" s="26">
        <f t="shared" si="3"/>
        <v>10</v>
      </c>
      <c r="H1432" s="26" t="s">
        <v>4289</v>
      </c>
      <c r="I1432" s="26"/>
      <c r="J1432" s="26"/>
      <c r="K1432" s="26"/>
      <c r="L1432" s="26" t="str">
        <f t="shared" si="2"/>
        <v>S</v>
      </c>
      <c r="M1432" s="26" t="str">
        <f>IFERROR(__xludf.DUMMYFUNCTION("GOOGLETRANSLATE(C1432,""EN"",""KN"")"),"ಸಂಶ್ಲೇಷಿಸಿ")</f>
        <v>ಸಂಶ್ಲೇಷಿಸಿ</v>
      </c>
      <c r="N1432" s="26">
        <f t="array" ref="N1432">_xlfn.XLOOKUP(B1432,'Sets Progress'!I:I,'Sets Progress'!I:I,"NOT YET")</f>
        <v>93</v>
      </c>
      <c r="O1432" s="26" t="str">
        <f t="array" ref="O1432">_xlfn.XLOOKUP(L:L,'Overall Progress'!L:L,'Overall Progress'!L:L,"NOT YET")</f>
        <v>NOT YET</v>
      </c>
      <c r="P1432" s="26"/>
      <c r="Q1432" s="26"/>
      <c r="R1432" s="26"/>
      <c r="S1432" s="26"/>
      <c r="T1432" s="26"/>
      <c r="U1432" s="26"/>
      <c r="V1432" s="26"/>
      <c r="W1432" s="26"/>
      <c r="X1432" s="26"/>
      <c r="Y1432" s="26"/>
      <c r="Z1432" s="26"/>
    </row>
    <row r="1433" hidden="1" customHeight="1" spans="1:26">
      <c r="A1433" s="27">
        <v>125</v>
      </c>
      <c r="B1433" s="27">
        <v>94</v>
      </c>
      <c r="C1433" s="27" t="s">
        <v>474</v>
      </c>
      <c r="D1433" s="27" t="s">
        <v>2928</v>
      </c>
      <c r="E1433" s="27" t="s">
        <v>2893</v>
      </c>
      <c r="F1433" s="27" t="str">
        <f t="shared" si="0"/>
        <v>Philosophical Greek Origin</v>
      </c>
      <c r="G1433" s="27">
        <f t="shared" si="3"/>
        <v>8</v>
      </c>
      <c r="H1433" s="27" t="s">
        <v>4290</v>
      </c>
      <c r="I1433" s="27"/>
      <c r="J1433" s="27"/>
      <c r="K1433" s="27"/>
      <c r="L1433" s="27" t="str">
        <f t="shared" si="2"/>
        <v>A</v>
      </c>
      <c r="M1433" s="27" t="str">
        <f>IFERROR(__xludf.DUMMYFUNCTION("GOOGLETRANSLATE(C1433,""EN"",""KN"")"),"ವಿಲಕ್ಷಣ")</f>
        <v>ವಿಲಕ್ಷಣ</v>
      </c>
      <c r="N1433" s="27" t="str">
        <f t="array" ref="N1433">_xlfn.XLOOKUP(B1433,'Sets Progress'!I:I,'Sets Progress'!I:I,"NOT YET")</f>
        <v>NOT YET</v>
      </c>
      <c r="O1433" s="27" t="str">
        <f t="array" ref="O1433">_xlfn.XLOOKUP(L:L,'Overall Progress'!L:L,'Overall Progress'!L:L,"NOT YET")</f>
        <v>NOT YET</v>
      </c>
      <c r="P1433" s="27"/>
      <c r="Q1433" s="27"/>
      <c r="R1433" s="27"/>
      <c r="S1433" s="27"/>
      <c r="T1433" s="27"/>
      <c r="U1433" s="27"/>
      <c r="V1433" s="27"/>
      <c r="W1433" s="27"/>
      <c r="X1433" s="27"/>
      <c r="Y1433" s="27"/>
      <c r="Z1433" s="27"/>
    </row>
    <row r="1434" hidden="1" customHeight="1" spans="1:26">
      <c r="A1434" s="26">
        <v>159</v>
      </c>
      <c r="B1434" s="26">
        <v>94</v>
      </c>
      <c r="C1434" s="26" t="s">
        <v>508</v>
      </c>
      <c r="D1434" s="26" t="s">
        <v>2946</v>
      </c>
      <c r="E1434" s="26" t="s">
        <v>2889</v>
      </c>
      <c r="F1434" s="26" t="str">
        <f t="shared" si="0"/>
        <v>Emotional Latin Origin</v>
      </c>
      <c r="G1434" s="26">
        <f t="shared" si="3"/>
        <v>12</v>
      </c>
      <c r="H1434" s="26" t="s">
        <v>4291</v>
      </c>
      <c r="I1434" s="26"/>
      <c r="J1434" s="26"/>
      <c r="K1434" s="26"/>
      <c r="L1434" s="26" t="str">
        <f t="shared" si="2"/>
        <v>B</v>
      </c>
      <c r="M1434" s="26" t="str">
        <f>IFERROR(__xludf.DUMMYFUNCTION("GOOGLETRANSLATE(C1434,""EN"",""KN"")"),"ಯುದ್ಧ")</f>
        <v>ಯುದ್ಧ</v>
      </c>
      <c r="N1434" s="26" t="str">
        <f t="array" ref="N1434">_xlfn.XLOOKUP(B1434,'Sets Progress'!I:I,'Sets Progress'!I:I,"NOT YET")</f>
        <v>NOT YET</v>
      </c>
      <c r="O1434" s="26" t="str">
        <f t="array" ref="O1434">_xlfn.XLOOKUP(L:L,'Overall Progress'!L:L,'Overall Progress'!L:L,"NOT YET")</f>
        <v>NOT YET</v>
      </c>
      <c r="P1434" s="26"/>
      <c r="Q1434" s="26"/>
      <c r="R1434" s="26"/>
      <c r="S1434" s="26"/>
      <c r="T1434" s="26"/>
      <c r="U1434" s="26"/>
      <c r="V1434" s="26"/>
      <c r="W1434" s="26"/>
      <c r="X1434" s="26"/>
      <c r="Y1434" s="26"/>
      <c r="Z1434" s="26"/>
    </row>
    <row r="1435" hidden="1" customHeight="1" spans="1:26">
      <c r="A1435" s="27">
        <v>279</v>
      </c>
      <c r="B1435" s="27">
        <v>94</v>
      </c>
      <c r="C1435" s="27" t="s">
        <v>632</v>
      </c>
      <c r="D1435" s="27" t="s">
        <v>1721</v>
      </c>
      <c r="E1435" s="27" t="s">
        <v>2889</v>
      </c>
      <c r="F1435" s="27" t="str">
        <f t="shared" si="0"/>
        <v>Temporal Latin Origin</v>
      </c>
      <c r="G1435" s="27">
        <f t="shared" si="3"/>
        <v>7</v>
      </c>
      <c r="H1435" s="27" t="s">
        <v>4292</v>
      </c>
      <c r="I1435" s="27"/>
      <c r="J1435" s="27"/>
      <c r="K1435" s="27"/>
      <c r="L1435" s="27" t="str">
        <f t="shared" si="2"/>
        <v>C</v>
      </c>
      <c r="M1435" s="27" t="str">
        <f>IFERROR(__xludf.DUMMYFUNCTION("GOOGLETRANSLATE(C1435,""EN"",""KN"")"),"ಕ್ಷಮಿಸಿ")</f>
        <v>ಕ್ಷಮಿಸಿ</v>
      </c>
      <c r="N1435" s="27" t="str">
        <f t="array" ref="N1435">_xlfn.XLOOKUP(B1435,'Sets Progress'!I:I,'Sets Progress'!I:I,"NOT YET")</f>
        <v>NOT YET</v>
      </c>
      <c r="O1435" s="27" t="str">
        <f t="array" ref="O1435">_xlfn.XLOOKUP(L:L,'Overall Progress'!L:L,'Overall Progress'!L:L,"NOT YET")</f>
        <v>NOT YET</v>
      </c>
      <c r="P1435" s="27"/>
      <c r="Q1435" s="27"/>
      <c r="R1435" s="27"/>
      <c r="S1435" s="27"/>
      <c r="T1435" s="27"/>
      <c r="U1435" s="27"/>
      <c r="V1435" s="27"/>
      <c r="W1435" s="27"/>
      <c r="X1435" s="27"/>
      <c r="Y1435" s="27"/>
      <c r="Z1435" s="27"/>
    </row>
    <row r="1436" hidden="1" customHeight="1" spans="1:26">
      <c r="A1436" s="26">
        <v>676</v>
      </c>
      <c r="B1436" s="26">
        <v>94</v>
      </c>
      <c r="C1436" s="26" t="s">
        <v>1018</v>
      </c>
      <c r="D1436" s="26" t="s">
        <v>1721</v>
      </c>
      <c r="E1436" s="26" t="s">
        <v>4293</v>
      </c>
      <c r="F1436" s="26" t="str">
        <f t="shared" si="0"/>
        <v>Temporal Old Italian Origin</v>
      </c>
      <c r="G1436" s="26">
        <f t="shared" si="3"/>
        <v>8</v>
      </c>
      <c r="H1436" s="26" t="s">
        <v>4294</v>
      </c>
      <c r="I1436" s="26"/>
      <c r="J1436" s="26"/>
      <c r="K1436" s="26"/>
      <c r="L1436" s="26" t="str">
        <f t="shared" si="2"/>
        <v>H</v>
      </c>
      <c r="M1436" s="26" t="str">
        <f>IFERROR(__xludf.DUMMYFUNCTION("GOOGLETRANSLATE(C1436,""EN"",""KN"")"),"ಹಾರಂಗ್ಯೂ")</f>
        <v>ಹಾರಂಗ್ಯೂ</v>
      </c>
      <c r="N1436" s="26" t="str">
        <f t="array" ref="N1436">_xlfn.XLOOKUP(B1436,'Sets Progress'!I:I,'Sets Progress'!I:I,"NOT YET")</f>
        <v>NOT YET</v>
      </c>
      <c r="O1436" s="26" t="str">
        <f t="array" ref="O1436">_xlfn.XLOOKUP(L:L,'Overall Progress'!L:L,'Overall Progress'!L:L,"NOT YET")</f>
        <v>NOT YET</v>
      </c>
      <c r="P1436" s="26"/>
      <c r="Q1436" s="26"/>
      <c r="R1436" s="26"/>
      <c r="S1436" s="26"/>
      <c r="T1436" s="26"/>
      <c r="U1436" s="26"/>
      <c r="V1436" s="26"/>
      <c r="W1436" s="26"/>
      <c r="X1436" s="26"/>
      <c r="Y1436" s="26"/>
      <c r="Z1436" s="26"/>
    </row>
    <row r="1437" hidden="1" customHeight="1" spans="1:26">
      <c r="A1437" s="27">
        <v>773</v>
      </c>
      <c r="B1437" s="27">
        <v>94</v>
      </c>
      <c r="C1437" s="27" t="s">
        <v>1114</v>
      </c>
      <c r="D1437" s="27" t="s">
        <v>2716</v>
      </c>
      <c r="E1437" s="27" t="s">
        <v>2889</v>
      </c>
      <c r="F1437" s="27" t="str">
        <f t="shared" si="0"/>
        <v>Negative Traits Latin Origin</v>
      </c>
      <c r="G1437" s="27">
        <f t="shared" si="3"/>
        <v>5</v>
      </c>
      <c r="H1437" s="27" t="s">
        <v>4295</v>
      </c>
      <c r="I1437" s="27"/>
      <c r="J1437" s="27"/>
      <c r="K1437" s="27"/>
      <c r="L1437" s="27" t="str">
        <f t="shared" si="2"/>
        <v>I</v>
      </c>
      <c r="M1437" s="27" t="str">
        <f>IFERROR(__xludf.DUMMYFUNCTION("GOOGLETRANSLATE(C1437,""EN"",""KN"")"),"ಅಸಮರ್ಥ")</f>
        <v>ಅಸಮರ್ಥ</v>
      </c>
      <c r="N1437" s="27" t="str">
        <f t="array" ref="N1437">_xlfn.XLOOKUP(B1437,'Sets Progress'!I:I,'Sets Progress'!I:I,"NOT YET")</f>
        <v>NOT YET</v>
      </c>
      <c r="O1437" s="27" t="str">
        <f t="array" ref="O1437">_xlfn.XLOOKUP(L:L,'Overall Progress'!L:L,'Overall Progress'!L:L,"NOT YET")</f>
        <v>NOT YET</v>
      </c>
      <c r="P1437" s="27"/>
      <c r="Q1437" s="27"/>
      <c r="R1437" s="27"/>
      <c r="S1437" s="27"/>
      <c r="T1437" s="27"/>
      <c r="U1437" s="27"/>
      <c r="V1437" s="27"/>
      <c r="W1437" s="27"/>
      <c r="X1437" s="27"/>
      <c r="Y1437" s="27"/>
      <c r="Z1437" s="27"/>
    </row>
    <row r="1438" hidden="1" customHeight="1" spans="1:26">
      <c r="A1438" s="26">
        <v>1025</v>
      </c>
      <c r="B1438" s="26">
        <v>94</v>
      </c>
      <c r="C1438" s="26" t="s">
        <v>1360</v>
      </c>
      <c r="D1438" s="26" t="s">
        <v>1721</v>
      </c>
      <c r="E1438" s="26" t="s">
        <v>2889</v>
      </c>
      <c r="F1438" s="26" t="str">
        <f t="shared" si="0"/>
        <v>Temporal Latin Origin</v>
      </c>
      <c r="G1438" s="26">
        <f t="shared" si="3"/>
        <v>8</v>
      </c>
      <c r="H1438" s="26" t="s">
        <v>4296</v>
      </c>
      <c r="I1438" s="26"/>
      <c r="J1438" s="26"/>
      <c r="K1438" s="26"/>
      <c r="L1438" s="26" t="str">
        <f t="shared" si="2"/>
        <v>P</v>
      </c>
      <c r="M1438" s="26" t="str">
        <f>IFERROR(__xludf.DUMMYFUNCTION("GOOGLETRANSLATE(C1438,""EN"",""KN"")"),"ಗ್ರಾಮೀಣ")</f>
        <v>ಗ್ರಾಮೀಣ</v>
      </c>
      <c r="N1438" s="26" t="str">
        <f t="array" ref="N1438">_xlfn.XLOOKUP(B1438,'Sets Progress'!I:I,'Sets Progress'!I:I,"NOT YET")</f>
        <v>NOT YET</v>
      </c>
      <c r="O1438" s="26" t="str">
        <f t="array" ref="O1438">_xlfn.XLOOKUP(L:L,'Overall Progress'!L:L,'Overall Progress'!L:L,"NOT YET")</f>
        <v>NOT YET</v>
      </c>
      <c r="P1438" s="26"/>
      <c r="Q1438" s="26"/>
      <c r="R1438" s="26"/>
      <c r="S1438" s="26"/>
      <c r="T1438" s="26"/>
      <c r="U1438" s="26"/>
      <c r="V1438" s="26"/>
      <c r="W1438" s="26"/>
      <c r="X1438" s="26"/>
      <c r="Y1438" s="26"/>
      <c r="Z1438" s="26"/>
    </row>
    <row r="1439" hidden="1" customHeight="1" spans="1:26">
      <c r="A1439" s="27">
        <v>1028</v>
      </c>
      <c r="B1439" s="27">
        <v>94</v>
      </c>
      <c r="C1439" s="27" t="s">
        <v>1363</v>
      </c>
      <c r="D1439" s="27" t="s">
        <v>2716</v>
      </c>
      <c r="E1439" s="27" t="s">
        <v>2889</v>
      </c>
      <c r="F1439" s="27" t="str">
        <f t="shared" si="0"/>
        <v>Negative Traits Latin Origin</v>
      </c>
      <c r="G1439" s="27">
        <f t="shared" si="3"/>
        <v>7</v>
      </c>
      <c r="H1439" s="27" t="s">
        <v>4297</v>
      </c>
      <c r="I1439" s="27"/>
      <c r="J1439" s="27"/>
      <c r="K1439" s="27"/>
      <c r="L1439" s="27" t="str">
        <f t="shared" si="2"/>
        <v>P</v>
      </c>
      <c r="M1439" s="27" t="str">
        <f>IFERROR(__xludf.DUMMYFUNCTION("GOOGLETRANSLATE(C1439,""EN"",""KN"")"),"ಕೊರತೆ")</f>
        <v>ಕೊರತೆ</v>
      </c>
      <c r="N1439" s="27" t="str">
        <f t="array" ref="N1439">_xlfn.XLOOKUP(B1439,'Sets Progress'!I:I,'Sets Progress'!I:I,"NOT YET")</f>
        <v>NOT YET</v>
      </c>
      <c r="O1439" s="27" t="str">
        <f t="array" ref="O1439">_xlfn.XLOOKUP(L:L,'Overall Progress'!L:L,'Overall Progress'!L:L,"NOT YET")</f>
        <v>NOT YET</v>
      </c>
      <c r="P1439" s="27"/>
      <c r="Q1439" s="27"/>
      <c r="R1439" s="27"/>
      <c r="S1439" s="27"/>
      <c r="T1439" s="27"/>
      <c r="U1439" s="27"/>
      <c r="V1439" s="27"/>
      <c r="W1439" s="27"/>
      <c r="X1439" s="27"/>
      <c r="Y1439" s="27"/>
      <c r="Z1439" s="27"/>
    </row>
    <row r="1440" hidden="1" customHeight="1" spans="1:26">
      <c r="A1440" s="26">
        <v>1072</v>
      </c>
      <c r="B1440" s="26">
        <v>94</v>
      </c>
      <c r="C1440" s="26" t="s">
        <v>1407</v>
      </c>
      <c r="D1440" s="26" t="s">
        <v>1721</v>
      </c>
      <c r="E1440" s="26" t="s">
        <v>2893</v>
      </c>
      <c r="F1440" s="26" t="str">
        <f t="shared" si="0"/>
        <v>Temporal Greek Origin</v>
      </c>
      <c r="G1440" s="26">
        <f t="shared" si="3"/>
        <v>7</v>
      </c>
      <c r="H1440" s="26" t="s">
        <v>4298</v>
      </c>
      <c r="I1440" s="26"/>
      <c r="J1440" s="26"/>
      <c r="K1440" s="26"/>
      <c r="L1440" s="26" t="str">
        <f t="shared" si="2"/>
        <v>P</v>
      </c>
      <c r="M1440" s="26" t="str">
        <f>IFERROR(__xludf.DUMMYFUNCTION("GOOGLETRANSLATE(C1440,""EN"",""KN"")"),"ಪ್ಲಾಸ್ಟಿಕ್")</f>
        <v>ಪ್ಲಾಸ್ಟಿಕ್</v>
      </c>
      <c r="N1440" s="26" t="str">
        <f t="array" ref="N1440">_xlfn.XLOOKUP(B1440,'Sets Progress'!I:I,'Sets Progress'!I:I,"NOT YET")</f>
        <v>NOT YET</v>
      </c>
      <c r="O1440" s="26" t="str">
        <f t="array" ref="O1440">_xlfn.XLOOKUP(L:L,'Overall Progress'!L:L,'Overall Progress'!L:L,"NOT YET")</f>
        <v>NOT YET</v>
      </c>
      <c r="P1440" s="26"/>
      <c r="Q1440" s="26"/>
      <c r="R1440" s="26"/>
      <c r="S1440" s="26"/>
      <c r="T1440" s="26"/>
      <c r="U1440" s="26"/>
      <c r="V1440" s="26"/>
      <c r="W1440" s="26"/>
      <c r="X1440" s="26"/>
      <c r="Y1440" s="26"/>
      <c r="Z1440" s="26"/>
    </row>
    <row r="1441" hidden="1" customHeight="1" spans="1:26">
      <c r="A1441" s="27">
        <v>1162</v>
      </c>
      <c r="B1441" s="27">
        <v>94</v>
      </c>
      <c r="C1441" s="27" t="s">
        <v>1493</v>
      </c>
      <c r="D1441" s="27" t="s">
        <v>1721</v>
      </c>
      <c r="E1441" s="27" t="s">
        <v>2889</v>
      </c>
      <c r="F1441" s="27" t="str">
        <f t="shared" si="0"/>
        <v>Temporal Latin Origin</v>
      </c>
      <c r="G1441" s="27">
        <f t="shared" si="3"/>
        <v>9</v>
      </c>
      <c r="H1441" s="27" t="s">
        <v>4299</v>
      </c>
      <c r="I1441" s="28"/>
      <c r="J1441" s="28" t="s">
        <v>4300</v>
      </c>
      <c r="K1441" s="27"/>
      <c r="L1441" s="27" t="str">
        <f t="shared" si="2"/>
        <v>Q</v>
      </c>
      <c r="M1441" s="27" t="str">
        <f>IFERROR(__xludf.DUMMYFUNCTION("GOOGLETRANSLATE(C1441,""EN"",""KN"")"),"ಕೋಟಿಡಿಯನ್")</f>
        <v>ಕೋಟಿಡಿಯನ್</v>
      </c>
      <c r="N1441" s="27" t="str">
        <f t="array" ref="N1441">_xlfn.XLOOKUP(B1441,'Sets Progress'!I:I,'Sets Progress'!I:I,"NOT YET")</f>
        <v>NOT YET</v>
      </c>
      <c r="O1441" s="27" t="str">
        <f t="array" ref="O1441">_xlfn.XLOOKUP(L:L,'Overall Progress'!L:L,'Overall Progress'!L:L,"NOT YET")</f>
        <v>NOT YET</v>
      </c>
      <c r="P1441" s="27"/>
      <c r="Q1441" s="27"/>
      <c r="R1441" s="27"/>
      <c r="S1441" s="27"/>
      <c r="T1441" s="27"/>
      <c r="U1441" s="27"/>
      <c r="V1441" s="27"/>
      <c r="W1441" s="27"/>
      <c r="X1441" s="27"/>
      <c r="Y1441" s="27"/>
      <c r="Z1441" s="27"/>
    </row>
    <row r="1442" hidden="1" customHeight="1" spans="1:26">
      <c r="A1442" s="26">
        <v>1248</v>
      </c>
      <c r="B1442" s="26">
        <v>94</v>
      </c>
      <c r="C1442" s="26" t="s">
        <v>1579</v>
      </c>
      <c r="D1442" s="26" t="s">
        <v>1721</v>
      </c>
      <c r="E1442" s="26" t="s">
        <v>2889</v>
      </c>
      <c r="F1442" s="26" t="str">
        <f t="shared" si="0"/>
        <v>Temporal Latin Origin</v>
      </c>
      <c r="G1442" s="26">
        <f t="shared" si="3"/>
        <v>8</v>
      </c>
      <c r="H1442" s="26" t="s">
        <v>4301</v>
      </c>
      <c r="I1442" s="26"/>
      <c r="J1442" s="26"/>
      <c r="K1442" s="26"/>
      <c r="L1442" s="26" t="str">
        <f t="shared" si="2"/>
        <v>S</v>
      </c>
      <c r="M1442" s="26" t="str">
        <f>IFERROR(__xludf.DUMMYFUNCTION("GOOGLETRANSLATE(C1442,""EN"",""KN"")"),"ಮಂಜೂರಾತಿ")</f>
        <v>ಮಂಜೂರಾತಿ</v>
      </c>
      <c r="N1442" s="26" t="str">
        <f t="array" ref="N1442">_xlfn.XLOOKUP(B1442,'Sets Progress'!I:I,'Sets Progress'!I:I,"NOT YET")</f>
        <v>NOT YET</v>
      </c>
      <c r="O1442" s="26" t="str">
        <f t="array" ref="O1442">_xlfn.XLOOKUP(L:L,'Overall Progress'!L:L,'Overall Progress'!L:L,"NOT YET")</f>
        <v>NOT YET</v>
      </c>
      <c r="P1442" s="26"/>
      <c r="Q1442" s="26"/>
      <c r="R1442" s="26"/>
      <c r="S1442" s="26"/>
      <c r="T1442" s="26"/>
      <c r="U1442" s="26"/>
      <c r="V1442" s="26"/>
      <c r="W1442" s="26"/>
      <c r="X1442" s="26"/>
      <c r="Y1442" s="26"/>
      <c r="Z1442" s="26"/>
    </row>
    <row r="1443" hidden="1" customHeight="1" spans="1:26">
      <c r="A1443" s="27">
        <v>1260</v>
      </c>
      <c r="B1443" s="27">
        <v>94</v>
      </c>
      <c r="C1443" s="27" t="s">
        <v>1591</v>
      </c>
      <c r="D1443" s="27" t="s">
        <v>1721</v>
      </c>
      <c r="E1443" s="27" t="s">
        <v>2921</v>
      </c>
      <c r="F1443" s="27" t="str">
        <f t="shared" si="0"/>
        <v>Temporal Unknown Origin</v>
      </c>
      <c r="G1443" s="27">
        <f t="shared" si="3"/>
        <v>7</v>
      </c>
      <c r="H1443" s="27" t="s">
        <v>4302</v>
      </c>
      <c r="I1443" s="27"/>
      <c r="J1443" s="27"/>
      <c r="K1443" s="27"/>
      <c r="L1443" s="27" t="str">
        <f t="shared" si="2"/>
        <v>S</v>
      </c>
      <c r="M1443" s="27" t="str">
        <f>IFERROR(__xludf.DUMMYFUNCTION("GOOGLETRANSLATE(C1443,""EN"",""KN"")"),"ಹೊಡೆದಾಟ")</f>
        <v>ಹೊಡೆದಾಟ</v>
      </c>
      <c r="N1443" s="27" t="str">
        <f t="array" ref="N1443">_xlfn.XLOOKUP(B1443,'Sets Progress'!I:I,'Sets Progress'!I:I,"NOT YET")</f>
        <v>NOT YET</v>
      </c>
      <c r="O1443" s="27" t="str">
        <f t="array" ref="O1443">_xlfn.XLOOKUP(L:L,'Overall Progress'!L:L,'Overall Progress'!L:L,"NOT YET")</f>
        <v>NOT YET</v>
      </c>
      <c r="P1443" s="27"/>
      <c r="Q1443" s="27"/>
      <c r="R1443" s="27"/>
      <c r="S1443" s="27"/>
      <c r="T1443" s="27"/>
      <c r="U1443" s="27"/>
      <c r="V1443" s="27"/>
      <c r="W1443" s="27"/>
      <c r="X1443" s="27"/>
      <c r="Y1443" s="27"/>
      <c r="Z1443" s="27"/>
    </row>
    <row r="1444" customHeight="1" spans="1:26">
      <c r="A1444" s="26">
        <v>1281</v>
      </c>
      <c r="B1444" s="26">
        <v>94</v>
      </c>
      <c r="C1444" s="26" t="s">
        <v>1612</v>
      </c>
      <c r="D1444" s="26" t="s">
        <v>1721</v>
      </c>
      <c r="E1444" s="26" t="s">
        <v>2908</v>
      </c>
      <c r="F1444" s="26" t="str">
        <f t="shared" si="0"/>
        <v>Temporal Old English Origin</v>
      </c>
      <c r="G1444" s="26">
        <f t="shared" si="3"/>
        <v>4</v>
      </c>
      <c r="H1444" s="26"/>
      <c r="I1444" s="26"/>
      <c r="J1444" s="26"/>
      <c r="K1444" s="26"/>
      <c r="L1444" s="26" t="str">
        <f t="shared" si="2"/>
        <v>S</v>
      </c>
      <c r="M1444" s="26" t="str">
        <f>IFERROR(__xludf.DUMMYFUNCTION("GOOGLETRANSLATE(C1444,""EN"",""KN"")"),"ಶೋಧಿಸಿ")</f>
        <v>ಶೋಧಿಸಿ</v>
      </c>
      <c r="N1444" s="26" t="str">
        <f t="array" ref="N1444">_xlfn.XLOOKUP(B1444,'Sets Progress'!I:I,'Sets Progress'!I:I,"NOT YET")</f>
        <v>NOT YET</v>
      </c>
      <c r="O1444" s="26" t="str">
        <f t="array" ref="O1444">_xlfn.XLOOKUP(L:L,'Overall Progress'!L:L,'Overall Progress'!L:L,"NOT YET")</f>
        <v>NOT YET</v>
      </c>
      <c r="P1444" s="26"/>
      <c r="Q1444" s="26"/>
      <c r="R1444" s="26"/>
      <c r="S1444" s="26"/>
      <c r="T1444" s="26"/>
      <c r="U1444" s="26"/>
      <c r="V1444" s="26"/>
      <c r="W1444" s="26"/>
      <c r="X1444" s="26"/>
      <c r="Y1444" s="26"/>
      <c r="Z1444" s="26"/>
    </row>
    <row r="1445" customHeight="1" spans="1:26">
      <c r="A1445" s="27">
        <v>1306</v>
      </c>
      <c r="B1445" s="27">
        <v>94</v>
      </c>
      <c r="C1445" s="27" t="s">
        <v>1637</v>
      </c>
      <c r="D1445" s="27" t="s">
        <v>2716</v>
      </c>
      <c r="E1445" s="27" t="s">
        <v>2889</v>
      </c>
      <c r="F1445" s="27" t="str">
        <f t="shared" si="0"/>
        <v>Negative Traits Latin Origin</v>
      </c>
      <c r="G1445" s="27">
        <f t="shared" si="3"/>
        <v>6</v>
      </c>
      <c r="H1445" s="27"/>
      <c r="I1445" s="27"/>
      <c r="J1445" s="27"/>
      <c r="K1445" s="27"/>
      <c r="L1445" s="27" t="str">
        <f t="shared" si="2"/>
        <v>S</v>
      </c>
      <c r="M1445" s="27" t="str">
        <f>IFERROR(__xludf.DUMMYFUNCTION("GOOGLETRANSLATE(C1445,""EN"",""KN"")"),"ಸೊರ್ಡಿಡ್")</f>
        <v>ಸೊರ್ಡಿಡ್</v>
      </c>
      <c r="N1445" s="27" t="str">
        <f t="array" ref="N1445">_xlfn.XLOOKUP(B1445,'Sets Progress'!I:I,'Sets Progress'!I:I,"NOT YET")</f>
        <v>NOT YET</v>
      </c>
      <c r="O1445" s="27" t="str">
        <f t="array" ref="O1445">_xlfn.XLOOKUP(L:L,'Overall Progress'!L:L,'Overall Progress'!L:L,"NOT YET")</f>
        <v>NOT YET</v>
      </c>
      <c r="P1445" s="27"/>
      <c r="Q1445" s="27"/>
      <c r="R1445" s="27"/>
      <c r="S1445" s="27"/>
      <c r="T1445" s="27"/>
      <c r="U1445" s="27"/>
      <c r="V1445" s="27"/>
      <c r="W1445" s="27"/>
      <c r="X1445" s="27"/>
      <c r="Y1445" s="27"/>
      <c r="Z1445" s="27"/>
    </row>
    <row r="1446" hidden="1" customHeight="1" spans="1:26">
      <c r="A1446" s="26">
        <v>1376</v>
      </c>
      <c r="B1446" s="26">
        <v>94</v>
      </c>
      <c r="C1446" s="26" t="s">
        <v>1707</v>
      </c>
      <c r="D1446" s="26" t="s">
        <v>2716</v>
      </c>
      <c r="E1446" s="26" t="s">
        <v>2908</v>
      </c>
      <c r="F1446" s="26" t="str">
        <f t="shared" si="0"/>
        <v>Negative Traits Old English Origin</v>
      </c>
      <c r="G1446" s="26">
        <f t="shared" si="3"/>
        <v>8</v>
      </c>
      <c r="H1446" s="26" t="s">
        <v>4303</v>
      </c>
      <c r="I1446" s="26"/>
      <c r="J1446" s="26"/>
      <c r="K1446" s="26"/>
      <c r="L1446" s="26" t="str">
        <f t="shared" si="2"/>
        <v>T</v>
      </c>
      <c r="M1446" s="26" t="str">
        <f>IFERROR(__xludf.DUMMYFUNCTION("GOOGLETRANSLATE(C1446,""EN"",""KN"")"),"ಚಾತುರ್ಯವಿಲ್ಲದ")</f>
        <v>ಚಾತುರ್ಯವಿಲ್ಲದ</v>
      </c>
      <c r="N1446" s="26" t="str">
        <f t="array" ref="N1446">_xlfn.XLOOKUP(B1446,'Sets Progress'!I:I,'Sets Progress'!I:I,"NOT YET")</f>
        <v>NOT YET</v>
      </c>
      <c r="O1446" s="26" t="str">
        <f t="array" ref="O1446">_xlfn.XLOOKUP(L:L,'Overall Progress'!L:L,'Overall Progress'!L:L,"NOT YET")</f>
        <v>NOT YET</v>
      </c>
      <c r="P1446" s="26"/>
      <c r="Q1446" s="26"/>
      <c r="R1446" s="26"/>
      <c r="S1446" s="26"/>
      <c r="T1446" s="26"/>
      <c r="U1446" s="26"/>
      <c r="V1446" s="26"/>
      <c r="W1446" s="26"/>
      <c r="X1446" s="26"/>
      <c r="Y1446" s="26"/>
      <c r="Z1446" s="26"/>
    </row>
    <row r="1447" hidden="1" customHeight="1" spans="1:26">
      <c r="A1447" s="27">
        <v>1379</v>
      </c>
      <c r="B1447" s="27">
        <v>94</v>
      </c>
      <c r="C1447" s="27" t="s">
        <v>1710</v>
      </c>
      <c r="D1447" s="27" t="s">
        <v>1721</v>
      </c>
      <c r="E1447" s="27" t="s">
        <v>2889</v>
      </c>
      <c r="F1447" s="27" t="str">
        <f t="shared" si="0"/>
        <v>Temporal Latin Origin</v>
      </c>
      <c r="G1447" s="27">
        <f t="shared" si="3"/>
        <v>10</v>
      </c>
      <c r="H1447" s="27" t="s">
        <v>4304</v>
      </c>
      <c r="I1447" s="27"/>
      <c r="J1447" s="27"/>
      <c r="K1447" s="27"/>
      <c r="L1447" s="27" t="str">
        <f t="shared" si="2"/>
        <v>T</v>
      </c>
      <c r="M1447" s="27" t="str">
        <f>IFERROR(__xludf.DUMMYFUNCTION("GOOGLETRANSLATE(C1447,""EN"",""KN"")"),"ಸ್ಪರ್ಶಕ")</f>
        <v>ಸ್ಪರ್ಶಕ</v>
      </c>
      <c r="N1447" s="27" t="str">
        <f t="array" ref="N1447">_xlfn.XLOOKUP(B1447,'Sets Progress'!I:I,'Sets Progress'!I:I,"NOT YET")</f>
        <v>NOT YET</v>
      </c>
      <c r="O1447" s="27" t="str">
        <f t="array" ref="O1447">_xlfn.XLOOKUP(L:L,'Overall Progress'!L:L,'Overall Progress'!L:L,"NOT YET")</f>
        <v>NOT YET</v>
      </c>
      <c r="P1447" s="27"/>
      <c r="Q1447" s="27"/>
      <c r="R1447" s="27"/>
      <c r="S1447" s="27"/>
      <c r="T1447" s="27"/>
      <c r="U1447" s="27"/>
      <c r="V1447" s="27"/>
      <c r="W1447" s="27"/>
      <c r="X1447" s="27"/>
      <c r="Y1447" s="27"/>
      <c r="Z1447" s="27"/>
    </row>
    <row r="1448" hidden="1" customHeight="1" spans="1:26">
      <c r="A1448" s="26">
        <v>1393</v>
      </c>
      <c r="B1448" s="26">
        <v>94</v>
      </c>
      <c r="C1448" s="26" t="s">
        <v>1724</v>
      </c>
      <c r="D1448" s="26" t="s">
        <v>2717</v>
      </c>
      <c r="E1448" s="26" t="s">
        <v>2889</v>
      </c>
      <c r="F1448" s="26" t="str">
        <f t="shared" si="0"/>
        <v>Positive Traits Latin Origin</v>
      </c>
      <c r="G1448" s="26">
        <f t="shared" si="3"/>
        <v>8</v>
      </c>
      <c r="H1448" s="26" t="s">
        <v>4305</v>
      </c>
      <c r="I1448" s="26"/>
      <c r="J1448" s="26"/>
      <c r="K1448" s="26"/>
      <c r="L1448" s="26" t="str">
        <f t="shared" si="2"/>
        <v>T</v>
      </c>
      <c r="M1448" s="26" t="str">
        <f>IFERROR(__xludf.DUMMYFUNCTION("GOOGLETRANSLATE(C1448,""EN"",""KN"")"),"ದೃಢತೆ")</f>
        <v>ದೃಢತೆ</v>
      </c>
      <c r="N1448" s="26" t="str">
        <f t="array" ref="N1448">_xlfn.XLOOKUP(B1448,'Sets Progress'!I:I,'Sets Progress'!I:I,"NOT YET")</f>
        <v>NOT YET</v>
      </c>
      <c r="O1448" s="26" t="str">
        <f t="array" ref="O1448">_xlfn.XLOOKUP(L:L,'Overall Progress'!L:L,'Overall Progress'!L:L,"NOT YET")</f>
        <v>NOT YET</v>
      </c>
      <c r="P1448" s="26"/>
      <c r="Q1448" s="26"/>
      <c r="R1448" s="26"/>
      <c r="S1448" s="26"/>
      <c r="T1448" s="26"/>
      <c r="U1448" s="26"/>
      <c r="V1448" s="26"/>
      <c r="W1448" s="26"/>
      <c r="X1448" s="26"/>
      <c r="Y1448" s="26"/>
      <c r="Z1448" s="26"/>
    </row>
    <row r="1449" hidden="1" customHeight="1" spans="1:26">
      <c r="A1449" s="27">
        <v>1394</v>
      </c>
      <c r="B1449" s="27">
        <v>94</v>
      </c>
      <c r="C1449" s="27" t="s">
        <v>1725</v>
      </c>
      <c r="D1449" s="27" t="s">
        <v>2716</v>
      </c>
      <c r="E1449" s="27" t="s">
        <v>2889</v>
      </c>
      <c r="F1449" s="27" t="str">
        <f t="shared" si="0"/>
        <v>Negative Traits Latin Origin</v>
      </c>
      <c r="G1449" s="27">
        <f t="shared" si="3"/>
        <v>11</v>
      </c>
      <c r="H1449" s="27" t="s">
        <v>4306</v>
      </c>
      <c r="I1449" s="27"/>
      <c r="J1449" s="27"/>
      <c r="K1449" s="27"/>
      <c r="L1449" s="27" t="str">
        <f t="shared" si="2"/>
        <v>T</v>
      </c>
      <c r="M1449" s="27" t="str">
        <f>IFERROR(__xludf.DUMMYFUNCTION("GOOGLETRANSLATE(C1449,""EN"",""KN"")"),"ಪ್ರವೃತ್ತಿಯ")</f>
        <v>ಪ್ರವೃತ್ತಿಯ</v>
      </c>
      <c r="N1449" s="27" t="str">
        <f t="array" ref="N1449">_xlfn.XLOOKUP(B1449,'Sets Progress'!I:I,'Sets Progress'!I:I,"NOT YET")</f>
        <v>NOT YET</v>
      </c>
      <c r="O1449" s="27" t="str">
        <f t="array" ref="O1449">_xlfn.XLOOKUP(L:L,'Overall Progress'!L:L,'Overall Progress'!L:L,"NOT YET")</f>
        <v>NOT YET</v>
      </c>
      <c r="P1449" s="27"/>
      <c r="Q1449" s="27"/>
      <c r="R1449" s="27"/>
      <c r="S1449" s="27"/>
      <c r="T1449" s="27"/>
      <c r="U1449" s="27"/>
      <c r="V1449" s="27"/>
      <c r="W1449" s="27"/>
      <c r="X1449" s="27"/>
      <c r="Y1449" s="27"/>
      <c r="Z1449" s="27"/>
    </row>
    <row r="1450" hidden="1" customHeight="1" spans="1:26">
      <c r="A1450" s="26">
        <v>1398</v>
      </c>
      <c r="B1450" s="26">
        <v>94</v>
      </c>
      <c r="C1450" s="26" t="s">
        <v>1729</v>
      </c>
      <c r="D1450" s="26" t="s">
        <v>2717</v>
      </c>
      <c r="E1450" s="26" t="s">
        <v>2889</v>
      </c>
      <c r="F1450" s="26" t="str">
        <f t="shared" si="0"/>
        <v>Positive Traits Latin Origin</v>
      </c>
      <c r="G1450" s="26">
        <f t="shared" si="3"/>
        <v>8</v>
      </c>
      <c r="H1450" s="26" t="s">
        <v>4307</v>
      </c>
      <c r="I1450" s="26"/>
      <c r="J1450" s="26"/>
      <c r="K1450" s="26"/>
      <c r="L1450" s="26" t="str">
        <f t="shared" si="2"/>
        <v>T</v>
      </c>
      <c r="M1450" s="26" t="str">
        <f>IFERROR(__xludf.DUMMYFUNCTION("GOOGLETRANSLATE(C1450,""EN"",""KN"")"),"ಸೊಗಸಾಗಿದೆ")</f>
        <v>ಸೊಗಸಾಗಿದೆ</v>
      </c>
      <c r="N1450" s="26" t="str">
        <f t="array" ref="N1450">_xlfn.XLOOKUP(B1450,'Sets Progress'!I:I,'Sets Progress'!I:I,"NOT YET")</f>
        <v>NOT YET</v>
      </c>
      <c r="O1450" s="26" t="str">
        <f t="array" ref="O1450">_xlfn.XLOOKUP(L:L,'Overall Progress'!L:L,'Overall Progress'!L:L,"NOT YET")</f>
        <v>NOT YET</v>
      </c>
      <c r="P1450" s="26"/>
      <c r="Q1450" s="26"/>
      <c r="R1450" s="26"/>
      <c r="S1450" s="26"/>
      <c r="T1450" s="26"/>
      <c r="U1450" s="26"/>
      <c r="V1450" s="26"/>
      <c r="W1450" s="26"/>
      <c r="X1450" s="26"/>
      <c r="Y1450" s="26"/>
      <c r="Z1450" s="26"/>
    </row>
    <row r="1451" hidden="1" customHeight="1" spans="1:26">
      <c r="A1451" s="27">
        <v>1412</v>
      </c>
      <c r="B1451" s="27">
        <v>94</v>
      </c>
      <c r="C1451" s="27" t="s">
        <v>1743</v>
      </c>
      <c r="D1451" s="27" t="s">
        <v>2716</v>
      </c>
      <c r="E1451" s="27" t="s">
        <v>2889</v>
      </c>
      <c r="F1451" s="27" t="str">
        <f t="shared" si="0"/>
        <v>Negative Traits Latin Origin</v>
      </c>
      <c r="G1451" s="27">
        <f t="shared" si="3"/>
        <v>6</v>
      </c>
      <c r="H1451" s="27" t="s">
        <v>4308</v>
      </c>
      <c r="I1451" s="27"/>
      <c r="J1451" s="27"/>
      <c r="K1451" s="27"/>
      <c r="L1451" s="27" t="str">
        <f t="shared" si="2"/>
        <v>T</v>
      </c>
      <c r="M1451" s="27" t="str">
        <f>IFERROR(__xludf.DUMMYFUNCTION("GOOGLETRANSLATE(C1451,""EN"",""KN"")"),"ಟಾರ್ಪೋರ್")</f>
        <v>ಟಾರ್ಪೋರ್</v>
      </c>
      <c r="N1451" s="27" t="str">
        <f t="array" ref="N1451">_xlfn.XLOOKUP(B1451,'Sets Progress'!I:I,'Sets Progress'!I:I,"NOT YET")</f>
        <v>NOT YET</v>
      </c>
      <c r="O1451" s="27" t="str">
        <f t="array" ref="O1451">_xlfn.XLOOKUP(L:L,'Overall Progress'!L:L,'Overall Progress'!L:L,"NOT YET")</f>
        <v>NOT YET</v>
      </c>
      <c r="P1451" s="27"/>
      <c r="Q1451" s="27"/>
      <c r="R1451" s="27"/>
      <c r="S1451" s="27"/>
      <c r="T1451" s="27"/>
      <c r="U1451" s="27"/>
      <c r="V1451" s="27"/>
      <c r="W1451" s="27"/>
      <c r="X1451" s="27"/>
      <c r="Y1451" s="27"/>
      <c r="Z1451" s="27"/>
    </row>
    <row r="1452" hidden="1" customHeight="1" spans="1:26">
      <c r="A1452" s="26">
        <v>1420</v>
      </c>
      <c r="B1452" s="26">
        <v>94</v>
      </c>
      <c r="C1452" s="26" t="s">
        <v>1751</v>
      </c>
      <c r="D1452" s="26" t="s">
        <v>1721</v>
      </c>
      <c r="E1452" s="26" t="s">
        <v>2889</v>
      </c>
      <c r="F1452" s="26" t="str">
        <f t="shared" si="0"/>
        <v>Temporal Latin Origin</v>
      </c>
      <c r="G1452" s="26">
        <f t="shared" si="3"/>
        <v>10</v>
      </c>
      <c r="H1452" s="26" t="s">
        <v>4309</v>
      </c>
      <c r="I1452" s="26"/>
      <c r="J1452" s="26"/>
      <c r="K1452" s="26"/>
      <c r="L1452" s="26" t="str">
        <f t="shared" si="2"/>
        <v>T</v>
      </c>
      <c r="M1452" s="26" t="str">
        <f>IFERROR(__xludf.DUMMYFUNCTION("GOOGLETRANSLATE(C1452,""EN"",""KN"")"),"ಟ್ರಾನ್ಸಿಟರಿ")</f>
        <v>ಟ್ರಾನ್ಸಿಟರಿ</v>
      </c>
      <c r="N1452" s="26" t="str">
        <f t="array" ref="N1452">_xlfn.XLOOKUP(B1452,'Sets Progress'!I:I,'Sets Progress'!I:I,"NOT YET")</f>
        <v>NOT YET</v>
      </c>
      <c r="O1452" s="26" t="str">
        <f t="array" ref="O1452">_xlfn.XLOOKUP(L:L,'Overall Progress'!L:L,'Overall Progress'!L:L,"NOT YET")</f>
        <v>NOT YET</v>
      </c>
      <c r="P1452" s="26"/>
      <c r="Q1452" s="26"/>
      <c r="R1452" s="26"/>
      <c r="S1452" s="26"/>
      <c r="T1452" s="26"/>
      <c r="U1452" s="26"/>
      <c r="V1452" s="26"/>
      <c r="W1452" s="26"/>
      <c r="X1452" s="26"/>
      <c r="Y1452" s="26"/>
      <c r="Z1452" s="26"/>
    </row>
    <row r="1453" hidden="1" customHeight="1" spans="1:26">
      <c r="A1453" s="27">
        <v>1490</v>
      </c>
      <c r="B1453" s="27">
        <v>94</v>
      </c>
      <c r="C1453" s="27" t="s">
        <v>1818</v>
      </c>
      <c r="D1453" s="27" t="s">
        <v>1721</v>
      </c>
      <c r="E1453" s="27" t="s">
        <v>2889</v>
      </c>
      <c r="F1453" s="27" t="str">
        <f t="shared" si="0"/>
        <v>Temporal Latin Origin</v>
      </c>
      <c r="G1453" s="27">
        <f t="shared" si="3"/>
        <v>9</v>
      </c>
      <c r="H1453" s="27" t="s">
        <v>4310</v>
      </c>
      <c r="I1453" s="27"/>
      <c r="J1453" s="27"/>
      <c r="K1453" s="27"/>
      <c r="L1453" s="27" t="str">
        <f t="shared" si="2"/>
        <v>V</v>
      </c>
      <c r="M1453" s="27" t="str">
        <f>IFERROR(__xludf.DUMMYFUNCTION("GOOGLETRANSLATE(C1453,""EN"",""KN"")"),"ವ್ಯಾಸಿಲೇಟ್")</f>
        <v>ವ್ಯಾಸಿಲೇಟ್</v>
      </c>
      <c r="N1453" s="27" t="str">
        <f t="array" ref="N1453">_xlfn.XLOOKUP(B1453,'Sets Progress'!I:I,'Sets Progress'!I:I,"NOT YET")</f>
        <v>NOT YET</v>
      </c>
      <c r="O1453" s="27" t="str">
        <f t="array" ref="O1453">_xlfn.XLOOKUP(L:L,'Overall Progress'!L:L,'Overall Progress'!L:L,"NOT YET")</f>
        <v>NOT YET</v>
      </c>
      <c r="P1453" s="27"/>
      <c r="Q1453" s="27"/>
      <c r="R1453" s="27"/>
      <c r="S1453" s="27"/>
      <c r="T1453" s="27"/>
      <c r="U1453" s="27"/>
      <c r="V1453" s="27"/>
      <c r="W1453" s="27"/>
      <c r="X1453" s="27"/>
      <c r="Y1453" s="27"/>
      <c r="Z1453" s="27"/>
    </row>
    <row r="1454" hidden="1" customHeight="1" spans="1:26">
      <c r="A1454" s="26">
        <v>81</v>
      </c>
      <c r="B1454" s="26">
        <v>95</v>
      </c>
      <c r="C1454" s="26" t="s">
        <v>432</v>
      </c>
      <c r="D1454" s="26" t="s">
        <v>2946</v>
      </c>
      <c r="E1454" s="26" t="s">
        <v>2893</v>
      </c>
      <c r="F1454" s="26" t="str">
        <f t="shared" si="0"/>
        <v>Emotional Greek Origin</v>
      </c>
      <c r="G1454" s="26">
        <f t="shared" si="3"/>
        <v>12</v>
      </c>
      <c r="H1454" s="26" t="s">
        <v>4311</v>
      </c>
      <c r="I1454" s="26"/>
      <c r="J1454" s="26"/>
      <c r="K1454" s="26"/>
      <c r="L1454" s="26" t="str">
        <f t="shared" si="2"/>
        <v>A</v>
      </c>
      <c r="M1454" s="26" t="str">
        <f>IFERROR(__xludf.DUMMYFUNCTION("GOOGLETRANSLATE(C1454,""EN"",""KN"")"),"ವಿರೋಧಾತ್ಮಕ")</f>
        <v>ವಿರೋಧಾತ್ಮಕ</v>
      </c>
      <c r="N1454" s="26" t="str">
        <f t="array" ref="N1454">_xlfn.XLOOKUP(B1454,'Sets Progress'!I:I,'Sets Progress'!I:I,"NOT YET")</f>
        <v>NOT YET</v>
      </c>
      <c r="O1454" s="26" t="str">
        <f t="array" ref="O1454">_xlfn.XLOOKUP(L:L,'Overall Progress'!L:L,'Overall Progress'!L:L,"NOT YET")</f>
        <v>NOT YET</v>
      </c>
      <c r="P1454" s="26"/>
      <c r="Q1454" s="26"/>
      <c r="R1454" s="26"/>
      <c r="S1454" s="26"/>
      <c r="T1454" s="26"/>
      <c r="U1454" s="26"/>
      <c r="V1454" s="26"/>
      <c r="W1454" s="26"/>
      <c r="X1454" s="26"/>
      <c r="Y1454" s="26"/>
      <c r="Z1454" s="26"/>
    </row>
    <row r="1455" hidden="1" customHeight="1" spans="1:26">
      <c r="A1455" s="27">
        <v>93</v>
      </c>
      <c r="B1455" s="27">
        <v>95</v>
      </c>
      <c r="C1455" s="27" t="s">
        <v>444</v>
      </c>
      <c r="D1455" s="27" t="s">
        <v>2928</v>
      </c>
      <c r="E1455" s="27" t="s">
        <v>2889</v>
      </c>
      <c r="F1455" s="27" t="str">
        <f t="shared" si="0"/>
        <v>Philosophical Latin Origin</v>
      </c>
      <c r="G1455" s="27">
        <f t="shared" si="3"/>
        <v>8</v>
      </c>
      <c r="H1455" s="27" t="s">
        <v>4312</v>
      </c>
      <c r="I1455" s="27"/>
      <c r="J1455" s="27"/>
      <c r="K1455" s="27"/>
      <c r="L1455" s="27" t="str">
        <f t="shared" si="2"/>
        <v>A</v>
      </c>
      <c r="M1455" s="27" t="str">
        <f>IFERROR(__xludf.DUMMYFUNCTION("GOOGLETRANSLATE(C1455,""EN"",""KN"")"),"ಅನುಗುಣವಾದ")</f>
        <v>ಅನುಗುಣವಾದ</v>
      </c>
      <c r="N1455" s="27" t="str">
        <f t="array" ref="N1455">_xlfn.XLOOKUP(B1455,'Sets Progress'!I:I,'Sets Progress'!I:I,"NOT YET")</f>
        <v>NOT YET</v>
      </c>
      <c r="O1455" s="27" t="str">
        <f t="array" ref="O1455">_xlfn.XLOOKUP(L:L,'Overall Progress'!L:L,'Overall Progress'!L:L,"NOT YET")</f>
        <v>NOT YET</v>
      </c>
      <c r="P1455" s="27"/>
      <c r="Q1455" s="27"/>
      <c r="R1455" s="27"/>
      <c r="S1455" s="27"/>
      <c r="T1455" s="27"/>
      <c r="U1455" s="27"/>
      <c r="V1455" s="27"/>
      <c r="W1455" s="27"/>
      <c r="X1455" s="27"/>
      <c r="Y1455" s="27"/>
      <c r="Z1455" s="27"/>
    </row>
    <row r="1456" hidden="1" customHeight="1" spans="1:26">
      <c r="A1456" s="26">
        <v>181</v>
      </c>
      <c r="B1456" s="26">
        <v>95</v>
      </c>
      <c r="C1456" s="26" t="s">
        <v>531</v>
      </c>
      <c r="D1456" s="26" t="s">
        <v>2946</v>
      </c>
      <c r="E1456" s="26" t="s">
        <v>3019</v>
      </c>
      <c r="F1456" s="26" t="str">
        <f t="shared" si="0"/>
        <v>Emotional Italian Origin</v>
      </c>
      <c r="G1456" s="26">
        <f t="shared" si="3"/>
        <v>7</v>
      </c>
      <c r="H1456" s="26" t="s">
        <v>4313</v>
      </c>
      <c r="I1456" s="26"/>
      <c r="J1456" s="26"/>
      <c r="K1456" s="26"/>
      <c r="L1456" s="26" t="str">
        <f t="shared" si="2"/>
        <v>B</v>
      </c>
      <c r="M1456" s="26" t="str">
        <f>IFERROR(__xludf.DUMMYFUNCTION("GOOGLETRANSLATE(C1456,""EN"",""KN"")"),"ಬ್ರಾವಾಡೋ")</f>
        <v>ಬ್ರಾವಾಡೋ</v>
      </c>
      <c r="N1456" s="26" t="str">
        <f t="array" ref="N1456">_xlfn.XLOOKUP(B1456,'Sets Progress'!I:I,'Sets Progress'!I:I,"NOT YET")</f>
        <v>NOT YET</v>
      </c>
      <c r="O1456" s="26" t="str">
        <f t="array" ref="O1456">_xlfn.XLOOKUP(L:L,'Overall Progress'!L:L,'Overall Progress'!L:L,"NOT YET")</f>
        <v>NOT YET</v>
      </c>
      <c r="P1456" s="26"/>
      <c r="Q1456" s="26"/>
      <c r="R1456" s="26"/>
      <c r="S1456" s="26"/>
      <c r="T1456" s="26"/>
      <c r="U1456" s="26"/>
      <c r="V1456" s="26"/>
      <c r="W1456" s="26"/>
      <c r="X1456" s="26"/>
      <c r="Y1456" s="26"/>
      <c r="Z1456" s="26"/>
    </row>
    <row r="1457" hidden="1" customHeight="1" spans="1:26">
      <c r="A1457" s="27">
        <v>203</v>
      </c>
      <c r="B1457" s="27">
        <v>95</v>
      </c>
      <c r="C1457" s="27" t="s">
        <v>553</v>
      </c>
      <c r="D1457" s="27" t="s">
        <v>2717</v>
      </c>
      <c r="E1457" s="27" t="s">
        <v>2889</v>
      </c>
      <c r="F1457" s="27" t="str">
        <f t="shared" si="0"/>
        <v>Positive Traits Latin Origin</v>
      </c>
      <c r="G1457" s="27">
        <f t="shared" si="3"/>
        <v>6</v>
      </c>
      <c r="H1457" s="27" t="s">
        <v>4314</v>
      </c>
      <c r="I1457" s="27"/>
      <c r="J1457" s="27"/>
      <c r="K1457" s="27"/>
      <c r="L1457" s="27" t="str">
        <f t="shared" si="2"/>
        <v>C</v>
      </c>
      <c r="M1457" s="27" t="str">
        <f>IFERROR(__xludf.DUMMYFUNCTION("GOOGLETRANSLATE(C1457,""EN"",""KN"")"),"ಕ್ಯಾಂಡರ್")</f>
        <v>ಕ್ಯಾಂಡರ್</v>
      </c>
      <c r="N1457" s="27" t="str">
        <f t="array" ref="N1457">_xlfn.XLOOKUP(B1457,'Sets Progress'!I:I,'Sets Progress'!I:I,"NOT YET")</f>
        <v>NOT YET</v>
      </c>
      <c r="O1457" s="27" t="str">
        <f t="array" ref="O1457">_xlfn.XLOOKUP(L:L,'Overall Progress'!L:L,'Overall Progress'!L:L,"NOT YET")</f>
        <v>NOT YET</v>
      </c>
      <c r="P1457" s="27"/>
      <c r="Q1457" s="27"/>
      <c r="R1457" s="27"/>
      <c r="S1457" s="27"/>
      <c r="T1457" s="27"/>
      <c r="U1457" s="27"/>
      <c r="V1457" s="27"/>
      <c r="W1457" s="27"/>
      <c r="X1457" s="27"/>
      <c r="Y1457" s="27"/>
      <c r="Z1457" s="27"/>
    </row>
    <row r="1458" hidden="1" customHeight="1" spans="1:26">
      <c r="A1458" s="26">
        <v>306</v>
      </c>
      <c r="B1458" s="26">
        <v>95</v>
      </c>
      <c r="C1458" s="26" t="s">
        <v>658</v>
      </c>
      <c r="D1458" s="26" t="s">
        <v>2946</v>
      </c>
      <c r="E1458" s="26" t="s">
        <v>2889</v>
      </c>
      <c r="F1458" s="26" t="str">
        <f t="shared" si="0"/>
        <v>Emotional Latin Origin</v>
      </c>
      <c r="G1458" s="26">
        <f t="shared" si="3"/>
        <v>10</v>
      </c>
      <c r="H1458" s="26" t="s">
        <v>4315</v>
      </c>
      <c r="I1458" s="26"/>
      <c r="J1458" s="26"/>
      <c r="K1458" s="26"/>
      <c r="L1458" s="26" t="str">
        <f t="shared" si="2"/>
        <v>C</v>
      </c>
      <c r="M1458" s="26" t="str">
        <f>IFERROR(__xludf.DUMMYFUNCTION("GOOGLETRANSLATE(C1458,""EN"",""KN"")"),"ಕನ್ವಿಕ್ಷನ್")</f>
        <v>ಕನ್ವಿಕ್ಷನ್</v>
      </c>
      <c r="N1458" s="26" t="str">
        <f t="array" ref="N1458">_xlfn.XLOOKUP(B1458,'Sets Progress'!I:I,'Sets Progress'!I:I,"NOT YET")</f>
        <v>NOT YET</v>
      </c>
      <c r="O1458" s="26" t="str">
        <f t="array" ref="O1458">_xlfn.XLOOKUP(L:L,'Overall Progress'!L:L,'Overall Progress'!L:L,"NOT YET")</f>
        <v>NOT YET</v>
      </c>
      <c r="P1458" s="26"/>
      <c r="Q1458" s="26"/>
      <c r="R1458" s="26"/>
      <c r="S1458" s="26"/>
      <c r="T1458" s="26"/>
      <c r="U1458" s="26"/>
      <c r="V1458" s="26"/>
      <c r="W1458" s="26"/>
      <c r="X1458" s="26"/>
      <c r="Y1458" s="26"/>
      <c r="Z1458" s="26"/>
    </row>
    <row r="1459" hidden="1" customHeight="1" spans="1:26">
      <c r="A1459" s="27">
        <v>491</v>
      </c>
      <c r="B1459" s="27">
        <v>95</v>
      </c>
      <c r="C1459" s="27" t="s">
        <v>840</v>
      </c>
      <c r="D1459" s="27" t="s">
        <v>1721</v>
      </c>
      <c r="E1459" s="27" t="s">
        <v>2987</v>
      </c>
      <c r="F1459" s="27" t="str">
        <f t="shared" si="0"/>
        <v>Temporal Spanish Origin</v>
      </c>
      <c r="G1459" s="27">
        <f t="shared" si="3"/>
        <v>7</v>
      </c>
      <c r="H1459" s="27" t="s">
        <v>4316</v>
      </c>
      <c r="I1459" s="27"/>
      <c r="J1459" s="27"/>
      <c r="K1459" s="27"/>
      <c r="L1459" s="27" t="str">
        <f t="shared" si="2"/>
        <v>E</v>
      </c>
      <c r="M1459" s="27" t="str">
        <f>IFERROR(__xludf.DUMMYFUNCTION("GOOGLETRANSLATE(C1459,""EN"",""KN"")"),"ನಿರ್ಬಂಧ")</f>
        <v>ನಿರ್ಬಂಧ</v>
      </c>
      <c r="N1459" s="27" t="str">
        <f t="array" ref="N1459">_xlfn.XLOOKUP(B1459,'Sets Progress'!I:I,'Sets Progress'!I:I,"NOT YET")</f>
        <v>NOT YET</v>
      </c>
      <c r="O1459" s="27" t="str">
        <f t="array" ref="O1459">_xlfn.XLOOKUP(L:L,'Overall Progress'!L:L,'Overall Progress'!L:L,"NOT YET")</f>
        <v>NOT YET</v>
      </c>
      <c r="P1459" s="27"/>
      <c r="Q1459" s="27"/>
      <c r="R1459" s="27"/>
      <c r="S1459" s="27"/>
      <c r="T1459" s="27"/>
      <c r="U1459" s="27"/>
      <c r="V1459" s="27"/>
      <c r="W1459" s="27"/>
      <c r="X1459" s="27"/>
      <c r="Y1459" s="27"/>
      <c r="Z1459" s="27"/>
    </row>
    <row r="1460" customHeight="1" spans="1:26">
      <c r="A1460" s="26">
        <v>562</v>
      </c>
      <c r="B1460" s="26">
        <v>95</v>
      </c>
      <c r="C1460" s="26" t="s">
        <v>908</v>
      </c>
      <c r="D1460" s="26" t="s">
        <v>1721</v>
      </c>
      <c r="E1460" s="26" t="s">
        <v>2889</v>
      </c>
      <c r="F1460" s="26" t="str">
        <f t="shared" si="0"/>
        <v>Temporal Latin Origin</v>
      </c>
      <c r="G1460" s="26">
        <f t="shared" si="3"/>
        <v>9</v>
      </c>
      <c r="H1460" s="26"/>
      <c r="I1460" s="26"/>
      <c r="J1460" s="26"/>
      <c r="K1460" s="26"/>
      <c r="L1460" s="26" t="str">
        <f t="shared" si="2"/>
        <v>E</v>
      </c>
      <c r="M1460" s="26" t="str">
        <f>IFERROR(__xludf.DUMMYFUNCTION("GOOGLETRANSLATE(C1460,""EN"",""KN"")"),"ಸೂಕ್ತ")</f>
        <v>ಸೂಕ್ತ</v>
      </c>
      <c r="N1460" s="26" t="str">
        <f t="array" ref="N1460">_xlfn.XLOOKUP(B1460,'Sets Progress'!I:I,'Sets Progress'!I:I,"NOT YET")</f>
        <v>NOT YET</v>
      </c>
      <c r="O1460" s="26" t="str">
        <f t="array" ref="O1460">_xlfn.XLOOKUP(L:L,'Overall Progress'!L:L,'Overall Progress'!L:L,"NOT YET")</f>
        <v>NOT YET</v>
      </c>
      <c r="P1460" s="26"/>
      <c r="Q1460" s="26"/>
      <c r="R1460" s="26"/>
      <c r="S1460" s="26"/>
      <c r="T1460" s="26"/>
      <c r="U1460" s="26"/>
      <c r="V1460" s="26"/>
      <c r="W1460" s="26"/>
      <c r="X1460" s="26"/>
      <c r="Y1460" s="26"/>
      <c r="Z1460" s="26"/>
    </row>
    <row r="1461" hidden="1" customHeight="1" spans="1:26">
      <c r="A1461" s="27">
        <v>778</v>
      </c>
      <c r="B1461" s="27">
        <v>95</v>
      </c>
      <c r="C1461" s="27" t="s">
        <v>1119</v>
      </c>
      <c r="D1461" s="27" t="s">
        <v>1721</v>
      </c>
      <c r="E1461" s="27" t="s">
        <v>2889</v>
      </c>
      <c r="F1461" s="27" t="str">
        <f t="shared" si="0"/>
        <v>Temporal Latin Origin</v>
      </c>
      <c r="G1461" s="27">
        <f t="shared" si="3"/>
        <v>10</v>
      </c>
      <c r="H1461" s="27" t="s">
        <v>4317</v>
      </c>
      <c r="I1461" s="27"/>
      <c r="J1461" s="27"/>
      <c r="K1461" s="27"/>
      <c r="L1461" s="27" t="str">
        <f t="shared" si="2"/>
        <v>I</v>
      </c>
      <c r="M1461" s="27" t="str">
        <f>IFERROR(__xludf.DUMMYFUNCTION("GOOGLETRANSLATE(C1461,""EN"",""KN"")"),"ತಪ್ಪಾಗಲಾರದು")</f>
        <v>ತಪ್ಪಾಗಲಾರದು</v>
      </c>
      <c r="N1461" s="27" t="str">
        <f t="array" ref="N1461">_xlfn.XLOOKUP(B1461,'Sets Progress'!I:I,'Sets Progress'!I:I,"NOT YET")</f>
        <v>NOT YET</v>
      </c>
      <c r="O1461" s="27" t="str">
        <f t="array" ref="O1461">_xlfn.XLOOKUP(L:L,'Overall Progress'!L:L,'Overall Progress'!L:L,"NOT YET")</f>
        <v>NOT YET</v>
      </c>
      <c r="P1461" s="27"/>
      <c r="Q1461" s="27"/>
      <c r="R1461" s="27"/>
      <c r="S1461" s="27"/>
      <c r="T1461" s="27"/>
      <c r="U1461" s="27"/>
      <c r="V1461" s="27"/>
      <c r="W1461" s="27"/>
      <c r="X1461" s="27"/>
      <c r="Y1461" s="27"/>
      <c r="Z1461" s="27"/>
    </row>
    <row r="1462" hidden="1" customHeight="1" spans="1:26">
      <c r="A1462" s="26">
        <v>1133</v>
      </c>
      <c r="B1462" s="26">
        <v>95</v>
      </c>
      <c r="C1462" s="26" t="s">
        <v>1465</v>
      </c>
      <c r="D1462" s="26" t="s">
        <v>2717</v>
      </c>
      <c r="E1462" s="26" t="s">
        <v>2889</v>
      </c>
      <c r="F1462" s="26" t="str">
        <f t="shared" si="0"/>
        <v>Positive Traits Latin Origin</v>
      </c>
      <c r="G1462" s="26">
        <f t="shared" si="3"/>
        <v>10</v>
      </c>
      <c r="H1462" s="26" t="s">
        <v>4318</v>
      </c>
      <c r="I1462" s="26"/>
      <c r="J1462" s="26"/>
      <c r="K1462" s="26"/>
      <c r="L1462" s="26" t="str">
        <f t="shared" si="2"/>
        <v>P</v>
      </c>
      <c r="M1462" s="26" t="str">
        <f>IFERROR(__xludf.DUMMYFUNCTION("GOOGLETRANSLATE(C1462,""EN"",""KN"")"),"ಒಲವು")</f>
        <v>ಒಲವು</v>
      </c>
      <c r="N1462" s="26" t="str">
        <f t="array" ref="N1462">_xlfn.XLOOKUP(B1462,'Sets Progress'!I:I,'Sets Progress'!I:I,"NOT YET")</f>
        <v>NOT YET</v>
      </c>
      <c r="O1462" s="26" t="str">
        <f t="array" ref="O1462">_xlfn.XLOOKUP(L:L,'Overall Progress'!L:L,'Overall Progress'!L:L,"NOT YET")</f>
        <v>NOT YET</v>
      </c>
      <c r="P1462" s="26"/>
      <c r="Q1462" s="26"/>
      <c r="R1462" s="26"/>
      <c r="S1462" s="26"/>
      <c r="T1462" s="26"/>
      <c r="U1462" s="26"/>
      <c r="V1462" s="26"/>
      <c r="W1462" s="26"/>
      <c r="X1462" s="26"/>
      <c r="Y1462" s="26"/>
      <c r="Z1462" s="26"/>
    </row>
    <row r="1463" customHeight="1" spans="1:26">
      <c r="A1463" s="27">
        <v>1317</v>
      </c>
      <c r="B1463" s="27">
        <v>95</v>
      </c>
      <c r="C1463" s="27" t="s">
        <v>1648</v>
      </c>
      <c r="D1463" s="27" t="s">
        <v>2716</v>
      </c>
      <c r="E1463" s="27" t="s">
        <v>2908</v>
      </c>
      <c r="F1463" s="27" t="str">
        <f t="shared" si="0"/>
        <v>Negative Traits Old English Origin</v>
      </c>
      <c r="G1463" s="27">
        <f t="shared" si="3"/>
        <v>5</v>
      </c>
      <c r="H1463" s="27"/>
      <c r="I1463" s="27"/>
      <c r="J1463" s="27"/>
      <c r="K1463" s="27"/>
      <c r="L1463" s="27" t="str">
        <f t="shared" si="2"/>
        <v>S</v>
      </c>
      <c r="M1463" s="27" t="str">
        <f>IFERROR(__xludf.DUMMYFUNCTION("GOOGLETRANSLATE(C1463,""EN"",""KN"")"),"ಸ್ಪರ್ನ್")</f>
        <v>ಸ್ಪರ್ನ್</v>
      </c>
      <c r="N1463" s="27" t="str">
        <f t="array" ref="N1463">_xlfn.XLOOKUP(B1463,'Sets Progress'!I:I,'Sets Progress'!I:I,"NOT YET")</f>
        <v>NOT YET</v>
      </c>
      <c r="O1463" s="27" t="str">
        <f t="array" ref="O1463">_xlfn.XLOOKUP(L:L,'Overall Progress'!L:L,'Overall Progress'!L:L,"NOT YET")</f>
        <v>NOT YET</v>
      </c>
      <c r="P1463" s="27"/>
      <c r="Q1463" s="27"/>
      <c r="R1463" s="27"/>
      <c r="S1463" s="27"/>
      <c r="T1463" s="27"/>
      <c r="U1463" s="27"/>
      <c r="V1463" s="27"/>
      <c r="W1463" s="27"/>
      <c r="X1463" s="27"/>
      <c r="Y1463" s="27"/>
      <c r="Z1463" s="27"/>
    </row>
    <row r="1464" hidden="1" customHeight="1" spans="1:26">
      <c r="A1464" s="26">
        <v>1458</v>
      </c>
      <c r="B1464" s="26">
        <v>95</v>
      </c>
      <c r="C1464" s="26" t="s">
        <v>1786</v>
      </c>
      <c r="D1464" s="26" t="s">
        <v>1721</v>
      </c>
      <c r="E1464" s="26" t="s">
        <v>2908</v>
      </c>
      <c r="F1464" s="26" t="str">
        <f t="shared" si="0"/>
        <v>Temporal Old English Origin</v>
      </c>
      <c r="G1464" s="26">
        <f t="shared" si="3"/>
        <v>4</v>
      </c>
      <c r="H1464" s="26" t="s">
        <v>4319</v>
      </c>
      <c r="I1464" s="26"/>
      <c r="J1464" s="26"/>
      <c r="K1464" s="26"/>
      <c r="L1464" s="26" t="str">
        <f t="shared" si="2"/>
        <v>U</v>
      </c>
      <c r="M1464" s="26" t="str">
        <f>IFERROR(__xludf.DUMMYFUNCTION("GOOGLETRANSLATE(C1464,""EN"",""KN"")"),"ರದ್ದುಮಾಡು")</f>
        <v>ರದ್ದುಮಾಡು</v>
      </c>
      <c r="N1464" s="26" t="str">
        <f t="array" ref="N1464">_xlfn.XLOOKUP(B1464,'Sets Progress'!I:I,'Sets Progress'!I:I,"NOT YET")</f>
        <v>NOT YET</v>
      </c>
      <c r="O1464" s="26" t="str">
        <f t="array" ref="O1464">_xlfn.XLOOKUP(L:L,'Overall Progress'!L:L,'Overall Progress'!L:L,"NOT YET")</f>
        <v>NOT YET</v>
      </c>
      <c r="P1464" s="26"/>
      <c r="Q1464" s="26"/>
      <c r="R1464" s="26"/>
      <c r="S1464" s="26"/>
      <c r="T1464" s="26"/>
      <c r="U1464" s="26"/>
      <c r="V1464" s="26"/>
      <c r="W1464" s="26"/>
      <c r="X1464" s="26"/>
      <c r="Y1464" s="26"/>
      <c r="Z1464" s="26"/>
    </row>
    <row r="1465" hidden="1" customHeight="1" spans="1:26">
      <c r="A1465" s="27">
        <v>1476</v>
      </c>
      <c r="B1465" s="27">
        <v>95</v>
      </c>
      <c r="C1465" s="27" t="s">
        <v>1804</v>
      </c>
      <c r="D1465" s="27" t="s">
        <v>1721</v>
      </c>
      <c r="E1465" s="27" t="s">
        <v>2889</v>
      </c>
      <c r="F1465" s="27" t="str">
        <f t="shared" si="0"/>
        <v>Temporal Latin Origin</v>
      </c>
      <c r="G1465" s="27">
        <f t="shared" si="3"/>
        <v>14</v>
      </c>
      <c r="H1465" s="27" t="s">
        <v>4320</v>
      </c>
      <c r="I1465" s="27"/>
      <c r="J1465" s="27"/>
      <c r="K1465" s="27"/>
      <c r="L1465" s="27" t="str">
        <f t="shared" si="2"/>
        <v>U</v>
      </c>
      <c r="M1465" s="27" t="str">
        <f>IFERROR(__xludf.DUMMYFUNCTION("GOOGLETRANSLATE(C1465,""EN"",""KN"")"),"ಪ್ರಮಾಣೀಕರಿಸಲಾಗದ")</f>
        <v>ಪ್ರಮಾಣೀಕರಿಸಲಾಗದ</v>
      </c>
      <c r="N1465" s="27" t="str">
        <f t="array" ref="N1465">_xlfn.XLOOKUP(B1465,'Sets Progress'!I:I,'Sets Progress'!I:I,"NOT YET")</f>
        <v>NOT YET</v>
      </c>
      <c r="O1465" s="27" t="str">
        <f t="array" ref="O1465">_xlfn.XLOOKUP(L:L,'Overall Progress'!L:L,'Overall Progress'!L:L,"NOT YET")</f>
        <v>NOT YET</v>
      </c>
      <c r="P1465" s="27"/>
      <c r="Q1465" s="27"/>
      <c r="R1465" s="27"/>
      <c r="S1465" s="27"/>
      <c r="T1465" s="27"/>
      <c r="U1465" s="27"/>
      <c r="V1465" s="27"/>
      <c r="W1465" s="27"/>
      <c r="X1465" s="27"/>
      <c r="Y1465" s="27"/>
      <c r="Z1465" s="27"/>
    </row>
    <row r="1466" hidden="1" customHeight="1" spans="1:26">
      <c r="A1466" s="26">
        <v>1541</v>
      </c>
      <c r="B1466" s="26">
        <v>95</v>
      </c>
      <c r="C1466" s="26" t="s">
        <v>291</v>
      </c>
      <c r="D1466" s="26" t="s">
        <v>2717</v>
      </c>
      <c r="E1466" s="26" t="s">
        <v>2893</v>
      </c>
      <c r="F1466" s="26" t="str">
        <f t="shared" si="0"/>
        <v>Positive Traits Greek Origin</v>
      </c>
      <c r="G1466" s="26">
        <f t="shared" si="3"/>
        <v>4</v>
      </c>
      <c r="H1466" s="26" t="s">
        <v>4321</v>
      </c>
      <c r="I1466" s="26"/>
      <c r="J1466" s="26"/>
      <c r="K1466" s="26"/>
      <c r="L1466" s="26" t="str">
        <f t="shared" si="2"/>
        <v>Z</v>
      </c>
      <c r="M1466" s="26" t="str">
        <f>IFERROR(__xludf.DUMMYFUNCTION("GOOGLETRANSLATE(C1466,""EN"",""KN"")"),"ಉತ್ಸಾಹ")</f>
        <v>ಉತ್ಸಾಹ</v>
      </c>
      <c r="N1466" s="26" t="str">
        <f t="array" ref="N1466">_xlfn.XLOOKUP(B1466,'Sets Progress'!I:I,'Sets Progress'!I:I,"NOT YET")</f>
        <v>NOT YET</v>
      </c>
      <c r="O1466" s="26" t="str">
        <f t="array" ref="O1466">_xlfn.XLOOKUP(L:L,'Overall Progress'!L:L,'Overall Progress'!L:L,"NOT YET")</f>
        <v>NOT YET</v>
      </c>
      <c r="P1466" s="26"/>
      <c r="Q1466" s="26"/>
      <c r="R1466" s="26"/>
      <c r="S1466" s="26"/>
      <c r="T1466" s="26"/>
      <c r="U1466" s="26"/>
      <c r="V1466" s="26"/>
      <c r="W1466" s="26"/>
      <c r="X1466" s="26"/>
      <c r="Y1466" s="26"/>
      <c r="Z1466" s="26"/>
    </row>
    <row r="1467" hidden="1" customHeight="1" spans="1:26">
      <c r="A1467" s="27">
        <v>123</v>
      </c>
      <c r="B1467" s="27">
        <v>96</v>
      </c>
      <c r="C1467" s="27" t="s">
        <v>472</v>
      </c>
      <c r="D1467" s="27" t="s">
        <v>2898</v>
      </c>
      <c r="E1467" s="27" t="s">
        <v>2889</v>
      </c>
      <c r="F1467" s="27" t="str">
        <f t="shared" si="0"/>
        <v>Physical Sensation Latin Origin</v>
      </c>
      <c r="G1467" s="27">
        <f t="shared" si="3"/>
        <v>9</v>
      </c>
      <c r="H1467" s="27" t="s">
        <v>4322</v>
      </c>
      <c r="I1467" s="27"/>
      <c r="J1467" s="27"/>
      <c r="K1467" s="27"/>
      <c r="L1467" s="27" t="str">
        <f t="shared" si="2"/>
        <v>A</v>
      </c>
      <c r="M1467" s="27" t="str">
        <f>IFERROR(__xludf.DUMMYFUNCTION("GOOGLETRANSLATE(C1467,""EN"",""KN"")"),"ದುರ್ಬಲಗೊಳಿಸು")</f>
        <v>ದುರ್ಬಲಗೊಳಿಸು</v>
      </c>
      <c r="N1467" s="27" t="str">
        <f t="array" ref="N1467">_xlfn.XLOOKUP(B1467,'Sets Progress'!I:I,'Sets Progress'!I:I,"NOT YET")</f>
        <v>NOT YET</v>
      </c>
      <c r="O1467" s="27" t="str">
        <f t="array" ref="O1467">_xlfn.XLOOKUP(L:L,'Overall Progress'!L:L,'Overall Progress'!L:L,"NOT YET")</f>
        <v>NOT YET</v>
      </c>
      <c r="P1467" s="27"/>
      <c r="Q1467" s="27"/>
      <c r="R1467" s="27"/>
      <c r="S1467" s="27"/>
      <c r="T1467" s="27"/>
      <c r="U1467" s="27"/>
      <c r="V1467" s="27"/>
      <c r="W1467" s="27"/>
      <c r="X1467" s="27"/>
      <c r="Y1467" s="27"/>
      <c r="Z1467" s="27"/>
    </row>
    <row r="1468" hidden="1" customHeight="1" spans="1:26">
      <c r="A1468" s="26">
        <v>153</v>
      </c>
      <c r="B1468" s="26">
        <v>96</v>
      </c>
      <c r="C1468" s="26" t="s">
        <v>502</v>
      </c>
      <c r="D1468" s="26" t="s">
        <v>2892</v>
      </c>
      <c r="E1468" s="26" t="s">
        <v>2908</v>
      </c>
      <c r="F1468" s="26" t="str">
        <f t="shared" si="0"/>
        <v>Spatial Old English Origin</v>
      </c>
      <c r="G1468" s="26">
        <f t="shared" si="3"/>
        <v>7</v>
      </c>
      <c r="H1468" s="26" t="s">
        <v>4323</v>
      </c>
      <c r="I1468" s="26"/>
      <c r="J1468" s="26"/>
      <c r="K1468" s="26"/>
      <c r="L1468" s="26" t="str">
        <f t="shared" si="2"/>
        <v>B</v>
      </c>
      <c r="M1468" s="26" t="str">
        <f>IFERROR(__xludf.DUMMYFUNCTION("GOOGLETRANSLATE(C1468,""EN"",""KN"")"),"ಬೇರಿಂಗ್")</f>
        <v>ಬೇರಿಂಗ್</v>
      </c>
      <c r="N1468" s="26" t="str">
        <f t="array" ref="N1468">_xlfn.XLOOKUP(B1468,'Sets Progress'!I:I,'Sets Progress'!I:I,"NOT YET")</f>
        <v>NOT YET</v>
      </c>
      <c r="O1468" s="26" t="str">
        <f t="array" ref="O1468">_xlfn.XLOOKUP(L:L,'Overall Progress'!L:L,'Overall Progress'!L:L,"NOT YET")</f>
        <v>NOT YET</v>
      </c>
      <c r="P1468" s="26"/>
      <c r="Q1468" s="26"/>
      <c r="R1468" s="26"/>
      <c r="S1468" s="26"/>
      <c r="T1468" s="26"/>
      <c r="U1468" s="26"/>
      <c r="V1468" s="26"/>
      <c r="W1468" s="26"/>
      <c r="X1468" s="26"/>
      <c r="Y1468" s="26"/>
      <c r="Z1468" s="26"/>
    </row>
    <row r="1469" hidden="1" customHeight="1" spans="1:26">
      <c r="A1469" s="27">
        <v>168</v>
      </c>
      <c r="B1469" s="27">
        <v>96</v>
      </c>
      <c r="C1469" s="27" t="s">
        <v>517</v>
      </c>
      <c r="D1469" s="27" t="s">
        <v>2928</v>
      </c>
      <c r="E1469" s="27" t="s">
        <v>2893</v>
      </c>
      <c r="F1469" s="27" t="str">
        <f t="shared" si="0"/>
        <v>Philosophical Greek Origin</v>
      </c>
      <c r="G1469" s="27">
        <f t="shared" si="3"/>
        <v>4</v>
      </c>
      <c r="H1469" s="27" t="s">
        <v>4324</v>
      </c>
      <c r="I1469" s="27"/>
      <c r="J1469" s="27"/>
      <c r="K1469" s="27"/>
      <c r="L1469" s="27" t="str">
        <f t="shared" si="2"/>
        <v>B</v>
      </c>
      <c r="M1469" s="27" t="str">
        <f>IFERROR(__xludf.DUMMYFUNCTION("GOOGLETRANSLATE(C1469,""EN"",""KN"")"),"ಪಕ್ಷಪಾತ")</f>
        <v>ಪಕ್ಷಪಾತ</v>
      </c>
      <c r="N1469" s="27" t="str">
        <f t="array" ref="N1469">_xlfn.XLOOKUP(B1469,'Sets Progress'!I:I,'Sets Progress'!I:I,"NOT YET")</f>
        <v>NOT YET</v>
      </c>
      <c r="O1469" s="27" t="str">
        <f t="array" ref="O1469">_xlfn.XLOOKUP(L:L,'Overall Progress'!L:L,'Overall Progress'!L:L,"NOT YET")</f>
        <v>NOT YET</v>
      </c>
      <c r="P1469" s="27"/>
      <c r="Q1469" s="27"/>
      <c r="R1469" s="27"/>
      <c r="S1469" s="27"/>
      <c r="T1469" s="27"/>
      <c r="U1469" s="27"/>
      <c r="V1469" s="27"/>
      <c r="W1469" s="27"/>
      <c r="X1469" s="27"/>
      <c r="Y1469" s="27"/>
      <c r="Z1469" s="27"/>
    </row>
    <row r="1470" hidden="1" customHeight="1" spans="1:26">
      <c r="A1470" s="26">
        <v>190</v>
      </c>
      <c r="B1470" s="26">
        <v>96</v>
      </c>
      <c r="C1470" s="26" t="s">
        <v>540</v>
      </c>
      <c r="D1470" s="26" t="s">
        <v>2892</v>
      </c>
      <c r="E1470" s="26" t="s">
        <v>2896</v>
      </c>
      <c r="F1470" s="26" t="str">
        <f t="shared" si="0"/>
        <v>Spatial Old French Origin</v>
      </c>
      <c r="G1470" s="26">
        <f t="shared" si="3"/>
        <v>7</v>
      </c>
      <c r="H1470" s="26" t="s">
        <v>4325</v>
      </c>
      <c r="I1470" s="26"/>
      <c r="J1470" s="26"/>
      <c r="K1470" s="26"/>
      <c r="L1470" s="26" t="str">
        <f t="shared" si="2"/>
        <v>B</v>
      </c>
      <c r="M1470" s="26" t="str">
        <f>IFERROR(__xludf.DUMMYFUNCTION("GOOGLETRANSLATE(C1470,""EN"",""KN"")"),"ಬರ್ಜನ್")</f>
        <v>ಬರ್ಜನ್</v>
      </c>
      <c r="N1470" s="26" t="str">
        <f t="array" ref="N1470">_xlfn.XLOOKUP(B1470,'Sets Progress'!I:I,'Sets Progress'!I:I,"NOT YET")</f>
        <v>NOT YET</v>
      </c>
      <c r="O1470" s="26" t="str">
        <f t="array" ref="O1470">_xlfn.XLOOKUP(L:L,'Overall Progress'!L:L,'Overall Progress'!L:L,"NOT YET")</f>
        <v>NOT YET</v>
      </c>
      <c r="P1470" s="26"/>
      <c r="Q1470" s="26"/>
      <c r="R1470" s="26"/>
      <c r="S1470" s="26"/>
      <c r="T1470" s="26"/>
      <c r="U1470" s="26"/>
      <c r="V1470" s="26"/>
      <c r="W1470" s="26"/>
      <c r="X1470" s="26"/>
      <c r="Y1470" s="26"/>
      <c r="Z1470" s="26"/>
    </row>
    <row r="1471" hidden="1" customHeight="1" spans="1:26">
      <c r="A1471" s="27">
        <v>413</v>
      </c>
      <c r="B1471" s="27">
        <v>96</v>
      </c>
      <c r="C1471" s="27" t="s">
        <v>762</v>
      </c>
      <c r="D1471" s="27" t="s">
        <v>1638</v>
      </c>
      <c r="E1471" s="27" t="s">
        <v>2889</v>
      </c>
      <c r="F1471" s="27" t="str">
        <f t="shared" si="0"/>
        <v>Sound Latin Origin</v>
      </c>
      <c r="G1471" s="27">
        <f t="shared" si="3"/>
        <v>7</v>
      </c>
      <c r="H1471" s="27" t="s">
        <v>4326</v>
      </c>
      <c r="I1471" s="27"/>
      <c r="J1471" s="27"/>
      <c r="K1471" s="27"/>
      <c r="L1471" s="27" t="str">
        <f t="shared" si="2"/>
        <v>D</v>
      </c>
      <c r="M1471" s="27" t="str">
        <f>IFERROR(__xludf.DUMMYFUNCTION("GOOGLETRANSLATE(C1471,""EN"",""KN"")"),"ಅಪಶ್ರುತಿ")</f>
        <v>ಅಪಶ್ರುತಿ</v>
      </c>
      <c r="N1471" s="27" t="str">
        <f t="array" ref="N1471">_xlfn.XLOOKUP(B1471,'Sets Progress'!I:I,'Sets Progress'!I:I,"NOT YET")</f>
        <v>NOT YET</v>
      </c>
      <c r="O1471" s="27" t="str">
        <f t="array" ref="O1471">_xlfn.XLOOKUP(L:L,'Overall Progress'!L:L,'Overall Progress'!L:L,"NOT YET")</f>
        <v>NOT YET</v>
      </c>
      <c r="P1471" s="27"/>
      <c r="Q1471" s="27"/>
      <c r="R1471" s="27"/>
      <c r="S1471" s="27"/>
      <c r="T1471" s="27"/>
      <c r="U1471" s="27"/>
      <c r="V1471" s="27"/>
      <c r="W1471" s="27"/>
      <c r="X1471" s="27"/>
      <c r="Y1471" s="27"/>
      <c r="Z1471" s="27"/>
    </row>
    <row r="1472" hidden="1" customHeight="1" spans="1:26">
      <c r="A1472" s="26">
        <v>414</v>
      </c>
      <c r="B1472" s="26">
        <v>96</v>
      </c>
      <c r="C1472" s="26" t="s">
        <v>763</v>
      </c>
      <c r="D1472" s="26" t="s">
        <v>1721</v>
      </c>
      <c r="E1472" s="26" t="s">
        <v>2889</v>
      </c>
      <c r="F1472" s="26" t="str">
        <f t="shared" si="0"/>
        <v>Temporal Latin Origin</v>
      </c>
      <c r="G1472" s="26">
        <f t="shared" si="3"/>
        <v>8</v>
      </c>
      <c r="H1472" s="26" t="s">
        <v>4327</v>
      </c>
      <c r="I1472" s="26"/>
      <c r="J1472" s="26"/>
      <c r="K1472" s="26"/>
      <c r="L1472" s="26" t="str">
        <f t="shared" si="2"/>
        <v>D</v>
      </c>
      <c r="M1472" s="26" t="str">
        <f>IFERROR(__xludf.DUMMYFUNCTION("GOOGLETRANSLATE(C1472,""EN"",""KN"")"),"ರಿಯಾಯಿತಿ")</f>
        <v>ರಿಯಾಯಿತಿ</v>
      </c>
      <c r="N1472" s="26" t="str">
        <f t="array" ref="N1472">_xlfn.XLOOKUP(B1472,'Sets Progress'!I:I,'Sets Progress'!I:I,"NOT YET")</f>
        <v>NOT YET</v>
      </c>
      <c r="O1472" s="26" t="str">
        <f t="array" ref="O1472">_xlfn.XLOOKUP(L:L,'Overall Progress'!L:L,'Overall Progress'!L:L,"NOT YET")</f>
        <v>NOT YET</v>
      </c>
      <c r="P1472" s="26"/>
      <c r="Q1472" s="26"/>
      <c r="R1472" s="26"/>
      <c r="S1472" s="26"/>
      <c r="T1472" s="26"/>
      <c r="U1472" s="26"/>
      <c r="V1472" s="26"/>
      <c r="W1472" s="26"/>
      <c r="X1472" s="26"/>
      <c r="Y1472" s="26"/>
      <c r="Z1472" s="26"/>
    </row>
    <row r="1473" customHeight="1" spans="1:26">
      <c r="A1473" s="27">
        <v>608</v>
      </c>
      <c r="B1473" s="27">
        <v>96</v>
      </c>
      <c r="C1473" s="27" t="s">
        <v>952</v>
      </c>
      <c r="D1473" s="27" t="s">
        <v>1721</v>
      </c>
      <c r="E1473" s="27" t="s">
        <v>2899</v>
      </c>
      <c r="F1473" s="27" t="str">
        <f t="shared" si="0"/>
        <v>Temporal Middle English Origin</v>
      </c>
      <c r="G1473" s="27">
        <f t="shared" si="3"/>
        <v>8</v>
      </c>
      <c r="H1473" s="27"/>
      <c r="I1473" s="27"/>
      <c r="J1473" s="27"/>
      <c r="K1473" s="27"/>
      <c r="L1473" s="27" t="str">
        <f t="shared" si="2"/>
        <v>F</v>
      </c>
      <c r="M1473" s="27" t="str">
        <f>IFERROR(__xludf.DUMMYFUNCTION("GOOGLETRANSLATE(C1473,""EN"",""KN"")"),"ಕ್ಷಣಿಕ")</f>
        <v>ಕ್ಷಣಿಕ</v>
      </c>
      <c r="N1473" s="27" t="str">
        <f t="array" ref="N1473">_xlfn.XLOOKUP(B1473,'Sets Progress'!I:I,'Sets Progress'!I:I,"NOT YET")</f>
        <v>NOT YET</v>
      </c>
      <c r="O1473" s="27" t="str">
        <f t="array" ref="O1473">_xlfn.XLOOKUP(L:L,'Overall Progress'!L:L,'Overall Progress'!L:L,"NOT YET")</f>
        <v>NOT YET</v>
      </c>
      <c r="P1473" s="27"/>
      <c r="Q1473" s="27"/>
      <c r="R1473" s="27"/>
      <c r="S1473" s="27"/>
      <c r="T1473" s="27"/>
      <c r="U1473" s="27"/>
      <c r="V1473" s="27"/>
      <c r="W1473" s="27"/>
      <c r="X1473" s="27"/>
      <c r="Y1473" s="27"/>
      <c r="Z1473" s="27"/>
    </row>
    <row r="1474" customHeight="1" spans="1:26">
      <c r="A1474" s="26">
        <v>633</v>
      </c>
      <c r="B1474" s="26">
        <v>96</v>
      </c>
      <c r="C1474" s="26" t="s">
        <v>977</v>
      </c>
      <c r="D1474" s="26" t="s">
        <v>2946</v>
      </c>
      <c r="E1474" s="26" t="s">
        <v>2889</v>
      </c>
      <c r="F1474" s="26" t="str">
        <f t="shared" si="0"/>
        <v>Emotional Latin Origin</v>
      </c>
      <c r="G1474" s="26">
        <f t="shared" si="3"/>
        <v>8</v>
      </c>
      <c r="H1474" s="26"/>
      <c r="I1474" s="26"/>
      <c r="J1474" s="26"/>
      <c r="K1474" s="26"/>
      <c r="L1474" s="26" t="str">
        <f t="shared" si="2"/>
        <v>F</v>
      </c>
      <c r="M1474" s="26" t="str">
        <f>IFERROR(__xludf.DUMMYFUNCTION("GOOGLETRANSLATE(C1474,""EN"",""KN"")"),"ಉನ್ಮಾದದ")</f>
        <v>ಉನ್ಮಾದದ</v>
      </c>
      <c r="N1474" s="26" t="str">
        <f t="array" ref="N1474">_xlfn.XLOOKUP(B1474,'Sets Progress'!I:I,'Sets Progress'!I:I,"NOT YET")</f>
        <v>NOT YET</v>
      </c>
      <c r="O1474" s="26" t="str">
        <f t="array" ref="O1474">_xlfn.XLOOKUP(L:L,'Overall Progress'!L:L,'Overall Progress'!L:L,"NOT YET")</f>
        <v>NOT YET</v>
      </c>
      <c r="P1474" s="26"/>
      <c r="Q1474" s="26"/>
      <c r="R1474" s="26"/>
      <c r="S1474" s="26"/>
      <c r="T1474" s="26"/>
      <c r="U1474" s="26"/>
      <c r="V1474" s="26"/>
      <c r="W1474" s="26"/>
      <c r="X1474" s="26"/>
      <c r="Y1474" s="26"/>
      <c r="Z1474" s="26"/>
    </row>
    <row r="1475" customHeight="1" spans="1:26">
      <c r="A1475" s="27">
        <v>819</v>
      </c>
      <c r="B1475" s="27">
        <v>96</v>
      </c>
      <c r="C1475" s="27" t="s">
        <v>1159</v>
      </c>
      <c r="D1475" s="27" t="s">
        <v>1721</v>
      </c>
      <c r="E1475" s="27" t="s">
        <v>2889</v>
      </c>
      <c r="F1475" s="27" t="str">
        <f t="shared" si="0"/>
        <v>Temporal Latin Origin</v>
      </c>
      <c r="G1475" s="27">
        <f t="shared" si="3"/>
        <v>8</v>
      </c>
      <c r="H1475" s="27"/>
      <c r="I1475" s="27"/>
      <c r="J1475" s="27"/>
      <c r="K1475" s="27"/>
      <c r="L1475" s="27" t="str">
        <f t="shared" si="2"/>
        <v>I</v>
      </c>
      <c r="M1475" s="27" t="str">
        <f>IFERROR(__xludf.DUMMYFUNCTION("GOOGLETRANSLATE(C1475,""EN"",""KN"")"),"ತನಿಖೆ")</f>
        <v>ತನಿಖೆ</v>
      </c>
      <c r="N1475" s="27" t="str">
        <f t="array" ref="N1475">_xlfn.XLOOKUP(B1475,'Sets Progress'!I:I,'Sets Progress'!I:I,"NOT YET")</f>
        <v>NOT YET</v>
      </c>
      <c r="O1475" s="27" t="str">
        <f t="array" ref="O1475">_xlfn.XLOOKUP(L:L,'Overall Progress'!L:L,'Overall Progress'!L:L,"NOT YET")</f>
        <v>NOT YET</v>
      </c>
      <c r="P1475" s="27"/>
      <c r="Q1475" s="27"/>
      <c r="R1475" s="27"/>
      <c r="S1475" s="27"/>
      <c r="T1475" s="27"/>
      <c r="U1475" s="27"/>
      <c r="V1475" s="27"/>
      <c r="W1475" s="27"/>
      <c r="X1475" s="27"/>
      <c r="Y1475" s="27"/>
      <c r="Z1475" s="27"/>
    </row>
    <row r="1476" hidden="1" customHeight="1" spans="1:26">
      <c r="A1476" s="26">
        <v>1009</v>
      </c>
      <c r="B1476" s="26">
        <v>96</v>
      </c>
      <c r="C1476" s="26" t="s">
        <v>1344</v>
      </c>
      <c r="D1476" s="26" t="s">
        <v>1721</v>
      </c>
      <c r="E1476" s="26" t="s">
        <v>2889</v>
      </c>
      <c r="F1476" s="26" t="str">
        <f t="shared" si="0"/>
        <v>Temporal Latin Origin</v>
      </c>
      <c r="G1476" s="26">
        <f t="shared" si="3"/>
        <v>8</v>
      </c>
      <c r="H1476" s="26" t="s">
        <v>4328</v>
      </c>
      <c r="I1476" s="26"/>
      <c r="J1476" s="26"/>
      <c r="K1476" s="26"/>
      <c r="L1476" s="26" t="str">
        <f t="shared" si="2"/>
        <v>P</v>
      </c>
      <c r="M1476" s="26" t="str">
        <f>IFERROR(__xludf.DUMMYFUNCTION("GOOGLETRANSLATE(C1476,""EN"",""KN"")"),"ಉಪಶಮನ")</f>
        <v>ಉಪಶಮನ</v>
      </c>
      <c r="N1476" s="26" t="str">
        <f t="array" ref="N1476">_xlfn.XLOOKUP(B1476,'Sets Progress'!I:I,'Sets Progress'!I:I,"NOT YET")</f>
        <v>NOT YET</v>
      </c>
      <c r="O1476" s="26" t="str">
        <f t="array" ref="O1476">_xlfn.XLOOKUP(L:L,'Overall Progress'!L:L,'Overall Progress'!L:L,"NOT YET")</f>
        <v>NOT YET</v>
      </c>
      <c r="P1476" s="26"/>
      <c r="Q1476" s="26"/>
      <c r="R1476" s="26"/>
      <c r="S1476" s="26"/>
      <c r="T1476" s="26"/>
      <c r="U1476" s="26"/>
      <c r="V1476" s="26"/>
      <c r="W1476" s="26"/>
      <c r="X1476" s="26"/>
      <c r="Y1476" s="26"/>
      <c r="Z1476" s="26"/>
    </row>
    <row r="1477" hidden="1" customHeight="1" spans="1:26">
      <c r="A1477" s="27">
        <v>1050</v>
      </c>
      <c r="B1477" s="27">
        <v>96</v>
      </c>
      <c r="C1477" s="27" t="s">
        <v>1385</v>
      </c>
      <c r="D1477" s="27" t="s">
        <v>2717</v>
      </c>
      <c r="E1477" s="27" t="s">
        <v>2889</v>
      </c>
      <c r="F1477" s="27" t="str">
        <f t="shared" si="0"/>
        <v>Positive Traits Latin Origin</v>
      </c>
      <c r="G1477" s="27">
        <f t="shared" si="3"/>
        <v>12</v>
      </c>
      <c r="H1477" s="27" t="s">
        <v>4329</v>
      </c>
      <c r="I1477" s="27"/>
      <c r="J1477" s="27"/>
      <c r="K1477" s="27"/>
      <c r="L1477" s="27" t="str">
        <f t="shared" si="2"/>
        <v>P</v>
      </c>
      <c r="M1477" s="27" t="str">
        <f>IFERROR(__xludf.DUMMYFUNCTION("GOOGLETRANSLATE(C1477,""EN"",""KN"")"),"ಪರಿಶ್ರಮ")</f>
        <v>ಪರಿಶ್ರಮ</v>
      </c>
      <c r="N1477" s="27" t="str">
        <f t="array" ref="N1477">_xlfn.XLOOKUP(B1477,'Sets Progress'!I:I,'Sets Progress'!I:I,"NOT YET")</f>
        <v>NOT YET</v>
      </c>
      <c r="O1477" s="27" t="str">
        <f t="array" ref="O1477">_xlfn.XLOOKUP(L:L,'Overall Progress'!L:L,'Overall Progress'!L:L,"NOT YET")</f>
        <v>NOT YET</v>
      </c>
      <c r="P1477" s="27"/>
      <c r="Q1477" s="27"/>
      <c r="R1477" s="27"/>
      <c r="S1477" s="27"/>
      <c r="T1477" s="27"/>
      <c r="U1477" s="27"/>
      <c r="V1477" s="27"/>
      <c r="W1477" s="27"/>
      <c r="X1477" s="27"/>
      <c r="Y1477" s="27"/>
      <c r="Z1477" s="27"/>
    </row>
    <row r="1478" hidden="1" customHeight="1" spans="1:26">
      <c r="A1478" s="26">
        <v>1517</v>
      </c>
      <c r="B1478" s="26">
        <v>96</v>
      </c>
      <c r="C1478" s="26" t="s">
        <v>1845</v>
      </c>
      <c r="D1478" s="26" t="s">
        <v>2717</v>
      </c>
      <c r="E1478" s="26" t="s">
        <v>2889</v>
      </c>
      <c r="F1478" s="26" t="str">
        <f t="shared" si="0"/>
        <v>Positive Traits Latin Origin</v>
      </c>
      <c r="G1478" s="26">
        <f t="shared" si="3"/>
        <v>9</v>
      </c>
      <c r="H1478" s="26" t="s">
        <v>4330</v>
      </c>
      <c r="I1478" s="26"/>
      <c r="J1478" s="26"/>
      <c r="K1478" s="26"/>
      <c r="L1478" s="26" t="str">
        <f t="shared" si="2"/>
        <v>V</v>
      </c>
      <c r="M1478" s="26" t="str">
        <f>IFERROR(__xludf.DUMMYFUNCTION("GOOGLETRANSLATE(C1478,""EN"",""KN"")"),"ಉತ್ಸಾಹಭರಿತ")</f>
        <v>ಉತ್ಸಾಹಭರಿತ</v>
      </c>
      <c r="N1478" s="26" t="str">
        <f t="array" ref="N1478">_xlfn.XLOOKUP(B1478,'Sets Progress'!I:I,'Sets Progress'!I:I,"NOT YET")</f>
        <v>NOT YET</v>
      </c>
      <c r="O1478" s="26" t="str">
        <f t="array" ref="O1478">_xlfn.XLOOKUP(L:L,'Overall Progress'!L:L,'Overall Progress'!L:L,"NOT YET")</f>
        <v>NOT YET</v>
      </c>
      <c r="P1478" s="26"/>
      <c r="Q1478" s="26"/>
      <c r="R1478" s="26"/>
      <c r="S1478" s="26"/>
      <c r="T1478" s="26"/>
      <c r="U1478" s="26"/>
      <c r="V1478" s="26"/>
      <c r="W1478" s="26"/>
      <c r="X1478" s="26"/>
      <c r="Y1478" s="26"/>
      <c r="Z1478" s="26"/>
    </row>
    <row r="1479" hidden="1" customHeight="1" spans="1:26">
      <c r="A1479" s="27">
        <v>2</v>
      </c>
      <c r="B1479" s="27">
        <v>97</v>
      </c>
      <c r="C1479" s="27" t="s">
        <v>371</v>
      </c>
      <c r="D1479" s="27" t="s">
        <v>1721</v>
      </c>
      <c r="E1479" s="27" t="s">
        <v>2889</v>
      </c>
      <c r="F1479" s="27" t="str">
        <f t="shared" si="0"/>
        <v>Temporal Latin Origin</v>
      </c>
      <c r="G1479" s="27">
        <f t="shared" si="3"/>
        <v>5</v>
      </c>
      <c r="H1479" s="27" t="s">
        <v>4331</v>
      </c>
      <c r="I1479" s="27"/>
      <c r="J1479" s="27"/>
      <c r="K1479" s="27"/>
      <c r="L1479" s="27" t="str">
        <f t="shared" si="2"/>
        <v>A</v>
      </c>
      <c r="M1479" s="27" t="str">
        <f>IFERROR(__xludf.DUMMYFUNCTION("GOOGLETRANSLATE(C1479,""EN"",""KN"")"),"ತಗ್ಗಿಸು")</f>
        <v>ತಗ್ಗಿಸು</v>
      </c>
      <c r="N1479" s="27" t="str">
        <f t="array" ref="N1479">_xlfn.XLOOKUP(B1479,'Sets Progress'!I:I,'Sets Progress'!I:I,"NOT YET")</f>
        <v>NOT YET</v>
      </c>
      <c r="O1479" s="27" t="str">
        <f t="array" ref="O1479">_xlfn.XLOOKUP(L:L,'Overall Progress'!L:L,'Overall Progress'!L:L,"NOT YET")</f>
        <v>NOT YET</v>
      </c>
      <c r="P1479" s="27"/>
      <c r="Q1479" s="27"/>
      <c r="R1479" s="27"/>
      <c r="S1479" s="27"/>
      <c r="T1479" s="27"/>
      <c r="U1479" s="27"/>
      <c r="V1479" s="27"/>
      <c r="W1479" s="27"/>
      <c r="X1479" s="27"/>
      <c r="Y1479" s="27"/>
      <c r="Z1479" s="27"/>
    </row>
    <row r="1480" hidden="1" customHeight="1" spans="1:26">
      <c r="A1480" s="26">
        <v>78</v>
      </c>
      <c r="B1480" s="26">
        <v>97</v>
      </c>
      <c r="C1480" s="26" t="s">
        <v>430</v>
      </c>
      <c r="D1480" s="26" t="s">
        <v>2898</v>
      </c>
      <c r="E1480" s="26" t="s">
        <v>2889</v>
      </c>
      <c r="F1480" s="26" t="str">
        <f t="shared" si="0"/>
        <v>Physical Sensation Latin Origin</v>
      </c>
      <c r="G1480" s="26">
        <f t="shared" si="3"/>
        <v>6</v>
      </c>
      <c r="H1480" s="26" t="s">
        <v>4332</v>
      </c>
      <c r="I1480" s="26"/>
      <c r="J1480" s="26"/>
      <c r="K1480" s="26"/>
      <c r="L1480" s="26" t="str">
        <f t="shared" si="2"/>
        <v>A</v>
      </c>
      <c r="M1480" s="26" t="str">
        <f>IFERROR(__xludf.DUMMYFUNCTION("GOOGLETRANSLATE(C1480,""EN"",""KN"")"),"ಅಭಿಷೇಕ ಮಾಡು")</f>
        <v>ಅಭಿಷೇಕ ಮಾಡು</v>
      </c>
      <c r="N1480" s="26" t="str">
        <f t="array" ref="N1480">_xlfn.XLOOKUP(B1480,'Sets Progress'!I:I,'Sets Progress'!I:I,"NOT YET")</f>
        <v>NOT YET</v>
      </c>
      <c r="O1480" s="26" t="str">
        <f t="array" ref="O1480">_xlfn.XLOOKUP(L:L,'Overall Progress'!L:L,'Overall Progress'!L:L,"NOT YET")</f>
        <v>NOT YET</v>
      </c>
      <c r="P1480" s="26"/>
      <c r="Q1480" s="26"/>
      <c r="R1480" s="26"/>
      <c r="S1480" s="26"/>
      <c r="T1480" s="26"/>
      <c r="U1480" s="26"/>
      <c r="V1480" s="26"/>
      <c r="W1480" s="26"/>
      <c r="X1480" s="26"/>
      <c r="Y1480" s="26"/>
      <c r="Z1480" s="26"/>
    </row>
    <row r="1481" hidden="1" customHeight="1" spans="1:26">
      <c r="A1481" s="27">
        <v>243</v>
      </c>
      <c r="B1481" s="27">
        <v>97</v>
      </c>
      <c r="C1481" s="27" t="s">
        <v>594</v>
      </c>
      <c r="D1481" s="27" t="s">
        <v>2898</v>
      </c>
      <c r="E1481" s="27" t="s">
        <v>2899</v>
      </c>
      <c r="F1481" s="27" t="str">
        <f t="shared" si="0"/>
        <v>Physical Sensation Middle English Origin</v>
      </c>
      <c r="G1481" s="27">
        <f t="shared" si="3"/>
        <v>6</v>
      </c>
      <c r="H1481" s="27" t="s">
        <v>4333</v>
      </c>
      <c r="I1481" s="27"/>
      <c r="J1481" s="27"/>
      <c r="K1481" s="27"/>
      <c r="L1481" s="27" t="str">
        <f t="shared" si="2"/>
        <v>C</v>
      </c>
      <c r="M1481" s="27" t="str">
        <f>IFERROR(__xludf.DUMMYFUNCTION("GOOGLETRANSLATE(C1481,""EN"",""KN"")"),"ಬೃಹದಾಕಾರದ")</f>
        <v>ಬೃಹದಾಕಾರದ</v>
      </c>
      <c r="N1481" s="27" t="str">
        <f t="array" ref="N1481">_xlfn.XLOOKUP(B1481,'Sets Progress'!I:I,'Sets Progress'!I:I,"NOT YET")</f>
        <v>NOT YET</v>
      </c>
      <c r="O1481" s="27" t="str">
        <f t="array" ref="O1481">_xlfn.XLOOKUP(L:L,'Overall Progress'!L:L,'Overall Progress'!L:L,"NOT YET")</f>
        <v>NOT YET</v>
      </c>
      <c r="P1481" s="27"/>
      <c r="Q1481" s="27"/>
      <c r="R1481" s="27"/>
      <c r="S1481" s="27"/>
      <c r="T1481" s="27"/>
      <c r="U1481" s="27"/>
      <c r="V1481" s="27"/>
      <c r="W1481" s="27"/>
      <c r="X1481" s="27"/>
      <c r="Y1481" s="27"/>
      <c r="Z1481" s="27"/>
    </row>
    <row r="1482" hidden="1" customHeight="1" spans="1:26">
      <c r="A1482" s="26">
        <v>256</v>
      </c>
      <c r="B1482" s="26">
        <v>97</v>
      </c>
      <c r="C1482" s="26" t="s">
        <v>609</v>
      </c>
      <c r="D1482" s="26" t="s">
        <v>2717</v>
      </c>
      <c r="E1482" s="26" t="s">
        <v>2889</v>
      </c>
      <c r="F1482" s="26" t="str">
        <f t="shared" si="0"/>
        <v>Positive Traits Latin Origin</v>
      </c>
      <c r="G1482" s="26">
        <f t="shared" si="3"/>
        <v>6</v>
      </c>
      <c r="H1482" s="26" t="s">
        <v>4334</v>
      </c>
      <c r="I1482" s="26"/>
      <c r="J1482" s="26"/>
      <c r="K1482" s="26"/>
      <c r="L1482" s="26" t="str">
        <f t="shared" si="2"/>
        <v>C</v>
      </c>
      <c r="M1482" s="26" t="str">
        <f>IFERROR(__xludf.DUMMYFUNCTION("GOOGLETRANSLATE(C1482,""EN"",""KN"")"),"ಕಾಮಿಟಿ")</f>
        <v>ಕಾಮಿಟಿ</v>
      </c>
      <c r="N1482" s="26" t="str">
        <f t="array" ref="N1482">_xlfn.XLOOKUP(B1482,'Sets Progress'!I:I,'Sets Progress'!I:I,"NOT YET")</f>
        <v>NOT YET</v>
      </c>
      <c r="O1482" s="26" t="str">
        <f t="array" ref="O1482">_xlfn.XLOOKUP(L:L,'Overall Progress'!L:L,'Overall Progress'!L:L,"NOT YET")</f>
        <v>NOT YET</v>
      </c>
      <c r="P1482" s="26"/>
      <c r="Q1482" s="26"/>
      <c r="R1482" s="26"/>
      <c r="S1482" s="26"/>
      <c r="T1482" s="26"/>
      <c r="U1482" s="26"/>
      <c r="V1482" s="26"/>
      <c r="W1482" s="26"/>
      <c r="X1482" s="26"/>
      <c r="Y1482" s="26"/>
      <c r="Z1482" s="26"/>
    </row>
    <row r="1483" hidden="1" customHeight="1" spans="1:26">
      <c r="A1483" s="27">
        <v>318</v>
      </c>
      <c r="B1483" s="27">
        <v>97</v>
      </c>
      <c r="C1483" s="27" t="s">
        <v>668</v>
      </c>
      <c r="D1483" s="27" t="s">
        <v>2716</v>
      </c>
      <c r="E1483" s="27" t="s">
        <v>2889</v>
      </c>
      <c r="F1483" s="27" t="str">
        <f t="shared" si="0"/>
        <v>Negative Traits Latin Origin</v>
      </c>
      <c r="G1483" s="27">
        <f t="shared" si="3"/>
        <v>11</v>
      </c>
      <c r="H1483" s="27" t="s">
        <v>4335</v>
      </c>
      <c r="I1483" s="27"/>
      <c r="J1483" s="27"/>
      <c r="K1483" s="27"/>
      <c r="L1483" s="27" t="str">
        <f t="shared" si="2"/>
        <v>C</v>
      </c>
      <c r="M1483" s="27" t="str">
        <f>IFERROR(__xludf.DUMMYFUNCTION("GOOGLETRANSLATE(C1483,""EN"",""KN"")"),"ನಕಲಿ")</f>
        <v>ನಕಲಿ</v>
      </c>
      <c r="N1483" s="27" t="str">
        <f t="array" ref="N1483">_xlfn.XLOOKUP(B1483,'Sets Progress'!I:I,'Sets Progress'!I:I,"NOT YET")</f>
        <v>NOT YET</v>
      </c>
      <c r="O1483" s="27" t="str">
        <f t="array" ref="O1483">_xlfn.XLOOKUP(L:L,'Overall Progress'!L:L,'Overall Progress'!L:L,"NOT YET")</f>
        <v>NOT YET</v>
      </c>
      <c r="P1483" s="27"/>
      <c r="Q1483" s="27"/>
      <c r="R1483" s="27"/>
      <c r="S1483" s="27"/>
      <c r="T1483" s="27"/>
      <c r="U1483" s="27"/>
      <c r="V1483" s="27"/>
      <c r="W1483" s="27"/>
      <c r="X1483" s="27"/>
      <c r="Y1483" s="27"/>
      <c r="Z1483" s="27"/>
    </row>
    <row r="1484" customHeight="1" spans="1:26">
      <c r="A1484" s="26">
        <v>385</v>
      </c>
      <c r="B1484" s="26">
        <v>97</v>
      </c>
      <c r="C1484" s="26" t="s">
        <v>735</v>
      </c>
      <c r="D1484" s="26" t="s">
        <v>1721</v>
      </c>
      <c r="E1484" s="26" t="s">
        <v>2889</v>
      </c>
      <c r="F1484" s="26" t="str">
        <f t="shared" si="0"/>
        <v>Temporal Latin Origin</v>
      </c>
      <c r="G1484" s="26">
        <f t="shared" si="3"/>
        <v>5</v>
      </c>
      <c r="H1484" s="26"/>
      <c r="I1484" s="26"/>
      <c r="J1484" s="26"/>
      <c r="K1484" s="26"/>
      <c r="L1484" s="26" t="str">
        <f t="shared" si="2"/>
        <v>D</v>
      </c>
      <c r="M1484" s="26" t="str">
        <f>IFERROR(__xludf.DUMMYFUNCTION("GOOGLETRANSLATE(C1484,""EN"",""KN"")"),"ತಡೆಯಿರಿ")</f>
        <v>ತಡೆಯಿರಿ</v>
      </c>
      <c r="N1484" s="26" t="str">
        <f t="array" ref="N1484">_xlfn.XLOOKUP(B1484,'Sets Progress'!I:I,'Sets Progress'!I:I,"NOT YET")</f>
        <v>NOT YET</v>
      </c>
      <c r="O1484" s="26" t="str">
        <f t="array" ref="O1484">_xlfn.XLOOKUP(L:L,'Overall Progress'!L:L,'Overall Progress'!L:L,"NOT YET")</f>
        <v>NOT YET</v>
      </c>
      <c r="P1484" s="26"/>
      <c r="Q1484" s="26"/>
      <c r="R1484" s="26"/>
      <c r="S1484" s="26"/>
      <c r="T1484" s="26"/>
      <c r="U1484" s="26"/>
      <c r="V1484" s="26"/>
      <c r="W1484" s="26"/>
      <c r="X1484" s="26"/>
      <c r="Y1484" s="26"/>
      <c r="Z1484" s="26"/>
    </row>
    <row r="1485" customHeight="1" spans="1:26">
      <c r="A1485" s="27">
        <v>544</v>
      </c>
      <c r="B1485" s="27">
        <v>97</v>
      </c>
      <c r="C1485" s="27" t="s">
        <v>890</v>
      </c>
      <c r="D1485" s="27" t="s">
        <v>1721</v>
      </c>
      <c r="E1485" s="27" t="s">
        <v>2896</v>
      </c>
      <c r="F1485" s="27" t="str">
        <f t="shared" si="0"/>
        <v>Temporal Old French Origin</v>
      </c>
      <c r="G1485" s="27">
        <f t="shared" si="3"/>
        <v>5</v>
      </c>
      <c r="H1485" s="27"/>
      <c r="I1485" s="27"/>
      <c r="J1485" s="27"/>
      <c r="K1485" s="27"/>
      <c r="L1485" s="27" t="str">
        <f t="shared" si="2"/>
        <v>E</v>
      </c>
      <c r="M1485" s="27" t="str">
        <f>IFERROR(__xludf.DUMMYFUNCTION("GOOGLETRANSLATE(C1485,""EN"",""KN"")"),"ಪ್ರಚೋದಿಸು")</f>
        <v>ಪ್ರಚೋದಿಸು</v>
      </c>
      <c r="N1485" s="27" t="str">
        <f t="array" ref="N1485">_xlfn.XLOOKUP(B1485,'Sets Progress'!I:I,'Sets Progress'!I:I,"NOT YET")</f>
        <v>NOT YET</v>
      </c>
      <c r="O1485" s="27" t="str">
        <f t="array" ref="O1485">_xlfn.XLOOKUP(L:L,'Overall Progress'!L:L,'Overall Progress'!L:L,"NOT YET")</f>
        <v>NOT YET</v>
      </c>
      <c r="P1485" s="27"/>
      <c r="Q1485" s="27"/>
      <c r="R1485" s="27"/>
      <c r="S1485" s="27"/>
      <c r="T1485" s="27"/>
      <c r="U1485" s="27"/>
      <c r="V1485" s="27"/>
      <c r="W1485" s="27"/>
      <c r="X1485" s="27"/>
      <c r="Y1485" s="27"/>
      <c r="Z1485" s="27"/>
    </row>
    <row r="1486" hidden="1" customHeight="1" spans="1:26">
      <c r="A1486" s="26">
        <v>589</v>
      </c>
      <c r="B1486" s="26">
        <v>97</v>
      </c>
      <c r="C1486" s="26" t="s">
        <v>933</v>
      </c>
      <c r="D1486" s="26" t="s">
        <v>2716</v>
      </c>
      <c r="E1486" s="26" t="s">
        <v>2947</v>
      </c>
      <c r="F1486" s="26" t="str">
        <f t="shared" si="0"/>
        <v>Negative Traits Scottish Origin</v>
      </c>
      <c r="G1486" s="26">
        <f t="shared" si="3"/>
        <v>8</v>
      </c>
      <c r="H1486" s="26" t="s">
        <v>4336</v>
      </c>
      <c r="I1486" s="26"/>
      <c r="J1486" s="26"/>
      <c r="K1486" s="26"/>
      <c r="L1486" s="26" t="str">
        <f t="shared" si="2"/>
        <v>F</v>
      </c>
      <c r="M1486" s="26" t="str">
        <f>IFERROR(__xludf.DUMMYFUNCTION("GOOGLETRANSLATE(C1486,""EN"",""KN"")"),"ಫೆಕ್ಲೆಸ್")</f>
        <v>ಫೆಕ್ಲೆಸ್</v>
      </c>
      <c r="N1486" s="26" t="str">
        <f t="array" ref="N1486">_xlfn.XLOOKUP(B1486,'Sets Progress'!I:I,'Sets Progress'!I:I,"NOT YET")</f>
        <v>NOT YET</v>
      </c>
      <c r="O1486" s="26" t="str">
        <f t="array" ref="O1486">_xlfn.XLOOKUP(L:L,'Overall Progress'!L:L,'Overall Progress'!L:L,"NOT YET")</f>
        <v>NOT YET</v>
      </c>
      <c r="P1486" s="26"/>
      <c r="Q1486" s="26"/>
      <c r="R1486" s="26"/>
      <c r="S1486" s="26"/>
      <c r="T1486" s="26"/>
      <c r="U1486" s="26"/>
      <c r="V1486" s="26"/>
      <c r="W1486" s="26"/>
      <c r="X1486" s="26"/>
      <c r="Y1486" s="26"/>
      <c r="Z1486" s="26"/>
    </row>
    <row r="1487" hidden="1" customHeight="1" spans="1:26">
      <c r="A1487" s="27">
        <v>1111</v>
      </c>
      <c r="B1487" s="27">
        <v>97</v>
      </c>
      <c r="C1487" s="27" t="s">
        <v>1445</v>
      </c>
      <c r="D1487" s="27" t="s">
        <v>1721</v>
      </c>
      <c r="E1487" s="27" t="s">
        <v>2889</v>
      </c>
      <c r="F1487" s="27" t="str">
        <f t="shared" si="0"/>
        <v>Temporal Latin Origin</v>
      </c>
      <c r="G1487" s="27">
        <f t="shared" si="3"/>
        <v>10</v>
      </c>
      <c r="H1487" s="27" t="s">
        <v>4337</v>
      </c>
      <c r="I1487" s="27"/>
      <c r="J1487" s="27"/>
      <c r="K1487" s="27"/>
      <c r="L1487" s="27" t="str">
        <f t="shared" si="2"/>
        <v>P</v>
      </c>
      <c r="M1487" s="27" t="str">
        <f>IFERROR(__xludf.DUMMYFUNCTION("GOOGLETRANSLATE(C1487,""EN"",""KN"")"),"ಊಹಿಸಿಕೊಳ್ಳಿ")</f>
        <v>ಊಹಿಸಿಕೊಳ್ಳಿ</v>
      </c>
      <c r="N1487" s="27" t="str">
        <f t="array" ref="N1487">_xlfn.XLOOKUP(B1487,'Sets Progress'!I:I,'Sets Progress'!I:I,"NOT YET")</f>
        <v>NOT YET</v>
      </c>
      <c r="O1487" s="27" t="str">
        <f t="array" ref="O1487">_xlfn.XLOOKUP(L:L,'Overall Progress'!L:L,'Overall Progress'!L:L,"NOT YET")</f>
        <v>NOT YET</v>
      </c>
      <c r="P1487" s="27"/>
      <c r="Q1487" s="27"/>
      <c r="R1487" s="27"/>
      <c r="S1487" s="27"/>
      <c r="T1487" s="27"/>
      <c r="U1487" s="27"/>
      <c r="V1487" s="27"/>
      <c r="W1487" s="27"/>
      <c r="X1487" s="27"/>
      <c r="Y1487" s="27"/>
      <c r="Z1487" s="27"/>
    </row>
    <row r="1488" hidden="1" customHeight="1" spans="1:26">
      <c r="A1488" s="26">
        <v>1234</v>
      </c>
      <c r="B1488" s="26">
        <v>97</v>
      </c>
      <c r="C1488" s="26" t="s">
        <v>1565</v>
      </c>
      <c r="D1488" s="26" t="s">
        <v>2716</v>
      </c>
      <c r="E1488" s="26" t="s">
        <v>2889</v>
      </c>
      <c r="F1488" s="26" t="str">
        <f t="shared" si="0"/>
        <v>Negative Traits Latin Origin</v>
      </c>
      <c r="G1488" s="26">
        <f t="shared" si="3"/>
        <v>5</v>
      </c>
      <c r="H1488" s="26" t="s">
        <v>4338</v>
      </c>
      <c r="I1488" s="26"/>
      <c r="J1488" s="26"/>
      <c r="K1488" s="26"/>
      <c r="L1488" s="26" t="str">
        <f t="shared" si="2"/>
        <v>R</v>
      </c>
      <c r="M1488" s="26" t="str">
        <f>IFERROR(__xludf.DUMMYFUNCTION("GOOGLETRANSLATE(C1488,""EN"",""KN"")"),"ಕಠಿಣ")</f>
        <v>ಕಠಿಣ</v>
      </c>
      <c r="N1488" s="26" t="str">
        <f t="array" ref="N1488">_xlfn.XLOOKUP(B1488,'Sets Progress'!I:I,'Sets Progress'!I:I,"NOT YET")</f>
        <v>NOT YET</v>
      </c>
      <c r="O1488" s="26" t="str">
        <f t="array" ref="O1488">_xlfn.XLOOKUP(L:L,'Overall Progress'!L:L,'Overall Progress'!L:L,"NOT YET")</f>
        <v>NOT YET</v>
      </c>
      <c r="P1488" s="26"/>
      <c r="Q1488" s="26"/>
      <c r="R1488" s="26"/>
      <c r="S1488" s="26"/>
      <c r="T1488" s="26"/>
      <c r="U1488" s="26"/>
      <c r="V1488" s="26"/>
      <c r="W1488" s="26"/>
      <c r="X1488" s="26"/>
      <c r="Y1488" s="26"/>
      <c r="Z1488" s="26"/>
    </row>
    <row r="1489" hidden="1" customHeight="1" spans="1:26">
      <c r="A1489" s="27">
        <v>1408</v>
      </c>
      <c r="B1489" s="27">
        <v>97</v>
      </c>
      <c r="C1489" s="27" t="s">
        <v>1739</v>
      </c>
      <c r="D1489" s="27" t="s">
        <v>1721</v>
      </c>
      <c r="E1489" s="27" t="s">
        <v>2921</v>
      </c>
      <c r="F1489" s="27" t="str">
        <f t="shared" si="0"/>
        <v>Temporal Unknown Origin</v>
      </c>
      <c r="G1489" s="27">
        <f t="shared" si="3"/>
        <v>6</v>
      </c>
      <c r="H1489" s="27" t="s">
        <v>4339</v>
      </c>
      <c r="I1489" s="28"/>
      <c r="J1489" s="28" t="s">
        <v>4340</v>
      </c>
      <c r="K1489" s="27"/>
      <c r="L1489" s="27" t="str">
        <f t="shared" si="2"/>
        <v>T</v>
      </c>
      <c r="M1489" s="27" t="str">
        <f>IFERROR(__xludf.DUMMYFUNCTION("GOOGLETRANSLATE(C1489,""EN"",""KN"")"),"ಟಿರೇಡ್")</f>
        <v>ಟಿರೇಡ್</v>
      </c>
      <c r="N1489" s="27" t="str">
        <f t="array" ref="N1489">_xlfn.XLOOKUP(B1489,'Sets Progress'!I:I,'Sets Progress'!I:I,"NOT YET")</f>
        <v>NOT YET</v>
      </c>
      <c r="O1489" s="27" t="str">
        <f t="array" ref="O1489">_xlfn.XLOOKUP(L:L,'Overall Progress'!L:L,'Overall Progress'!L:L,"NOT YET")</f>
        <v>NOT YET</v>
      </c>
      <c r="P1489" s="27"/>
      <c r="Q1489" s="27"/>
      <c r="R1489" s="27"/>
      <c r="S1489" s="27"/>
      <c r="T1489" s="27"/>
      <c r="U1489" s="27"/>
      <c r="V1489" s="27"/>
      <c r="W1489" s="27"/>
      <c r="X1489" s="27"/>
      <c r="Y1489" s="27"/>
      <c r="Z1489" s="27"/>
    </row>
    <row r="1490" hidden="1" customHeight="1" spans="1:26">
      <c r="A1490" s="26">
        <v>1479</v>
      </c>
      <c r="B1490" s="26">
        <v>97</v>
      </c>
      <c r="C1490" s="26" t="s">
        <v>1807</v>
      </c>
      <c r="D1490" s="26" t="s">
        <v>2716</v>
      </c>
      <c r="E1490" s="26" t="s">
        <v>2889</v>
      </c>
      <c r="F1490" s="26" t="str">
        <f t="shared" si="0"/>
        <v>Negative Traits Latin Origin</v>
      </c>
      <c r="G1490" s="26">
        <f t="shared" si="3"/>
        <v>12</v>
      </c>
      <c r="H1490" s="26" t="s">
        <v>4341</v>
      </c>
      <c r="I1490" s="26"/>
      <c r="J1490" s="26"/>
      <c r="K1490" s="26"/>
      <c r="L1490" s="26" t="str">
        <f t="shared" si="2"/>
        <v>U</v>
      </c>
      <c r="M1490" s="26" t="str">
        <f>IFERROR(__xludf.DUMMYFUNCTION("GOOGLETRANSLATE(C1490,""EN"",""KN"")"),"ನಿರ್ಲಜ್ಜ")</f>
        <v>ನಿರ್ಲಜ್ಜ</v>
      </c>
      <c r="N1490" s="26" t="str">
        <f t="array" ref="N1490">_xlfn.XLOOKUP(B1490,'Sets Progress'!I:I,'Sets Progress'!I:I,"NOT YET")</f>
        <v>NOT YET</v>
      </c>
      <c r="O1490" s="26" t="str">
        <f t="array" ref="O1490">_xlfn.XLOOKUP(L:L,'Overall Progress'!L:L,'Overall Progress'!L:L,"NOT YET")</f>
        <v>NOT YET</v>
      </c>
      <c r="P1490" s="26"/>
      <c r="Q1490" s="26"/>
      <c r="R1490" s="26"/>
      <c r="S1490" s="26"/>
      <c r="T1490" s="26"/>
      <c r="U1490" s="26"/>
      <c r="V1490" s="26"/>
      <c r="W1490" s="26"/>
      <c r="X1490" s="26"/>
      <c r="Y1490" s="26"/>
      <c r="Z1490" s="26"/>
    </row>
    <row r="1491" hidden="1" customHeight="1" spans="1:26">
      <c r="A1491" s="27">
        <v>1493</v>
      </c>
      <c r="B1491" s="27">
        <v>97</v>
      </c>
      <c r="C1491" s="27" t="s">
        <v>1821</v>
      </c>
      <c r="D1491" s="27" t="s">
        <v>2717</v>
      </c>
      <c r="E1491" s="27" t="s">
        <v>2889</v>
      </c>
      <c r="F1491" s="27" t="str">
        <f t="shared" si="0"/>
        <v>Positive Traits Latin Origin</v>
      </c>
      <c r="G1491" s="27">
        <f t="shared" si="3"/>
        <v>5</v>
      </c>
      <c r="H1491" s="27" t="s">
        <v>4342</v>
      </c>
      <c r="I1491" s="27"/>
      <c r="J1491" s="27"/>
      <c r="K1491" s="27"/>
      <c r="L1491" s="27" t="str">
        <f t="shared" si="2"/>
        <v>V</v>
      </c>
      <c r="M1491" s="27" t="str">
        <f>IFERROR(__xludf.DUMMYFUNCTION("GOOGLETRANSLATE(C1491,""EN"",""KN"")"),"ಶೌರ್ಯ")</f>
        <v>ಶೌರ್ಯ</v>
      </c>
      <c r="N1491" s="27" t="str">
        <f t="array" ref="N1491">_xlfn.XLOOKUP(B1491,'Sets Progress'!I:I,'Sets Progress'!I:I,"NOT YET")</f>
        <v>NOT YET</v>
      </c>
      <c r="O1491" s="27" t="str">
        <f t="array" ref="O1491">_xlfn.XLOOKUP(L:L,'Overall Progress'!L:L,'Overall Progress'!L:L,"NOT YET")</f>
        <v>NOT YET</v>
      </c>
      <c r="P1491" s="27"/>
      <c r="Q1491" s="27"/>
      <c r="R1491" s="27"/>
      <c r="S1491" s="27"/>
      <c r="T1491" s="27"/>
      <c r="U1491" s="27"/>
      <c r="V1491" s="27"/>
      <c r="W1491" s="27"/>
      <c r="X1491" s="27"/>
      <c r="Y1491" s="27"/>
      <c r="Z1491" s="27"/>
    </row>
    <row r="1492" hidden="1" customHeight="1" spans="1:26">
      <c r="A1492" s="26">
        <v>1519</v>
      </c>
      <c r="B1492" s="26">
        <v>97</v>
      </c>
      <c r="C1492" s="26" t="s">
        <v>1847</v>
      </c>
      <c r="D1492" s="26" t="s">
        <v>2716</v>
      </c>
      <c r="E1492" s="26" t="s">
        <v>2889</v>
      </c>
      <c r="F1492" s="26" t="str">
        <f t="shared" si="0"/>
        <v>Negative Traits Latin Origin</v>
      </c>
      <c r="G1492" s="26">
        <f t="shared" si="3"/>
        <v>10</v>
      </c>
      <c r="H1492" s="26" t="s">
        <v>4343</v>
      </c>
      <c r="I1492" s="26"/>
      <c r="J1492" s="26"/>
      <c r="K1492" s="26"/>
      <c r="L1492" s="26" t="str">
        <f t="shared" si="2"/>
        <v>V</v>
      </c>
      <c r="M1492" s="26" t="str">
        <f>IFERROR(__xludf.DUMMYFUNCTION("GOOGLETRANSLATE(C1492,""EN"",""KN"")"),"ಅಬ್ಬರಿಸುವ")</f>
        <v>ಅಬ್ಬರಿಸುವ</v>
      </c>
      <c r="N1492" s="26" t="str">
        <f t="array" ref="N1492">_xlfn.XLOOKUP(B1492,'Sets Progress'!I:I,'Sets Progress'!I:I,"NOT YET")</f>
        <v>NOT YET</v>
      </c>
      <c r="O1492" s="26" t="str">
        <f t="array" ref="O1492">_xlfn.XLOOKUP(L:L,'Overall Progress'!L:L,'Overall Progress'!L:L,"NOT YET")</f>
        <v>NOT YET</v>
      </c>
      <c r="P1492" s="26"/>
      <c r="Q1492" s="26"/>
      <c r="R1492" s="26"/>
      <c r="S1492" s="26"/>
      <c r="T1492" s="26"/>
      <c r="U1492" s="26"/>
      <c r="V1492" s="26"/>
      <c r="W1492" s="26"/>
      <c r="X1492" s="26"/>
      <c r="Y1492" s="26"/>
      <c r="Z1492" s="26"/>
    </row>
    <row r="1493" hidden="1" customHeight="1" spans="1:26">
      <c r="A1493" s="27">
        <v>34</v>
      </c>
      <c r="B1493" s="27">
        <v>98</v>
      </c>
      <c r="C1493" s="27" t="s">
        <v>392</v>
      </c>
      <c r="D1493" s="27" t="s">
        <v>2928</v>
      </c>
      <c r="E1493" s="27" t="s">
        <v>2889</v>
      </c>
      <c r="F1493" s="27" t="str">
        <f t="shared" si="0"/>
        <v>Philosophical Latin Origin</v>
      </c>
      <c r="G1493" s="27">
        <f t="shared" si="3"/>
        <v>8</v>
      </c>
      <c r="H1493" s="27" t="s">
        <v>4344</v>
      </c>
      <c r="I1493" s="27"/>
      <c r="J1493" s="27"/>
      <c r="K1493" s="27"/>
      <c r="L1493" s="27" t="str">
        <f t="shared" si="2"/>
        <v>A</v>
      </c>
      <c r="M1493" s="27" t="str">
        <f>IFERROR(__xludf.DUMMYFUNCTION("GOOGLETRANSLATE(C1493,""EN"",""KN"")"),"ಅಂಟಿಕೊಳ್ಳುವ")</f>
        <v>ಅಂಟಿಕೊಳ್ಳುವ</v>
      </c>
      <c r="N1493" s="27" t="str">
        <f t="array" ref="N1493">_xlfn.XLOOKUP(B1493,'Sets Progress'!I:I,'Sets Progress'!I:I,"NOT YET")</f>
        <v>NOT YET</v>
      </c>
      <c r="O1493" s="27" t="str">
        <f t="array" ref="O1493">_xlfn.XLOOKUP(L:L,'Overall Progress'!L:L,'Overall Progress'!L:L,"NOT YET")</f>
        <v>NOT YET</v>
      </c>
      <c r="P1493" s="27"/>
      <c r="Q1493" s="27"/>
      <c r="R1493" s="27"/>
      <c r="S1493" s="27"/>
      <c r="T1493" s="27"/>
      <c r="U1493" s="27"/>
      <c r="V1493" s="27"/>
      <c r="W1493" s="27"/>
      <c r="X1493" s="27"/>
      <c r="Y1493" s="27"/>
      <c r="Z1493" s="27"/>
    </row>
    <row r="1494" hidden="1" customHeight="1" spans="1:26">
      <c r="A1494" s="26">
        <v>73</v>
      </c>
      <c r="B1494" s="26">
        <v>98</v>
      </c>
      <c r="C1494" s="26" t="s">
        <v>425</v>
      </c>
      <c r="D1494" s="26" t="s">
        <v>1721</v>
      </c>
      <c r="E1494" s="26" t="s">
        <v>2893</v>
      </c>
      <c r="F1494" s="26" t="str">
        <f t="shared" si="0"/>
        <v>Temporal Greek Origin</v>
      </c>
      <c r="G1494" s="26">
        <f t="shared" si="3"/>
        <v>13</v>
      </c>
      <c r="H1494" s="26" t="s">
        <v>4345</v>
      </c>
      <c r="I1494" s="26"/>
      <c r="J1494" s="26"/>
      <c r="K1494" s="26"/>
      <c r="L1494" s="26" t="str">
        <f t="shared" si="2"/>
        <v>A</v>
      </c>
      <c r="M1494" s="26" t="str">
        <f>IFERROR(__xludf.DUMMYFUNCTION("GOOGLETRANSLATE(C1494,""EN"",""KN"")"),"ಅನಾಕ್ರೊನಿಸ್ಟಿಕ್")</f>
        <v>ಅನಾಕ್ರೊನಿಸ್ಟಿಕ್</v>
      </c>
      <c r="N1494" s="26" t="str">
        <f t="array" ref="N1494">_xlfn.XLOOKUP(B1494,'Sets Progress'!I:I,'Sets Progress'!I:I,"NOT YET")</f>
        <v>NOT YET</v>
      </c>
      <c r="O1494" s="26" t="str">
        <f t="array" ref="O1494">_xlfn.XLOOKUP(L:L,'Overall Progress'!L:L,'Overall Progress'!L:L,"NOT YET")</f>
        <v>NOT YET</v>
      </c>
      <c r="P1494" s="26"/>
      <c r="Q1494" s="26"/>
      <c r="R1494" s="26"/>
      <c r="S1494" s="26"/>
      <c r="T1494" s="26"/>
      <c r="U1494" s="26"/>
      <c r="V1494" s="26"/>
      <c r="W1494" s="26"/>
      <c r="X1494" s="26"/>
      <c r="Y1494" s="26"/>
      <c r="Z1494" s="26"/>
    </row>
    <row r="1495" hidden="1" customHeight="1" spans="1:26">
      <c r="A1495" s="27">
        <v>76</v>
      </c>
      <c r="B1495" s="27">
        <v>98</v>
      </c>
      <c r="C1495" s="27" t="s">
        <v>428</v>
      </c>
      <c r="D1495" s="27" t="s">
        <v>2946</v>
      </c>
      <c r="E1495" s="27" t="s">
        <v>2889</v>
      </c>
      <c r="F1495" s="27" t="str">
        <f t="shared" si="0"/>
        <v>Emotional Latin Origin</v>
      </c>
      <c r="G1495" s="27">
        <f t="shared" si="3"/>
        <v>9</v>
      </c>
      <c r="H1495" s="27" t="s">
        <v>4346</v>
      </c>
      <c r="I1495" s="27"/>
      <c r="J1495" s="27"/>
      <c r="K1495" s="27"/>
      <c r="L1495" s="27" t="str">
        <f t="shared" si="2"/>
        <v>A</v>
      </c>
      <c r="M1495" s="27" t="str">
        <f>IFERROR(__xludf.DUMMYFUNCTION("GOOGLETRANSLATE(C1495,""EN"",""KN"")"),"ಹಗೆತನ")</f>
        <v>ಹಗೆತನ</v>
      </c>
      <c r="N1495" s="27" t="str">
        <f t="array" ref="N1495">_xlfn.XLOOKUP(B1495,'Sets Progress'!I:I,'Sets Progress'!I:I,"NOT YET")</f>
        <v>NOT YET</v>
      </c>
      <c r="O1495" s="27" t="str">
        <f t="array" ref="O1495">_xlfn.XLOOKUP(L:L,'Overall Progress'!L:L,'Overall Progress'!L:L,"NOT YET")</f>
        <v>NOT YET</v>
      </c>
      <c r="P1495" s="27"/>
      <c r="Q1495" s="27"/>
      <c r="R1495" s="27"/>
      <c r="S1495" s="27"/>
      <c r="T1495" s="27"/>
      <c r="U1495" s="27"/>
      <c r="V1495" s="27"/>
      <c r="W1495" s="27"/>
      <c r="X1495" s="27"/>
      <c r="Y1495" s="27"/>
      <c r="Z1495" s="27"/>
    </row>
    <row r="1496" hidden="1" customHeight="1" spans="1:26">
      <c r="A1496" s="26">
        <v>137</v>
      </c>
      <c r="B1496" s="26">
        <v>98</v>
      </c>
      <c r="C1496" s="26" t="s">
        <v>486</v>
      </c>
      <c r="D1496" s="26" t="s">
        <v>2928</v>
      </c>
      <c r="E1496" s="26" t="s">
        <v>2889</v>
      </c>
      <c r="F1496" s="26" t="str">
        <f t="shared" si="0"/>
        <v>Philosophical Latin Origin</v>
      </c>
      <c r="G1496" s="26">
        <f t="shared" si="3"/>
        <v>4</v>
      </c>
      <c r="H1496" s="26" t="s">
        <v>4347</v>
      </c>
      <c r="I1496" s="26"/>
      <c r="J1496" s="26"/>
      <c r="K1496" s="26"/>
      <c r="L1496" s="26" t="str">
        <f t="shared" si="2"/>
        <v>A</v>
      </c>
      <c r="M1496" s="26" t="str">
        <f>IFERROR(__xludf.DUMMYFUNCTION("GOOGLETRANSLATE(C1496,""EN"",""KN"")"),"Aver")</f>
        <v>Aver</v>
      </c>
      <c r="N1496" s="26" t="str">
        <f t="array" ref="N1496">_xlfn.XLOOKUP(B1496,'Sets Progress'!I:I,'Sets Progress'!I:I,"NOT YET")</f>
        <v>NOT YET</v>
      </c>
      <c r="O1496" s="26" t="str">
        <f t="array" ref="O1496">_xlfn.XLOOKUP(L:L,'Overall Progress'!L:L,'Overall Progress'!L:L,"NOT YET")</f>
        <v>NOT YET</v>
      </c>
      <c r="P1496" s="26"/>
      <c r="Q1496" s="26"/>
      <c r="R1496" s="26"/>
      <c r="S1496" s="26"/>
      <c r="T1496" s="26"/>
      <c r="U1496" s="26"/>
      <c r="V1496" s="26"/>
      <c r="W1496" s="26"/>
      <c r="X1496" s="26"/>
      <c r="Y1496" s="26"/>
      <c r="Z1496" s="26"/>
    </row>
    <row r="1497" hidden="1" customHeight="1" spans="1:26">
      <c r="A1497" s="27">
        <v>248</v>
      </c>
      <c r="B1497" s="27">
        <v>98</v>
      </c>
      <c r="C1497" s="27" t="s">
        <v>599</v>
      </c>
      <c r="D1497" s="27" t="s">
        <v>3022</v>
      </c>
      <c r="E1497" s="27" t="s">
        <v>2889</v>
      </c>
      <c r="F1497" s="27" t="str">
        <f t="shared" si="0"/>
        <v>Intellectual Latin Origin</v>
      </c>
      <c r="G1497" s="27">
        <f t="shared" si="3"/>
        <v>6</v>
      </c>
      <c r="H1497" s="27" t="s">
        <v>4348</v>
      </c>
      <c r="I1497" s="27"/>
      <c r="J1497" s="27"/>
      <c r="K1497" s="27"/>
      <c r="L1497" s="27" t="str">
        <f t="shared" si="2"/>
        <v>C</v>
      </c>
      <c r="M1497" s="27" t="str">
        <f>IFERROR(__xludf.DUMMYFUNCTION("GOOGLETRANSLATE(C1497,""EN"",""KN"")"),"ಕೋಜೆಂಟ್")</f>
        <v>ಕೋಜೆಂಟ್</v>
      </c>
      <c r="N1497" s="27" t="str">
        <f t="array" ref="N1497">_xlfn.XLOOKUP(B1497,'Sets Progress'!I:I,'Sets Progress'!I:I,"NOT YET")</f>
        <v>NOT YET</v>
      </c>
      <c r="O1497" s="27" t="str">
        <f t="array" ref="O1497">_xlfn.XLOOKUP(L:L,'Overall Progress'!L:L,'Overall Progress'!L:L,"NOT YET")</f>
        <v>NOT YET</v>
      </c>
      <c r="P1497" s="27"/>
      <c r="Q1497" s="27"/>
      <c r="R1497" s="27"/>
      <c r="S1497" s="27"/>
      <c r="T1497" s="27"/>
      <c r="U1497" s="27"/>
      <c r="V1497" s="27"/>
      <c r="W1497" s="27"/>
      <c r="X1497" s="27"/>
      <c r="Y1497" s="27"/>
      <c r="Z1497" s="27"/>
    </row>
    <row r="1498" hidden="1" customHeight="1" spans="1:26">
      <c r="A1498" s="26">
        <v>278</v>
      </c>
      <c r="B1498" s="26">
        <v>98</v>
      </c>
      <c r="C1498" s="26" t="s">
        <v>631</v>
      </c>
      <c r="D1498" s="26" t="s">
        <v>1721</v>
      </c>
      <c r="E1498" s="26" t="s">
        <v>2889</v>
      </c>
      <c r="F1498" s="26" t="str">
        <f t="shared" si="0"/>
        <v>Temporal Latin Origin</v>
      </c>
      <c r="G1498" s="26">
        <f t="shared" si="3"/>
        <v>11</v>
      </c>
      <c r="H1498" s="26" t="s">
        <v>4349</v>
      </c>
      <c r="I1498" s="26"/>
      <c r="J1498" s="26"/>
      <c r="K1498" s="26"/>
      <c r="L1498" s="26" t="str">
        <f t="shared" si="2"/>
        <v>C</v>
      </c>
      <c r="M1498" s="26" t="str">
        <f>IFERROR(__xludf.DUMMYFUNCTION("GOOGLETRANSLATE(C1498,""EN"",""KN"")"),"ಷರತ್ತುಬದ್ಧ")</f>
        <v>ಷರತ್ತುಬದ್ಧ</v>
      </c>
      <c r="N1498" s="26" t="str">
        <f t="array" ref="N1498">_xlfn.XLOOKUP(B1498,'Sets Progress'!I:I,'Sets Progress'!I:I,"NOT YET")</f>
        <v>NOT YET</v>
      </c>
      <c r="O1498" s="26" t="str">
        <f t="array" ref="O1498">_xlfn.XLOOKUP(L:L,'Overall Progress'!L:L,'Overall Progress'!L:L,"NOT YET")</f>
        <v>NOT YET</v>
      </c>
      <c r="P1498" s="26"/>
      <c r="Q1498" s="26"/>
      <c r="R1498" s="26"/>
      <c r="S1498" s="26"/>
      <c r="T1498" s="26"/>
      <c r="U1498" s="26"/>
      <c r="V1498" s="26"/>
      <c r="W1498" s="26"/>
      <c r="X1498" s="26"/>
      <c r="Y1498" s="26"/>
      <c r="Z1498" s="26"/>
    </row>
    <row r="1499" hidden="1" customHeight="1" spans="1:26">
      <c r="A1499" s="27">
        <v>333</v>
      </c>
      <c r="B1499" s="27">
        <v>98</v>
      </c>
      <c r="C1499" s="27" t="s">
        <v>683</v>
      </c>
      <c r="D1499" s="27" t="s">
        <v>2716</v>
      </c>
      <c r="E1499" s="27" t="s">
        <v>2889</v>
      </c>
      <c r="F1499" s="27" t="str">
        <f t="shared" si="0"/>
        <v>Negative Traits Latin Origin</v>
      </c>
      <c r="G1499" s="27">
        <f t="shared" si="3"/>
        <v>7</v>
      </c>
      <c r="H1499" s="27" t="s">
        <v>4350</v>
      </c>
      <c r="I1499" s="27"/>
      <c r="J1499" s="27"/>
      <c r="K1499" s="27"/>
      <c r="L1499" s="27" t="str">
        <f t="shared" si="2"/>
        <v>C</v>
      </c>
      <c r="M1499" s="27" t="str">
        <f>IFERROR(__xludf.DUMMYFUNCTION("GOOGLETRANSLATE(C1499,""EN"",""KN"")"),"ಅಪರಾಧಿ")</f>
        <v>ಅಪರಾಧಿ</v>
      </c>
      <c r="N1499" s="27" t="str">
        <f t="array" ref="N1499">_xlfn.XLOOKUP(B1499,'Sets Progress'!I:I,'Sets Progress'!I:I,"NOT YET")</f>
        <v>NOT YET</v>
      </c>
      <c r="O1499" s="27" t="str">
        <f t="array" ref="O1499">_xlfn.XLOOKUP(L:L,'Overall Progress'!L:L,'Overall Progress'!L:L,"NOT YET")</f>
        <v>NOT YET</v>
      </c>
      <c r="P1499" s="27"/>
      <c r="Q1499" s="27"/>
      <c r="R1499" s="27"/>
      <c r="S1499" s="27"/>
      <c r="T1499" s="27"/>
      <c r="U1499" s="27"/>
      <c r="V1499" s="27"/>
      <c r="W1499" s="27"/>
      <c r="X1499" s="27"/>
      <c r="Y1499" s="27"/>
      <c r="Z1499" s="27"/>
    </row>
    <row r="1500" customHeight="1" spans="1:26">
      <c r="A1500" s="26">
        <v>642</v>
      </c>
      <c r="B1500" s="26">
        <v>98</v>
      </c>
      <c r="C1500" s="26" t="s">
        <v>986</v>
      </c>
      <c r="D1500" s="26" t="s">
        <v>1721</v>
      </c>
      <c r="E1500" s="26" t="s">
        <v>2889</v>
      </c>
      <c r="F1500" s="26" t="str">
        <f t="shared" si="0"/>
        <v>Temporal Latin Origin</v>
      </c>
      <c r="G1500" s="26">
        <f t="shared" si="3"/>
        <v>6</v>
      </c>
      <c r="H1500" s="26"/>
      <c r="I1500" s="26"/>
      <c r="J1500" s="26"/>
      <c r="K1500" s="26"/>
      <c r="L1500" s="26" t="str">
        <f t="shared" si="2"/>
        <v>F</v>
      </c>
      <c r="M1500" s="26" t="str">
        <f>IFERROR(__xludf.DUMMYFUNCTION("GOOGLETRANSLATE(C1500,""EN"",""KN"")"),"ಫ್ಯೂಷನ್")</f>
        <v>ಫ್ಯೂಷನ್</v>
      </c>
      <c r="N1500" s="26" t="str">
        <f t="array" ref="N1500">_xlfn.XLOOKUP(B1500,'Sets Progress'!I:I,'Sets Progress'!I:I,"NOT YET")</f>
        <v>NOT YET</v>
      </c>
      <c r="O1500" s="26" t="str">
        <f t="array" ref="O1500">_xlfn.XLOOKUP(L:L,'Overall Progress'!L:L,'Overall Progress'!L:L,"NOT YET")</f>
        <v>NOT YET</v>
      </c>
      <c r="P1500" s="26"/>
      <c r="Q1500" s="26"/>
      <c r="R1500" s="26"/>
      <c r="S1500" s="26"/>
      <c r="T1500" s="26"/>
      <c r="U1500" s="26"/>
      <c r="V1500" s="26"/>
      <c r="W1500" s="26"/>
      <c r="X1500" s="26"/>
      <c r="Y1500" s="26"/>
      <c r="Z1500" s="26"/>
    </row>
    <row r="1501" hidden="1" customHeight="1" spans="1:26">
      <c r="A1501" s="27">
        <v>889</v>
      </c>
      <c r="B1501" s="27">
        <v>98</v>
      </c>
      <c r="C1501" s="27" t="s">
        <v>1226</v>
      </c>
      <c r="D1501" s="27" t="s">
        <v>1721</v>
      </c>
      <c r="E1501" s="27" t="s">
        <v>2889</v>
      </c>
      <c r="F1501" s="27" t="str">
        <f t="shared" si="0"/>
        <v>Temporal Latin Origin</v>
      </c>
      <c r="G1501" s="27">
        <f t="shared" si="3"/>
        <v>7</v>
      </c>
      <c r="H1501" s="27" t="s">
        <v>4351</v>
      </c>
      <c r="I1501" s="27"/>
      <c r="J1501" s="27"/>
      <c r="K1501" s="27"/>
      <c r="L1501" s="27" t="str">
        <f t="shared" si="2"/>
        <v>M</v>
      </c>
      <c r="M1501" s="27" t="str">
        <f>IFERROR(__xludf.DUMMYFUNCTION("GOOGLETRANSLATE(C1501,""EN"",""KN"")"),"ಮ್ಯಾನಾಕಲ್")</f>
        <v>ಮ್ಯಾನಾಕಲ್</v>
      </c>
      <c r="N1501" s="27" t="str">
        <f t="array" ref="N1501">_xlfn.XLOOKUP(B1501,'Sets Progress'!I:I,'Sets Progress'!I:I,"NOT YET")</f>
        <v>NOT YET</v>
      </c>
      <c r="O1501" s="27" t="str">
        <f t="array" ref="O1501">_xlfn.XLOOKUP(L:L,'Overall Progress'!L:L,'Overall Progress'!L:L,"NOT YET")</f>
        <v>NOT YET</v>
      </c>
      <c r="P1501" s="27"/>
      <c r="Q1501" s="27"/>
      <c r="R1501" s="27"/>
      <c r="S1501" s="27"/>
      <c r="T1501" s="27"/>
      <c r="U1501" s="27"/>
      <c r="V1501" s="27"/>
      <c r="W1501" s="27"/>
      <c r="X1501" s="27"/>
      <c r="Y1501" s="27"/>
      <c r="Z1501" s="27"/>
    </row>
    <row r="1502" hidden="1" customHeight="1" spans="1:26">
      <c r="A1502" s="26">
        <v>988</v>
      </c>
      <c r="B1502" s="26">
        <v>98</v>
      </c>
      <c r="C1502" s="26" t="s">
        <v>1323</v>
      </c>
      <c r="D1502" s="26" t="s">
        <v>2716</v>
      </c>
      <c r="E1502" s="26" t="s">
        <v>2889</v>
      </c>
      <c r="F1502" s="26" t="str">
        <f t="shared" si="0"/>
        <v>Negative Traits Latin Origin</v>
      </c>
      <c r="G1502" s="26">
        <f t="shared" si="3"/>
        <v>10</v>
      </c>
      <c r="H1502" s="26" t="s">
        <v>4352</v>
      </c>
      <c r="I1502" s="26"/>
      <c r="J1502" s="26"/>
      <c r="K1502" s="26"/>
      <c r="L1502" s="26" t="str">
        <f t="shared" si="2"/>
        <v>O</v>
      </c>
      <c r="M1502" s="26" t="str">
        <f>IFERROR(__xludf.DUMMYFUNCTION("GOOGLETRANSLATE(C1502,""EN"",""KN"")"),"ಒಪ್ರೊಬ್ರಿಯಮ್")</f>
        <v>ಒಪ್ರೊಬ್ರಿಯಮ್</v>
      </c>
      <c r="N1502" s="26" t="str">
        <f t="array" ref="N1502">_xlfn.XLOOKUP(B1502,'Sets Progress'!I:I,'Sets Progress'!I:I,"NOT YET")</f>
        <v>NOT YET</v>
      </c>
      <c r="O1502" s="26" t="str">
        <f t="array" ref="O1502">_xlfn.XLOOKUP(L:L,'Overall Progress'!L:L,'Overall Progress'!L:L,"NOT YET")</f>
        <v>NOT YET</v>
      </c>
      <c r="P1502" s="26"/>
      <c r="Q1502" s="26"/>
      <c r="R1502" s="26"/>
      <c r="S1502" s="26"/>
      <c r="T1502" s="26"/>
      <c r="U1502" s="26"/>
      <c r="V1502" s="26"/>
      <c r="W1502" s="26"/>
      <c r="X1502" s="26"/>
      <c r="Y1502" s="26"/>
      <c r="Z1502" s="26"/>
    </row>
    <row r="1503" hidden="1" customHeight="1" spans="1:26">
      <c r="A1503" s="27">
        <v>1157</v>
      </c>
      <c r="B1503" s="27">
        <v>98</v>
      </c>
      <c r="C1503" s="27" t="s">
        <v>1488</v>
      </c>
      <c r="D1503" s="27" t="s">
        <v>1721</v>
      </c>
      <c r="E1503" s="27" t="s">
        <v>2896</v>
      </c>
      <c r="F1503" s="27" t="str">
        <f t="shared" si="0"/>
        <v>Temporal Old French Origin</v>
      </c>
      <c r="G1503" s="27">
        <f t="shared" si="3"/>
        <v>5</v>
      </c>
      <c r="H1503" s="27" t="s">
        <v>4353</v>
      </c>
      <c r="I1503" s="27"/>
      <c r="J1503" s="27"/>
      <c r="K1503" s="27"/>
      <c r="L1503" s="27" t="str">
        <f t="shared" si="2"/>
        <v>Q</v>
      </c>
      <c r="M1503" s="27" t="str">
        <f>IFERROR(__xludf.DUMMYFUNCTION("GOOGLETRANSLATE(C1503,""EN"",""KN"")"),"ಕ್ವಾಶ್")</f>
        <v>ಕ್ವಾಶ್</v>
      </c>
      <c r="N1503" s="27" t="str">
        <f t="array" ref="N1503">_xlfn.XLOOKUP(B1503,'Sets Progress'!I:I,'Sets Progress'!I:I,"NOT YET")</f>
        <v>NOT YET</v>
      </c>
      <c r="O1503" s="27" t="str">
        <f t="array" ref="O1503">_xlfn.XLOOKUP(L:L,'Overall Progress'!L:L,'Overall Progress'!L:L,"NOT YET")</f>
        <v>NOT YET</v>
      </c>
      <c r="P1503" s="27"/>
      <c r="Q1503" s="27"/>
      <c r="R1503" s="27"/>
      <c r="S1503" s="27"/>
      <c r="T1503" s="27"/>
      <c r="U1503" s="27"/>
      <c r="V1503" s="27"/>
      <c r="W1503" s="27"/>
      <c r="X1503" s="27"/>
      <c r="Y1503" s="27"/>
      <c r="Z1503" s="27"/>
    </row>
    <row r="1504" hidden="1" customHeight="1" spans="1:26">
      <c r="A1504" s="26">
        <v>1170</v>
      </c>
      <c r="B1504" s="26">
        <v>98</v>
      </c>
      <c r="C1504" s="26" t="s">
        <v>1501</v>
      </c>
      <c r="D1504" s="26" t="s">
        <v>1721</v>
      </c>
      <c r="E1504" s="26" t="s">
        <v>2911</v>
      </c>
      <c r="F1504" s="26" t="str">
        <f t="shared" si="0"/>
        <v>Temporal French Origin</v>
      </c>
      <c r="G1504" s="26">
        <f t="shared" si="3"/>
        <v>13</v>
      </c>
      <c r="H1504" s="26" t="s">
        <v>4354</v>
      </c>
      <c r="I1504" s="26"/>
      <c r="J1504" s="26"/>
      <c r="K1504" s="26"/>
      <c r="L1504" s="26" t="str">
        <f t="shared" si="2"/>
        <v>R</v>
      </c>
      <c r="M1504" s="26" t="str">
        <f>IFERROR(__xludf.DUMMYFUNCTION("GOOGLETRANSLATE(C1504,""EN"",""KN"")"),"ಹೊಂದಾಣಿಕೆ")</f>
        <v>ಹೊಂದಾಣಿಕೆ</v>
      </c>
      <c r="N1504" s="26" t="str">
        <f t="array" ref="N1504">_xlfn.XLOOKUP(B1504,'Sets Progress'!I:I,'Sets Progress'!I:I,"NOT YET")</f>
        <v>NOT YET</v>
      </c>
      <c r="O1504" s="26" t="str">
        <f t="array" ref="O1504">_xlfn.XLOOKUP(L:L,'Overall Progress'!L:L,'Overall Progress'!L:L,"NOT YET")</f>
        <v>NOT YET</v>
      </c>
      <c r="P1504" s="26"/>
      <c r="Q1504" s="26"/>
      <c r="R1504" s="26"/>
      <c r="S1504" s="26"/>
      <c r="T1504" s="26"/>
      <c r="U1504" s="26"/>
      <c r="V1504" s="26"/>
      <c r="W1504" s="26"/>
      <c r="X1504" s="26"/>
      <c r="Y1504" s="26"/>
      <c r="Z1504" s="26"/>
    </row>
    <row r="1505" hidden="1" customHeight="1" spans="1:26">
      <c r="A1505" s="27">
        <v>1331</v>
      </c>
      <c r="B1505" s="27">
        <v>98</v>
      </c>
      <c r="C1505" s="27" t="s">
        <v>1662</v>
      </c>
      <c r="D1505" s="27" t="s">
        <v>1721</v>
      </c>
      <c r="E1505" s="27" t="s">
        <v>2893</v>
      </c>
      <c r="F1505" s="27" t="str">
        <f t="shared" si="0"/>
        <v>Temporal Greek Origin</v>
      </c>
      <c r="G1505" s="27">
        <f t="shared" si="3"/>
        <v>5</v>
      </c>
      <c r="H1505" s="27" t="s">
        <v>4355</v>
      </c>
      <c r="I1505" s="27"/>
      <c r="J1505" s="27"/>
      <c r="K1505" s="27"/>
      <c r="L1505" s="27" t="str">
        <f t="shared" si="2"/>
        <v>S</v>
      </c>
      <c r="M1505" s="27" t="str">
        <f>IFERROR(__xludf.DUMMYFUNCTION("GOOGLETRANSLATE(C1505,""EN"",""KN"")"),"ಸ್ಟೊಯಿಕ್")</f>
        <v>ಸ್ಟೊಯಿಕ್</v>
      </c>
      <c r="N1505" s="27" t="str">
        <f t="array" ref="N1505">_xlfn.XLOOKUP(B1505,'Sets Progress'!I:I,'Sets Progress'!I:I,"NOT YET")</f>
        <v>NOT YET</v>
      </c>
      <c r="O1505" s="27" t="str">
        <f t="array" ref="O1505">_xlfn.XLOOKUP(L:L,'Overall Progress'!L:L,'Overall Progress'!L:L,"NOT YET")</f>
        <v>NOT YET</v>
      </c>
      <c r="P1505" s="27"/>
      <c r="Q1505" s="27"/>
      <c r="R1505" s="27"/>
      <c r="S1505" s="27"/>
      <c r="T1505" s="27"/>
      <c r="U1505" s="27"/>
      <c r="V1505" s="27"/>
      <c r="W1505" s="27"/>
      <c r="X1505" s="27"/>
      <c r="Y1505" s="27"/>
      <c r="Z1505" s="27"/>
    </row>
    <row r="1506" customHeight="1" spans="1:26">
      <c r="A1506" s="26">
        <v>1332</v>
      </c>
      <c r="B1506" s="26">
        <v>98</v>
      </c>
      <c r="C1506" s="26" t="s">
        <v>1663</v>
      </c>
      <c r="D1506" s="26" t="s">
        <v>2716</v>
      </c>
      <c r="E1506" s="26" t="s">
        <v>2889</v>
      </c>
      <c r="F1506" s="26" t="str">
        <f t="shared" si="0"/>
        <v>Negative Traits Latin Origin</v>
      </c>
      <c r="G1506" s="26">
        <f t="shared" si="3"/>
        <v>6</v>
      </c>
      <c r="H1506" s="26"/>
      <c r="I1506" s="26"/>
      <c r="J1506" s="26"/>
      <c r="K1506" s="26"/>
      <c r="L1506" s="26" t="str">
        <f t="shared" si="2"/>
        <v>S</v>
      </c>
      <c r="M1506" s="26" t="str">
        <f>IFERROR(__xludf.DUMMYFUNCTION("GOOGLETRANSLATE(C1506,""EN"",""KN"")"),"ಸ್ಟೋಲಿಡ್")</f>
        <v>ಸ್ಟೋಲಿಡ್</v>
      </c>
      <c r="N1506" s="26" t="str">
        <f t="array" ref="N1506">_xlfn.XLOOKUP(B1506,'Sets Progress'!I:I,'Sets Progress'!I:I,"NOT YET")</f>
        <v>NOT YET</v>
      </c>
      <c r="O1506" s="26" t="str">
        <f t="array" ref="O1506">_xlfn.XLOOKUP(L:L,'Overall Progress'!L:L,'Overall Progress'!L:L,"NOT YET")</f>
        <v>NOT YET</v>
      </c>
      <c r="P1506" s="26"/>
      <c r="Q1506" s="26"/>
      <c r="R1506" s="26"/>
      <c r="S1506" s="26"/>
      <c r="T1506" s="26"/>
      <c r="U1506" s="26"/>
      <c r="V1506" s="26"/>
      <c r="W1506" s="26"/>
      <c r="X1506" s="26"/>
      <c r="Y1506" s="26"/>
      <c r="Z1506" s="26"/>
    </row>
    <row r="1507" hidden="1" customHeight="1" spans="1:26">
      <c r="A1507" s="27">
        <v>1391</v>
      </c>
      <c r="B1507" s="27">
        <v>98</v>
      </c>
      <c r="C1507" s="27" t="s">
        <v>1722</v>
      </c>
      <c r="D1507" s="27" t="s">
        <v>1721</v>
      </c>
      <c r="E1507" s="27" t="s">
        <v>2889</v>
      </c>
      <c r="F1507" s="27" t="str">
        <f t="shared" si="0"/>
        <v>Temporal Latin Origin</v>
      </c>
      <c r="G1507" s="27">
        <f t="shared" si="3"/>
        <v>8</v>
      </c>
      <c r="H1507" s="27" t="s">
        <v>4356</v>
      </c>
      <c r="I1507" s="27"/>
      <c r="J1507" s="27"/>
      <c r="K1507" s="27"/>
      <c r="L1507" s="27" t="str">
        <f t="shared" si="2"/>
        <v>T</v>
      </c>
      <c r="M1507" s="27" t="str">
        <f>IFERROR(__xludf.DUMMYFUNCTION("GOOGLETRANSLATE(C1507,""EN"",""KN"")"),"ಟೆಂಪ್ಟಿಂಗ್")</f>
        <v>ಟೆಂಪ್ಟಿಂಗ್</v>
      </c>
      <c r="N1507" s="27" t="str">
        <f t="array" ref="N1507">_xlfn.XLOOKUP(B1507,'Sets Progress'!I:I,'Sets Progress'!I:I,"NOT YET")</f>
        <v>NOT YET</v>
      </c>
      <c r="O1507" s="27" t="str">
        <f t="array" ref="O1507">_xlfn.XLOOKUP(L:L,'Overall Progress'!L:L,'Overall Progress'!L:L,"NOT YET")</f>
        <v>NOT YET</v>
      </c>
      <c r="P1507" s="27"/>
      <c r="Q1507" s="27"/>
      <c r="R1507" s="27"/>
      <c r="S1507" s="27"/>
      <c r="T1507" s="27"/>
      <c r="U1507" s="27"/>
      <c r="V1507" s="27"/>
      <c r="W1507" s="27"/>
      <c r="X1507" s="27"/>
      <c r="Y1507" s="27"/>
      <c r="Z1507" s="27"/>
    </row>
    <row r="1508" hidden="1" customHeight="1" spans="1:26">
      <c r="A1508" s="26">
        <v>1413</v>
      </c>
      <c r="B1508" s="26">
        <v>98</v>
      </c>
      <c r="C1508" s="26" t="s">
        <v>1744</v>
      </c>
      <c r="D1508" s="26" t="s">
        <v>2716</v>
      </c>
      <c r="E1508" s="26" t="s">
        <v>2889</v>
      </c>
      <c r="F1508" s="26" t="str">
        <f t="shared" si="0"/>
        <v>Negative Traits Latin Origin</v>
      </c>
      <c r="G1508" s="26">
        <f t="shared" si="3"/>
        <v>8</v>
      </c>
      <c r="H1508" s="26" t="s">
        <v>4357</v>
      </c>
      <c r="I1508" s="26"/>
      <c r="J1508" s="26"/>
      <c r="K1508" s="26"/>
      <c r="L1508" s="26" t="str">
        <f t="shared" si="2"/>
        <v>T</v>
      </c>
      <c r="M1508" s="26" t="str">
        <f>IFERROR(__xludf.DUMMYFUNCTION("GOOGLETRANSLATE(C1508,""EN"",""KN"")"),"ತಿರುಚಿದ")</f>
        <v>ತಿರುಚಿದ</v>
      </c>
      <c r="N1508" s="26" t="str">
        <f t="array" ref="N1508">_xlfn.XLOOKUP(B1508,'Sets Progress'!I:I,'Sets Progress'!I:I,"NOT YET")</f>
        <v>NOT YET</v>
      </c>
      <c r="O1508" s="26" t="str">
        <f t="array" ref="O1508">_xlfn.XLOOKUP(L:L,'Overall Progress'!L:L,'Overall Progress'!L:L,"NOT YET")</f>
        <v>NOT YET</v>
      </c>
      <c r="P1508" s="26"/>
      <c r="Q1508" s="26"/>
      <c r="R1508" s="26"/>
      <c r="S1508" s="26"/>
      <c r="T1508" s="26"/>
      <c r="U1508" s="26"/>
      <c r="V1508" s="26"/>
      <c r="W1508" s="26"/>
      <c r="X1508" s="26"/>
      <c r="Y1508" s="26"/>
      <c r="Z1508" s="26"/>
    </row>
    <row r="1509" hidden="1" customHeight="1" spans="1:26">
      <c r="A1509" s="27">
        <v>1444</v>
      </c>
      <c r="B1509" s="27">
        <v>98</v>
      </c>
      <c r="C1509" s="27" t="s">
        <v>1772</v>
      </c>
      <c r="D1509" s="27" t="s">
        <v>1721</v>
      </c>
      <c r="E1509" s="27" t="s">
        <v>2908</v>
      </c>
      <c r="F1509" s="27" t="str">
        <f t="shared" si="0"/>
        <v>Temporal Old English Origin</v>
      </c>
      <c r="G1509" s="27">
        <f t="shared" si="3"/>
        <v>15</v>
      </c>
      <c r="H1509" s="27" t="s">
        <v>4358</v>
      </c>
      <c r="I1509" s="27"/>
      <c r="J1509" s="27"/>
      <c r="K1509" s="27"/>
      <c r="L1509" s="27" t="str">
        <f t="shared" si="2"/>
        <v>U</v>
      </c>
      <c r="M1509" s="27" t="str">
        <f>IFERROR(__xludf.DUMMYFUNCTION("GOOGLETRANSLATE(C1509,""EN"",""KN"")"),"ವಿವಾದಾತೀತ")</f>
        <v>ವಿವಾದಾತೀತ</v>
      </c>
      <c r="N1509" s="27" t="str">
        <f t="array" ref="N1509">_xlfn.XLOOKUP(B1509,'Sets Progress'!I:I,'Sets Progress'!I:I,"NOT YET")</f>
        <v>NOT YET</v>
      </c>
      <c r="O1509" s="27" t="str">
        <f t="array" ref="O1509">_xlfn.XLOOKUP(L:L,'Overall Progress'!L:L,'Overall Progress'!L:L,"NOT YET")</f>
        <v>NOT YET</v>
      </c>
      <c r="P1509" s="27"/>
      <c r="Q1509" s="27"/>
      <c r="R1509" s="27"/>
      <c r="S1509" s="27"/>
      <c r="T1509" s="27"/>
      <c r="U1509" s="27"/>
      <c r="V1509" s="27"/>
      <c r="W1509" s="27"/>
      <c r="X1509" s="27"/>
      <c r="Y1509" s="27"/>
      <c r="Z1509" s="27"/>
    </row>
    <row r="1510" hidden="1" customHeight="1" spans="1:26">
      <c r="A1510" s="26">
        <v>60</v>
      </c>
      <c r="B1510" s="26">
        <v>99</v>
      </c>
      <c r="C1510" s="26" t="s">
        <v>413</v>
      </c>
      <c r="D1510" s="26" t="s">
        <v>2946</v>
      </c>
      <c r="E1510" s="26" t="s">
        <v>2899</v>
      </c>
      <c r="F1510" s="26" t="str">
        <f t="shared" si="0"/>
        <v>Emotional Middle English Origin</v>
      </c>
      <c r="G1510" s="26">
        <f t="shared" si="3"/>
        <v>5</v>
      </c>
      <c r="H1510" s="26" t="s">
        <v>4359</v>
      </c>
      <c r="I1510" s="26"/>
      <c r="J1510" s="26"/>
      <c r="K1510" s="26"/>
      <c r="L1510" s="26" t="str">
        <f t="shared" si="2"/>
        <v>A</v>
      </c>
      <c r="M1510" s="26" t="str">
        <f>IFERROR(__xludf.DUMMYFUNCTION("GOOGLETRANSLATE(C1510,""EN"",""KN"")"),"ದೂರವಾದ")</f>
        <v>ದೂರವಾದ</v>
      </c>
      <c r="N1510" s="26" t="str">
        <f t="array" ref="N1510">_xlfn.XLOOKUP(B1510,'Sets Progress'!I:I,'Sets Progress'!I:I,"NOT YET")</f>
        <v>NOT YET</v>
      </c>
      <c r="O1510" s="26" t="str">
        <f t="array" ref="O1510">_xlfn.XLOOKUP(L:L,'Overall Progress'!L:L,'Overall Progress'!L:L,"NOT YET")</f>
        <v>NOT YET</v>
      </c>
      <c r="P1510" s="26"/>
      <c r="Q1510" s="26"/>
      <c r="R1510" s="26"/>
      <c r="S1510" s="26"/>
      <c r="T1510" s="26"/>
      <c r="U1510" s="26"/>
      <c r="V1510" s="26"/>
      <c r="W1510" s="26"/>
      <c r="X1510" s="26"/>
      <c r="Y1510" s="26"/>
      <c r="Z1510" s="26"/>
    </row>
    <row r="1511" hidden="1" customHeight="1" spans="1:26">
      <c r="A1511" s="27">
        <v>118</v>
      </c>
      <c r="B1511" s="27">
        <v>99</v>
      </c>
      <c r="C1511" s="27" t="s">
        <v>467</v>
      </c>
      <c r="D1511" s="27" t="s">
        <v>2946</v>
      </c>
      <c r="E1511" s="27" t="s">
        <v>2908</v>
      </c>
      <c r="F1511" s="27" t="str">
        <f t="shared" si="0"/>
        <v>Emotional Old English Origin</v>
      </c>
      <c r="G1511" s="27">
        <f t="shared" si="3"/>
        <v>8</v>
      </c>
      <c r="H1511" s="27" t="s">
        <v>4360</v>
      </c>
      <c r="I1511" s="27"/>
      <c r="J1511" s="27"/>
      <c r="K1511" s="27"/>
      <c r="L1511" s="27" t="str">
        <f t="shared" si="2"/>
        <v>A</v>
      </c>
      <c r="M1511" s="27" t="str">
        <f>IFERROR(__xludf.DUMMYFUNCTION("GOOGLETRANSLATE(C1511,""EN"",""KN"")"),"ಆಶ್ಚರ್ಯಕರ")</f>
        <v>ಆಶ್ಚರ್ಯಕರ</v>
      </c>
      <c r="N1511" s="27" t="str">
        <f t="array" ref="N1511">_xlfn.XLOOKUP(B1511,'Sets Progress'!I:I,'Sets Progress'!I:I,"NOT YET")</f>
        <v>NOT YET</v>
      </c>
      <c r="O1511" s="27" t="str">
        <f t="array" ref="O1511">_xlfn.XLOOKUP(L:L,'Overall Progress'!L:L,'Overall Progress'!L:L,"NOT YET")</f>
        <v>NOT YET</v>
      </c>
      <c r="P1511" s="27"/>
      <c r="Q1511" s="27"/>
      <c r="R1511" s="27"/>
      <c r="S1511" s="27"/>
      <c r="T1511" s="27"/>
      <c r="U1511" s="27"/>
      <c r="V1511" s="27"/>
      <c r="W1511" s="27"/>
      <c r="X1511" s="27"/>
      <c r="Y1511" s="27"/>
      <c r="Z1511" s="27"/>
    </row>
    <row r="1512" hidden="1" customHeight="1" spans="1:26">
      <c r="A1512" s="26">
        <v>180</v>
      </c>
      <c r="B1512" s="26">
        <v>99</v>
      </c>
      <c r="C1512" s="26" t="s">
        <v>530</v>
      </c>
      <c r="D1512" s="26" t="s">
        <v>2898</v>
      </c>
      <c r="E1512" s="26" t="s">
        <v>2899</v>
      </c>
      <c r="F1512" s="26" t="str">
        <f t="shared" si="0"/>
        <v>Physical Sensation Middle English Origin</v>
      </c>
      <c r="G1512" s="26">
        <f t="shared" si="3"/>
        <v>8</v>
      </c>
      <c r="H1512" s="26" t="s">
        <v>4361</v>
      </c>
      <c r="I1512" s="26"/>
      <c r="J1512" s="26"/>
      <c r="K1512" s="26"/>
      <c r="L1512" s="26" t="str">
        <f t="shared" si="2"/>
        <v>B</v>
      </c>
      <c r="M1512" s="26" t="str">
        <f>IFERROR(__xludf.DUMMYFUNCTION("GOOGLETRANSLATE(C1512,""EN"",""KN"")"),"ಬ್ರಾಂಡಿಶ್")</f>
        <v>ಬ್ರಾಂಡಿಶ್</v>
      </c>
      <c r="N1512" s="26" t="str">
        <f t="array" ref="N1512">_xlfn.XLOOKUP(B1512,'Sets Progress'!I:I,'Sets Progress'!I:I,"NOT YET")</f>
        <v>NOT YET</v>
      </c>
      <c r="O1512" s="26" t="str">
        <f t="array" ref="O1512">_xlfn.XLOOKUP(L:L,'Overall Progress'!L:L,'Overall Progress'!L:L,"NOT YET")</f>
        <v>NOT YET</v>
      </c>
      <c r="P1512" s="26"/>
      <c r="Q1512" s="26"/>
      <c r="R1512" s="26"/>
      <c r="S1512" s="26"/>
      <c r="T1512" s="26"/>
      <c r="U1512" s="26"/>
      <c r="V1512" s="26"/>
      <c r="W1512" s="26"/>
      <c r="X1512" s="26"/>
      <c r="Y1512" s="26"/>
      <c r="Z1512" s="26"/>
    </row>
    <row r="1513" hidden="1" customHeight="1" spans="1:26">
      <c r="A1513" s="27">
        <v>299</v>
      </c>
      <c r="B1513" s="27">
        <v>99</v>
      </c>
      <c r="C1513" s="27" t="s">
        <v>652</v>
      </c>
      <c r="D1513" s="27" t="s">
        <v>1721</v>
      </c>
      <c r="E1513" s="27" t="s">
        <v>2889</v>
      </c>
      <c r="F1513" s="27" t="str">
        <f t="shared" si="0"/>
        <v>Temporal Latin Origin</v>
      </c>
      <c r="G1513" s="27">
        <f t="shared" si="3"/>
        <v>10</v>
      </c>
      <c r="H1513" s="27" t="s">
        <v>4362</v>
      </c>
      <c r="I1513" s="27"/>
      <c r="J1513" s="27"/>
      <c r="K1513" s="27"/>
      <c r="L1513" s="27" t="str">
        <f t="shared" si="2"/>
        <v>C</v>
      </c>
      <c r="M1513" s="27" t="str">
        <f>IFERROR(__xludf.DUMMYFUNCTION("GOOGLETRANSLATE(C1513,""EN"",""KN"")"),"ಅನಿಶ್ಚಿತ")</f>
        <v>ಅನಿಶ್ಚಿತ</v>
      </c>
      <c r="N1513" s="27" t="str">
        <f t="array" ref="N1513">_xlfn.XLOOKUP(B1513,'Sets Progress'!I:I,'Sets Progress'!I:I,"NOT YET")</f>
        <v>NOT YET</v>
      </c>
      <c r="O1513" s="27" t="str">
        <f t="array" ref="O1513">_xlfn.XLOOKUP(L:L,'Overall Progress'!L:L,'Overall Progress'!L:L,"NOT YET")</f>
        <v>NOT YET</v>
      </c>
      <c r="P1513" s="27"/>
      <c r="Q1513" s="27"/>
      <c r="R1513" s="27"/>
      <c r="S1513" s="27"/>
      <c r="T1513" s="27"/>
      <c r="U1513" s="27"/>
      <c r="V1513" s="27"/>
      <c r="W1513" s="27"/>
      <c r="X1513" s="27"/>
      <c r="Y1513" s="27"/>
      <c r="Z1513" s="27"/>
    </row>
    <row r="1514" hidden="1" customHeight="1" spans="1:26">
      <c r="A1514" s="26">
        <v>366</v>
      </c>
      <c r="B1514" s="26">
        <v>99</v>
      </c>
      <c r="C1514" s="26" t="s">
        <v>716</v>
      </c>
      <c r="D1514" s="26" t="s">
        <v>3022</v>
      </c>
      <c r="E1514" s="26" t="s">
        <v>2889</v>
      </c>
      <c r="F1514" s="26" t="str">
        <f t="shared" si="0"/>
        <v>Intellectual Latin Origin</v>
      </c>
      <c r="G1514" s="26">
        <f t="shared" si="3"/>
        <v>9</v>
      </c>
      <c r="H1514" s="26" t="s">
        <v>4363</v>
      </c>
      <c r="I1514" s="26"/>
      <c r="J1514" s="26"/>
      <c r="K1514" s="26"/>
      <c r="L1514" s="26" t="str">
        <f t="shared" si="2"/>
        <v>D</v>
      </c>
      <c r="M1514" s="26" t="str">
        <f>IFERROR(__xludf.DUMMYFUNCTION("GOOGLETRANSLATE(C1514,""EN"",""KN"")"),"ನಿರೂಪಿಸಿ")</f>
        <v>ನಿರೂಪಿಸಿ</v>
      </c>
      <c r="N1514" s="26" t="str">
        <f t="array" ref="N1514">_xlfn.XLOOKUP(B1514,'Sets Progress'!I:I,'Sets Progress'!I:I,"NOT YET")</f>
        <v>NOT YET</v>
      </c>
      <c r="O1514" s="26" t="str">
        <f t="array" ref="O1514">_xlfn.XLOOKUP(L:L,'Overall Progress'!L:L,'Overall Progress'!L:L,"NOT YET")</f>
        <v>NOT YET</v>
      </c>
      <c r="P1514" s="26"/>
      <c r="Q1514" s="26"/>
      <c r="R1514" s="26"/>
      <c r="S1514" s="26"/>
      <c r="T1514" s="26"/>
      <c r="U1514" s="26"/>
      <c r="V1514" s="26"/>
      <c r="W1514" s="26"/>
      <c r="X1514" s="26"/>
      <c r="Y1514" s="26"/>
      <c r="Z1514" s="26"/>
    </row>
    <row r="1515" hidden="1" customHeight="1" spans="1:26">
      <c r="A1515" s="27">
        <v>402</v>
      </c>
      <c r="B1515" s="27">
        <v>99</v>
      </c>
      <c r="C1515" s="27" t="s">
        <v>751</v>
      </c>
      <c r="D1515" s="27" t="s">
        <v>1721</v>
      </c>
      <c r="E1515" s="27" t="s">
        <v>2893</v>
      </c>
      <c r="F1515" s="27" t="str">
        <f t="shared" si="0"/>
        <v>Temporal Greek Origin</v>
      </c>
      <c r="G1515" s="27">
        <f t="shared" si="3"/>
        <v>7</v>
      </c>
      <c r="H1515" s="27" t="s">
        <v>4364</v>
      </c>
      <c r="I1515" s="27"/>
      <c r="J1515" s="27"/>
      <c r="K1515" s="27"/>
      <c r="L1515" s="27" t="str">
        <f t="shared" si="2"/>
        <v>D</v>
      </c>
      <c r="M1515" s="27" t="str">
        <f>IFERROR(__xludf.DUMMYFUNCTION("GOOGLETRANSLATE(C1515,""EN"",""KN"")"),"ಸಂದಿಗ್ಧತೆ")</f>
        <v>ಸಂದಿಗ್ಧತೆ</v>
      </c>
      <c r="N1515" s="27" t="str">
        <f t="array" ref="N1515">_xlfn.XLOOKUP(B1515,'Sets Progress'!I:I,'Sets Progress'!I:I,"NOT YET")</f>
        <v>NOT YET</v>
      </c>
      <c r="O1515" s="27" t="str">
        <f t="array" ref="O1515">_xlfn.XLOOKUP(L:L,'Overall Progress'!L:L,'Overall Progress'!L:L,"NOT YET")</f>
        <v>NOT YET</v>
      </c>
      <c r="P1515" s="27"/>
      <c r="Q1515" s="27"/>
      <c r="R1515" s="27"/>
      <c r="S1515" s="27"/>
      <c r="T1515" s="27"/>
      <c r="U1515" s="27"/>
      <c r="V1515" s="27"/>
      <c r="W1515" s="27"/>
      <c r="X1515" s="27"/>
      <c r="Y1515" s="27"/>
      <c r="Z1515" s="27"/>
    </row>
    <row r="1516" hidden="1" customHeight="1" spans="1:26">
      <c r="A1516" s="26">
        <v>433</v>
      </c>
      <c r="B1516" s="26">
        <v>99</v>
      </c>
      <c r="C1516" s="26" t="s">
        <v>782</v>
      </c>
      <c r="D1516" s="26" t="s">
        <v>1721</v>
      </c>
      <c r="E1516" s="26" t="s">
        <v>2889</v>
      </c>
      <c r="F1516" s="26" t="str">
        <f t="shared" si="0"/>
        <v>Temporal Latin Origin</v>
      </c>
      <c r="G1516" s="26">
        <f t="shared" si="3"/>
        <v>8</v>
      </c>
      <c r="H1516" s="26" t="s">
        <v>4365</v>
      </c>
      <c r="I1516" s="26"/>
      <c r="J1516" s="26"/>
      <c r="K1516" s="26"/>
      <c r="L1516" s="26" t="str">
        <f t="shared" si="2"/>
        <v>D</v>
      </c>
      <c r="M1516" s="26" t="str">
        <f>IFERROR(__xludf.DUMMYFUNCTION("GOOGLETRANSLATE(C1516,""EN"",""KN"")"),"ಚದುರಿಸು")</f>
        <v>ಚದುರಿಸು</v>
      </c>
      <c r="N1516" s="26" t="str">
        <f t="array" ref="N1516">_xlfn.XLOOKUP(B1516,'Sets Progress'!I:I,'Sets Progress'!I:I,"NOT YET")</f>
        <v>NOT YET</v>
      </c>
      <c r="O1516" s="26" t="str">
        <f t="array" ref="O1516">_xlfn.XLOOKUP(L:L,'Overall Progress'!L:L,'Overall Progress'!L:L,"NOT YET")</f>
        <v>NOT YET</v>
      </c>
      <c r="P1516" s="26"/>
      <c r="Q1516" s="26"/>
      <c r="R1516" s="26"/>
      <c r="S1516" s="26"/>
      <c r="T1516" s="26"/>
      <c r="U1516" s="26"/>
      <c r="V1516" s="26"/>
      <c r="W1516" s="26"/>
      <c r="X1516" s="26"/>
      <c r="Y1516" s="26"/>
      <c r="Z1516" s="26"/>
    </row>
    <row r="1517" hidden="1" customHeight="1" spans="1:26">
      <c r="A1517" s="27">
        <v>528</v>
      </c>
      <c r="B1517" s="27">
        <v>99</v>
      </c>
      <c r="C1517" s="27" t="s">
        <v>875</v>
      </c>
      <c r="D1517" s="27" t="s">
        <v>2892</v>
      </c>
      <c r="E1517" s="27" t="s">
        <v>2889</v>
      </c>
      <c r="F1517" s="27" t="str">
        <f t="shared" si="0"/>
        <v>Spatial Latin Origin</v>
      </c>
      <c r="G1517" s="27">
        <f t="shared" si="3"/>
        <v>5</v>
      </c>
      <c r="H1517" s="27" t="s">
        <v>4366</v>
      </c>
      <c r="I1517" s="27"/>
      <c r="J1517" s="27"/>
      <c r="K1517" s="27"/>
      <c r="L1517" s="27" t="str">
        <f t="shared" si="2"/>
        <v>E</v>
      </c>
      <c r="M1517" s="27" t="str">
        <f>IFERROR(__xludf.DUMMYFUNCTION("GOOGLETRANSLATE(C1517,""EN"",""KN"")"),"ಈರೋಡ್")</f>
        <v>ಈರೋಡ್</v>
      </c>
      <c r="N1517" s="27" t="str">
        <f t="array" ref="N1517">_xlfn.XLOOKUP(B1517,'Sets Progress'!I:I,'Sets Progress'!I:I,"NOT YET")</f>
        <v>NOT YET</v>
      </c>
      <c r="O1517" s="27" t="str">
        <f t="array" ref="O1517">_xlfn.XLOOKUP(L:L,'Overall Progress'!L:L,'Overall Progress'!L:L,"NOT YET")</f>
        <v>NOT YET</v>
      </c>
      <c r="P1517" s="27"/>
      <c r="Q1517" s="27"/>
      <c r="R1517" s="27"/>
      <c r="S1517" s="27"/>
      <c r="T1517" s="27"/>
      <c r="U1517" s="27"/>
      <c r="V1517" s="27"/>
      <c r="W1517" s="27"/>
      <c r="X1517" s="27"/>
      <c r="Y1517" s="27"/>
      <c r="Z1517" s="27"/>
    </row>
    <row r="1518" hidden="1" customHeight="1" spans="1:26">
      <c r="A1518" s="26">
        <v>575</v>
      </c>
      <c r="B1518" s="26">
        <v>99</v>
      </c>
      <c r="C1518" s="26" t="s">
        <v>920</v>
      </c>
      <c r="D1518" s="26" t="s">
        <v>1721</v>
      </c>
      <c r="E1518" s="26" t="s">
        <v>2889</v>
      </c>
      <c r="F1518" s="26" t="str">
        <f t="shared" si="0"/>
        <v>Temporal Latin Origin</v>
      </c>
      <c r="G1518" s="26">
        <f t="shared" si="3"/>
        <v>9</v>
      </c>
      <c r="H1518" s="26" t="s">
        <v>4367</v>
      </c>
      <c r="I1518" s="26"/>
      <c r="J1518" s="26"/>
      <c r="K1518" s="26"/>
      <c r="L1518" s="26" t="str">
        <f t="shared" si="2"/>
        <v>F</v>
      </c>
      <c r="M1518" s="26" t="str">
        <f>IFERROR(__xludf.DUMMYFUNCTION("GOOGLETRANSLATE(C1518,""EN"",""KN"")"),"ಫ್ಯಾಬ್ರಿಕೇಟ್")</f>
        <v>ಫ್ಯಾಬ್ರಿಕೇಟ್</v>
      </c>
      <c r="N1518" s="26" t="str">
        <f t="array" ref="N1518">_xlfn.XLOOKUP(B1518,'Sets Progress'!I:I,'Sets Progress'!I:I,"NOT YET")</f>
        <v>NOT YET</v>
      </c>
      <c r="O1518" s="26" t="str">
        <f t="array" ref="O1518">_xlfn.XLOOKUP(L:L,'Overall Progress'!L:L,'Overall Progress'!L:L,"NOT YET")</f>
        <v>NOT YET</v>
      </c>
      <c r="P1518" s="26"/>
      <c r="Q1518" s="26"/>
      <c r="R1518" s="26"/>
      <c r="S1518" s="26"/>
      <c r="T1518" s="26"/>
      <c r="U1518" s="26"/>
      <c r="V1518" s="26"/>
      <c r="W1518" s="26"/>
      <c r="X1518" s="26"/>
      <c r="Y1518" s="26"/>
      <c r="Z1518" s="26"/>
    </row>
    <row r="1519" hidden="1" customHeight="1" spans="1:26">
      <c r="A1519" s="27">
        <v>679</v>
      </c>
      <c r="B1519" s="27">
        <v>99</v>
      </c>
      <c r="C1519" s="27" t="s">
        <v>1021</v>
      </c>
      <c r="D1519" s="27" t="s">
        <v>1721</v>
      </c>
      <c r="E1519" s="27" t="s">
        <v>2908</v>
      </c>
      <c r="F1519" s="27" t="str">
        <f t="shared" si="0"/>
        <v>Temporal Old English Origin</v>
      </c>
      <c r="G1519" s="27">
        <f t="shared" si="3"/>
        <v>6</v>
      </c>
      <c r="H1519" s="27" t="s">
        <v>4368</v>
      </c>
      <c r="I1519" s="27"/>
      <c r="J1519" s="27"/>
      <c r="K1519" s="27"/>
      <c r="L1519" s="27" t="str">
        <f t="shared" si="2"/>
        <v>H</v>
      </c>
      <c r="M1519" s="27" t="str">
        <f>IFERROR(__xludf.DUMMYFUNCTION("GOOGLETRANSLATE(C1519,""EN"",""KN"")"),"ಹ್ಯಾರೋ")</f>
        <v>ಹ್ಯಾರೋ</v>
      </c>
      <c r="N1519" s="27" t="str">
        <f t="array" ref="N1519">_xlfn.XLOOKUP(B1519,'Sets Progress'!I:I,'Sets Progress'!I:I,"NOT YET")</f>
        <v>NOT YET</v>
      </c>
      <c r="O1519" s="27" t="str">
        <f t="array" ref="O1519">_xlfn.XLOOKUP(L:L,'Overall Progress'!L:L,'Overall Progress'!L:L,"NOT YET")</f>
        <v>NOT YET</v>
      </c>
      <c r="P1519" s="27"/>
      <c r="Q1519" s="27"/>
      <c r="R1519" s="27"/>
      <c r="S1519" s="27"/>
      <c r="T1519" s="27"/>
      <c r="U1519" s="27"/>
      <c r="V1519" s="27"/>
      <c r="W1519" s="27"/>
      <c r="X1519" s="27"/>
      <c r="Y1519" s="27"/>
      <c r="Z1519" s="27"/>
    </row>
    <row r="1520" hidden="1" customHeight="1" spans="1:26">
      <c r="A1520" s="26">
        <v>734</v>
      </c>
      <c r="B1520" s="26">
        <v>99</v>
      </c>
      <c r="C1520" s="26" t="s">
        <v>1075</v>
      </c>
      <c r="D1520" s="26" t="s">
        <v>1721</v>
      </c>
      <c r="E1520" s="26" t="s">
        <v>2889</v>
      </c>
      <c r="F1520" s="26" t="str">
        <f t="shared" si="0"/>
        <v>Temporal Latin Origin</v>
      </c>
      <c r="G1520" s="26">
        <f t="shared" si="3"/>
        <v>10</v>
      </c>
      <c r="H1520" s="26" t="s">
        <v>4369</v>
      </c>
      <c r="I1520" s="26"/>
      <c r="J1520" s="26"/>
      <c r="K1520" s="26"/>
      <c r="L1520" s="26" t="str">
        <f t="shared" si="2"/>
        <v>I</v>
      </c>
      <c r="M1520" s="26" t="str">
        <f>IFERROR(__xludf.DUMMYFUNCTION("GOOGLETRANSLATE(C1520,""EN"",""KN"")"),"ಅಸಂಭವ")</f>
        <v>ಅಸಂಭವ</v>
      </c>
      <c r="N1520" s="26" t="str">
        <f t="array" ref="N1520">_xlfn.XLOOKUP(B1520,'Sets Progress'!I:I,'Sets Progress'!I:I,"NOT YET")</f>
        <v>NOT YET</v>
      </c>
      <c r="O1520" s="26" t="str">
        <f t="array" ref="O1520">_xlfn.XLOOKUP(L:L,'Overall Progress'!L:L,'Overall Progress'!L:L,"NOT YET")</f>
        <v>NOT YET</v>
      </c>
      <c r="P1520" s="26"/>
      <c r="Q1520" s="26"/>
      <c r="R1520" s="26"/>
      <c r="S1520" s="26"/>
      <c r="T1520" s="26"/>
      <c r="U1520" s="26"/>
      <c r="V1520" s="26"/>
      <c r="W1520" s="26"/>
      <c r="X1520" s="26"/>
      <c r="Y1520" s="26"/>
      <c r="Z1520" s="26"/>
    </row>
    <row r="1521" customHeight="1" spans="1:26">
      <c r="A1521" s="27">
        <v>1249</v>
      </c>
      <c r="B1521" s="27">
        <v>99</v>
      </c>
      <c r="C1521" s="27" t="s">
        <v>1580</v>
      </c>
      <c r="D1521" s="27" t="s">
        <v>2717</v>
      </c>
      <c r="E1521" s="27" t="s">
        <v>2889</v>
      </c>
      <c r="F1521" s="27" t="str">
        <f t="shared" si="0"/>
        <v>Positive Traits Latin Origin</v>
      </c>
      <c r="G1521" s="27">
        <f t="shared" si="3"/>
        <v>8</v>
      </c>
      <c r="H1521" s="27"/>
      <c r="I1521" s="27"/>
      <c r="J1521" s="27"/>
      <c r="K1521" s="27"/>
      <c r="L1521" s="27" t="str">
        <f t="shared" si="2"/>
        <v>S</v>
      </c>
      <c r="M1521" s="27" t="str">
        <f>IFERROR(__xludf.DUMMYFUNCTION("GOOGLETRANSLATE(C1521,""EN"",""KN"")"),"ಸಾಂಗೈನ್")</f>
        <v>ಸಾಂಗೈನ್</v>
      </c>
      <c r="N1521" s="27" t="str">
        <f t="array" ref="N1521">_xlfn.XLOOKUP(B1521,'Sets Progress'!I:I,'Sets Progress'!I:I,"NOT YET")</f>
        <v>NOT YET</v>
      </c>
      <c r="O1521" s="27" t="str">
        <f t="array" ref="O1521">_xlfn.XLOOKUP(L:L,'Overall Progress'!L:L,'Overall Progress'!L:L,"NOT YET")</f>
        <v>NOT YET</v>
      </c>
      <c r="P1521" s="27"/>
      <c r="Q1521" s="27"/>
      <c r="R1521" s="27"/>
      <c r="S1521" s="27"/>
      <c r="T1521" s="27"/>
      <c r="U1521" s="27"/>
      <c r="V1521" s="27"/>
      <c r="W1521" s="27"/>
      <c r="X1521" s="27"/>
      <c r="Y1521" s="27"/>
      <c r="Z1521" s="27"/>
    </row>
    <row r="1522" customHeight="1" spans="1:26">
      <c r="A1522" s="26">
        <v>1276</v>
      </c>
      <c r="B1522" s="26">
        <v>99</v>
      </c>
      <c r="C1522" s="26" t="s">
        <v>1607</v>
      </c>
      <c r="D1522" s="26" t="s">
        <v>2716</v>
      </c>
      <c r="E1522" s="26" t="s">
        <v>2908</v>
      </c>
      <c r="F1522" s="26" t="str">
        <f t="shared" si="0"/>
        <v>Negative Traits Old English Origin</v>
      </c>
      <c r="G1522" s="26">
        <f t="shared" si="3"/>
        <v>5</v>
      </c>
      <c r="H1522" s="26"/>
      <c r="I1522" s="26"/>
      <c r="J1522" s="26"/>
      <c r="K1522" s="26"/>
      <c r="L1522" s="26" t="str">
        <f t="shared" si="2"/>
        <v>S</v>
      </c>
      <c r="M1522" s="26" t="str">
        <f>IFERROR(__xludf.DUMMYFUNCTION("GOOGLETRANSLATE(C1522,""EN"",""KN"")"),"ಶಿರ್ಕ್")</f>
        <v>ಶಿರ್ಕ್</v>
      </c>
      <c r="N1522" s="26" t="str">
        <f t="array" ref="N1522">_xlfn.XLOOKUP(B1522,'Sets Progress'!I:I,'Sets Progress'!I:I,"NOT YET")</f>
        <v>NOT YET</v>
      </c>
      <c r="O1522" s="26" t="str">
        <f t="array" ref="O1522">_xlfn.XLOOKUP(L:L,'Overall Progress'!L:L,'Overall Progress'!L:L,"NOT YET")</f>
        <v>NOT YET</v>
      </c>
      <c r="P1522" s="26"/>
      <c r="Q1522" s="26"/>
      <c r="R1522" s="26"/>
      <c r="S1522" s="26"/>
      <c r="T1522" s="26"/>
      <c r="U1522" s="26"/>
      <c r="V1522" s="26"/>
      <c r="W1522" s="26"/>
      <c r="X1522" s="26"/>
      <c r="Y1522" s="26"/>
      <c r="Z1522" s="26"/>
    </row>
    <row r="1523" hidden="1" customHeight="1" spans="1:26">
      <c r="A1523" s="27">
        <v>1291</v>
      </c>
      <c r="B1523" s="27">
        <v>99</v>
      </c>
      <c r="C1523" s="27" t="s">
        <v>1622</v>
      </c>
      <c r="D1523" s="27" t="s">
        <v>2716</v>
      </c>
      <c r="E1523" s="27" t="s">
        <v>2921</v>
      </c>
      <c r="F1523" s="27" t="str">
        <f t="shared" si="0"/>
        <v>Negative Traits Unknown Origin</v>
      </c>
      <c r="G1523" s="27">
        <f t="shared" si="3"/>
        <v>12</v>
      </c>
      <c r="H1523" s="27" t="s">
        <v>4370</v>
      </c>
      <c r="I1523" s="27"/>
      <c r="J1523" s="27"/>
      <c r="K1523" s="27"/>
      <c r="L1523" s="27" t="str">
        <f t="shared" si="2"/>
        <v>S</v>
      </c>
      <c r="M1523" s="27" t="str">
        <f>IFERROR(__xludf.DUMMYFUNCTION("GOOGLETRANSLATE(C1523,""EN"",""KN"")"),"ತಲೆಬುರುಡೆ")</f>
        <v>ತಲೆಬುರುಡೆ</v>
      </c>
      <c r="N1523" s="27" t="str">
        <f t="array" ref="N1523">_xlfn.XLOOKUP(B1523,'Sets Progress'!I:I,'Sets Progress'!I:I,"NOT YET")</f>
        <v>NOT YET</v>
      </c>
      <c r="O1523" s="27" t="str">
        <f t="array" ref="O1523">_xlfn.XLOOKUP(L:L,'Overall Progress'!L:L,'Overall Progress'!L:L,"NOT YET")</f>
        <v>NOT YET</v>
      </c>
      <c r="P1523" s="27"/>
      <c r="Q1523" s="27"/>
      <c r="R1523" s="27"/>
      <c r="S1523" s="27"/>
      <c r="T1523" s="27"/>
      <c r="U1523" s="27"/>
      <c r="V1523" s="27"/>
      <c r="W1523" s="27"/>
      <c r="X1523" s="27"/>
      <c r="Y1523" s="27"/>
      <c r="Z1523" s="27"/>
    </row>
    <row r="1524" customHeight="1" spans="1:26">
      <c r="A1524" s="26">
        <v>1303</v>
      </c>
      <c r="B1524" s="26">
        <v>99</v>
      </c>
      <c r="C1524" s="26" t="s">
        <v>1634</v>
      </c>
      <c r="D1524" s="26" t="s">
        <v>2716</v>
      </c>
      <c r="E1524" s="26" t="s">
        <v>2889</v>
      </c>
      <c r="F1524" s="26" t="str">
        <f t="shared" si="0"/>
        <v>Negative Traits Latin Origin</v>
      </c>
      <c r="G1524" s="26">
        <f t="shared" si="3"/>
        <v>9</v>
      </c>
      <c r="H1524" s="26"/>
      <c r="I1524" s="26"/>
      <c r="J1524" s="26"/>
      <c r="K1524" s="26"/>
      <c r="L1524" s="26" t="str">
        <f t="shared" si="2"/>
        <v>S</v>
      </c>
      <c r="M1524" s="26" t="str">
        <f>IFERROR(__xludf.DUMMYFUNCTION("GOOGLETRANSLATE(C1524,""EN"",""KN"")"),"ಸೋಮ್ನೋಲೆಂಟ್")</f>
        <v>ಸೋಮ್ನೋಲೆಂಟ್</v>
      </c>
      <c r="N1524" s="26" t="str">
        <f t="array" ref="N1524">_xlfn.XLOOKUP(B1524,'Sets Progress'!I:I,'Sets Progress'!I:I,"NOT YET")</f>
        <v>NOT YET</v>
      </c>
      <c r="O1524" s="26" t="str">
        <f t="array" ref="O1524">_xlfn.XLOOKUP(L:L,'Overall Progress'!L:L,'Overall Progress'!L:L,"NOT YET")</f>
        <v>NOT YET</v>
      </c>
      <c r="P1524" s="26"/>
      <c r="Q1524" s="26"/>
      <c r="R1524" s="26"/>
      <c r="S1524" s="26"/>
      <c r="T1524" s="26"/>
      <c r="U1524" s="26"/>
      <c r="V1524" s="26"/>
      <c r="W1524" s="26"/>
      <c r="X1524" s="26"/>
      <c r="Y1524" s="26"/>
      <c r="Z1524" s="26"/>
    </row>
    <row r="1525" hidden="1" customHeight="1" spans="1:26">
      <c r="A1525" s="27">
        <v>1333</v>
      </c>
      <c r="B1525" s="27">
        <v>99</v>
      </c>
      <c r="C1525" s="27" t="s">
        <v>1664</v>
      </c>
      <c r="D1525" s="27" t="s">
        <v>2717</v>
      </c>
      <c r="E1525" s="27" t="s">
        <v>2893</v>
      </c>
      <c r="F1525" s="27" t="str">
        <f t="shared" si="0"/>
        <v>Positive Traits Greek Origin</v>
      </c>
      <c r="G1525" s="27">
        <f t="shared" si="3"/>
        <v>9</v>
      </c>
      <c r="H1525" s="27" t="s">
        <v>4371</v>
      </c>
      <c r="I1525" s="27"/>
      <c r="J1525" s="27"/>
      <c r="K1525" s="27"/>
      <c r="L1525" s="27" t="str">
        <f t="shared" si="2"/>
        <v>S</v>
      </c>
      <c r="M1525" s="27" t="str">
        <f>IFERROR(__xludf.DUMMYFUNCTION("GOOGLETRANSLATE(C1525,""EN"",""KN"")"),"ಕಾರ್ಯತಂತ್ರದ")</f>
        <v>ಕಾರ್ಯತಂತ್ರದ</v>
      </c>
      <c r="N1525" s="27" t="str">
        <f t="array" ref="N1525">_xlfn.XLOOKUP(B1525,'Sets Progress'!I:I,'Sets Progress'!I:I,"NOT YET")</f>
        <v>NOT YET</v>
      </c>
      <c r="O1525" s="27" t="str">
        <f t="array" ref="O1525">_xlfn.XLOOKUP(L:L,'Overall Progress'!L:L,'Overall Progress'!L:L,"NOT YET")</f>
        <v>NOT YET</v>
      </c>
      <c r="P1525" s="27"/>
      <c r="Q1525" s="27"/>
      <c r="R1525" s="27"/>
      <c r="S1525" s="27"/>
      <c r="T1525" s="27"/>
      <c r="U1525" s="27"/>
      <c r="V1525" s="27"/>
      <c r="W1525" s="27"/>
      <c r="X1525" s="27"/>
      <c r="Y1525" s="27"/>
      <c r="Z1525" s="27"/>
    </row>
    <row r="1526" hidden="1" customHeight="1" spans="1:26">
      <c r="A1526" s="26">
        <v>41</v>
      </c>
      <c r="B1526" s="26">
        <v>100</v>
      </c>
      <c r="C1526" s="26" t="s">
        <v>397</v>
      </c>
      <c r="D1526" s="26" t="s">
        <v>2717</v>
      </c>
      <c r="E1526" s="26" t="s">
        <v>2889</v>
      </c>
      <c r="F1526" s="26" t="str">
        <f t="shared" si="0"/>
        <v>Positive Traits Latin Origin</v>
      </c>
      <c r="G1526" s="26">
        <f t="shared" si="3"/>
        <v>8</v>
      </c>
      <c r="H1526" s="26" t="s">
        <v>4372</v>
      </c>
      <c r="I1526" s="26"/>
      <c r="J1526" s="26"/>
      <c r="K1526" s="26"/>
      <c r="L1526" s="26" t="str">
        <f t="shared" si="2"/>
        <v>A</v>
      </c>
      <c r="M1526" s="26" t="str">
        <f>IFERROR(__xludf.DUMMYFUNCTION("GOOGLETRANSLATE(C1526,""EN"",""KN"")"),"ವಕೀಲ")</f>
        <v>ವಕೀಲ</v>
      </c>
      <c r="N1526" s="26" t="str">
        <f t="array" ref="N1526">_xlfn.XLOOKUP(B1526,'Sets Progress'!I:I,'Sets Progress'!I:I,"NOT YET")</f>
        <v>NOT YET</v>
      </c>
      <c r="O1526" s="26" t="str">
        <f t="array" ref="O1526">_xlfn.XLOOKUP(L:L,'Overall Progress'!L:L,'Overall Progress'!L:L,"NOT YET")</f>
        <v>NOT YET</v>
      </c>
      <c r="P1526" s="26"/>
      <c r="Q1526" s="26"/>
      <c r="R1526" s="26"/>
      <c r="S1526" s="26"/>
      <c r="T1526" s="26"/>
      <c r="U1526" s="26"/>
      <c r="V1526" s="26"/>
      <c r="W1526" s="26"/>
      <c r="X1526" s="26"/>
      <c r="Y1526" s="26"/>
      <c r="Z1526" s="26"/>
    </row>
    <row r="1527" hidden="1" customHeight="1" spans="1:26">
      <c r="A1527" s="27">
        <v>50</v>
      </c>
      <c r="B1527" s="27">
        <v>100</v>
      </c>
      <c r="C1527" s="27" t="s">
        <v>404</v>
      </c>
      <c r="D1527" s="27" t="s">
        <v>2946</v>
      </c>
      <c r="E1527" s="27" t="s">
        <v>2908</v>
      </c>
      <c r="F1527" s="27" t="str">
        <f t="shared" si="0"/>
        <v>Emotional Old English Origin</v>
      </c>
      <c r="G1527" s="27">
        <f t="shared" si="3"/>
        <v>6</v>
      </c>
      <c r="H1527" s="27" t="s">
        <v>4373</v>
      </c>
      <c r="I1527" s="27"/>
      <c r="J1527" s="27"/>
      <c r="K1527" s="27"/>
      <c r="L1527" s="27" t="str">
        <f t="shared" si="2"/>
        <v>A</v>
      </c>
      <c r="M1527" s="27" t="str">
        <f>IFERROR(__xludf.DUMMYFUNCTION("GOOGLETRANSLATE(C1527,""EN"",""KN"")"),"ಗಾಬರಿ")</f>
        <v>ಗಾಬರಿ</v>
      </c>
      <c r="N1527" s="27" t="str">
        <f t="array" ref="N1527">_xlfn.XLOOKUP(B1527,'Sets Progress'!I:I,'Sets Progress'!I:I,"NOT YET")</f>
        <v>NOT YET</v>
      </c>
      <c r="O1527" s="27" t="str">
        <f t="array" ref="O1527">_xlfn.XLOOKUP(L:L,'Overall Progress'!L:L,'Overall Progress'!L:L,"NOT YET")</f>
        <v>NOT YET</v>
      </c>
      <c r="P1527" s="27"/>
      <c r="Q1527" s="27"/>
      <c r="R1527" s="27"/>
      <c r="S1527" s="27"/>
      <c r="T1527" s="27"/>
      <c r="U1527" s="27"/>
      <c r="V1527" s="27"/>
      <c r="W1527" s="27"/>
      <c r="X1527" s="27"/>
      <c r="Y1527" s="27"/>
      <c r="Z1527" s="27"/>
    </row>
    <row r="1528" hidden="1" customHeight="1" spans="1:26">
      <c r="A1528" s="26">
        <v>173</v>
      </c>
      <c r="B1528" s="26">
        <v>100</v>
      </c>
      <c r="C1528" s="26" t="s">
        <v>522</v>
      </c>
      <c r="D1528" s="26" t="s">
        <v>2716</v>
      </c>
      <c r="E1528" s="26" t="s">
        <v>3391</v>
      </c>
      <c r="F1528" s="26" t="str">
        <f t="shared" si="0"/>
        <v>Negative Traits American English Origin</v>
      </c>
      <c r="G1528" s="26">
        <f t="shared" si="3"/>
        <v>5</v>
      </c>
      <c r="H1528" s="26" t="s">
        <v>4374</v>
      </c>
      <c r="I1528" s="26"/>
      <c r="J1528" s="26"/>
      <c r="K1528" s="26"/>
      <c r="L1528" s="26" t="str">
        <f t="shared" si="2"/>
        <v>B</v>
      </c>
      <c r="M1528" s="26" t="str">
        <f>IFERROR(__xludf.DUMMYFUNCTION("GOOGLETRANSLATE(C1528,""EN"",""KN"")"),"ಬೋಗಸ್")</f>
        <v>ಬೋಗಸ್</v>
      </c>
      <c r="N1528" s="26" t="str">
        <f t="array" ref="N1528">_xlfn.XLOOKUP(B1528,'Sets Progress'!I:I,'Sets Progress'!I:I,"NOT YET")</f>
        <v>NOT YET</v>
      </c>
      <c r="O1528" s="26" t="str">
        <f t="array" ref="O1528">_xlfn.XLOOKUP(L:L,'Overall Progress'!L:L,'Overall Progress'!L:L,"NOT YET")</f>
        <v>NOT YET</v>
      </c>
      <c r="P1528" s="26"/>
      <c r="Q1528" s="26"/>
      <c r="R1528" s="26"/>
      <c r="S1528" s="26"/>
      <c r="T1528" s="26"/>
      <c r="U1528" s="26"/>
      <c r="V1528" s="26"/>
      <c r="W1528" s="26"/>
      <c r="X1528" s="26"/>
      <c r="Y1528" s="26"/>
      <c r="Z1528" s="26"/>
    </row>
    <row r="1529" hidden="1" customHeight="1" spans="1:26">
      <c r="A1529" s="27">
        <v>314</v>
      </c>
      <c r="B1529" s="27">
        <v>100</v>
      </c>
      <c r="C1529" s="27" t="s">
        <v>110</v>
      </c>
      <c r="D1529" s="27" t="s">
        <v>2928</v>
      </c>
      <c r="E1529" s="27" t="s">
        <v>2889</v>
      </c>
      <c r="F1529" s="27" t="str">
        <f t="shared" si="0"/>
        <v>Philosophical Latin Origin</v>
      </c>
      <c r="G1529" s="27">
        <f t="shared" si="3"/>
        <v>11</v>
      </c>
      <c r="H1529" s="27" t="s">
        <v>4375</v>
      </c>
      <c r="I1529" s="27"/>
      <c r="J1529" s="27"/>
      <c r="K1529" s="27"/>
      <c r="L1529" s="27" t="str">
        <f t="shared" si="2"/>
        <v>C</v>
      </c>
      <c r="M1529" s="27" t="str">
        <f>IFERROR(__xludf.DUMMYFUNCTION("GOOGLETRANSLATE(C1529,""EN"",""KN"")"),"ದೃಢೀಕರಿಸಿ")</f>
        <v>ದೃಢೀಕರಿಸಿ</v>
      </c>
      <c r="N1529" s="27" t="str">
        <f t="array" ref="N1529">_xlfn.XLOOKUP(B1529,'Sets Progress'!I:I,'Sets Progress'!I:I,"NOT YET")</f>
        <v>NOT YET</v>
      </c>
      <c r="O1529" s="27" t="str">
        <f t="array" ref="O1529">_xlfn.XLOOKUP(L:L,'Overall Progress'!L:L,'Overall Progress'!L:L,"NOT YET")</f>
        <v>NOT YET</v>
      </c>
      <c r="P1529" s="27"/>
      <c r="Q1529" s="27"/>
      <c r="R1529" s="27"/>
      <c r="S1529" s="27"/>
      <c r="T1529" s="27"/>
      <c r="U1529" s="27"/>
      <c r="V1529" s="27"/>
      <c r="W1529" s="27"/>
      <c r="X1529" s="27"/>
      <c r="Y1529" s="27"/>
      <c r="Z1529" s="27"/>
    </row>
    <row r="1530" hidden="1" customHeight="1" spans="1:26">
      <c r="A1530" s="26">
        <v>374</v>
      </c>
      <c r="B1530" s="26">
        <v>100</v>
      </c>
      <c r="C1530" s="26" t="s">
        <v>724</v>
      </c>
      <c r="D1530" s="26" t="s">
        <v>1721</v>
      </c>
      <c r="E1530" s="26" t="s">
        <v>2889</v>
      </c>
      <c r="F1530" s="26" t="str">
        <f t="shared" si="0"/>
        <v>Temporal Latin Origin</v>
      </c>
      <c r="G1530" s="26">
        <f t="shared" si="3"/>
        <v>6</v>
      </c>
      <c r="H1530" s="26" t="s">
        <v>4376</v>
      </c>
      <c r="I1530" s="26"/>
      <c r="J1530" s="26"/>
      <c r="K1530" s="26"/>
      <c r="L1530" s="26" t="str">
        <f t="shared" si="2"/>
        <v>D</v>
      </c>
      <c r="M1530" s="26" t="str">
        <f>IFERROR(__xludf.DUMMYFUNCTION("GOOGLETRANSLATE(C1530,""EN"",""KN"")"),"ಪದಚ್ಯುತಗೊಳಿಸು")</f>
        <v>ಪದಚ್ಯುತಗೊಳಿಸು</v>
      </c>
      <c r="N1530" s="26" t="str">
        <f t="array" ref="N1530">_xlfn.XLOOKUP(B1530,'Sets Progress'!I:I,'Sets Progress'!I:I,"NOT YET")</f>
        <v>NOT YET</v>
      </c>
      <c r="O1530" s="26" t="str">
        <f t="array" ref="O1530">_xlfn.XLOOKUP(L:L,'Overall Progress'!L:L,'Overall Progress'!L:L,"NOT YET")</f>
        <v>NOT YET</v>
      </c>
      <c r="P1530" s="26"/>
      <c r="Q1530" s="26"/>
      <c r="R1530" s="26"/>
      <c r="S1530" s="26"/>
      <c r="T1530" s="26"/>
      <c r="U1530" s="26"/>
      <c r="V1530" s="26"/>
      <c r="W1530" s="26"/>
      <c r="X1530" s="26"/>
      <c r="Y1530" s="26"/>
      <c r="Z1530" s="26"/>
    </row>
    <row r="1531" hidden="1" customHeight="1" spans="1:26">
      <c r="A1531" s="27">
        <v>393</v>
      </c>
      <c r="B1531" s="27">
        <v>100</v>
      </c>
      <c r="C1531" s="27" t="s">
        <v>743</v>
      </c>
      <c r="D1531" s="27" t="s">
        <v>2928</v>
      </c>
      <c r="E1531" s="27" t="s">
        <v>2893</v>
      </c>
      <c r="F1531" s="27" t="str">
        <f t="shared" si="0"/>
        <v>Philosophical Greek Origin</v>
      </c>
      <c r="G1531" s="27">
        <f t="shared" si="3"/>
        <v>9</v>
      </c>
      <c r="H1531" s="27" t="s">
        <v>4377</v>
      </c>
      <c r="I1531" s="27"/>
      <c r="J1531" s="27"/>
      <c r="K1531" s="27"/>
      <c r="L1531" s="27" t="str">
        <f t="shared" si="2"/>
        <v>D</v>
      </c>
      <c r="M1531" s="27" t="str">
        <f>IFERROR(__xludf.DUMMYFUNCTION("GOOGLETRANSLATE(C1531,""EN"",""KN"")"),"ಇಬ್ಭಾಗ")</f>
        <v>ಇಬ್ಭಾಗ</v>
      </c>
      <c r="N1531" s="27" t="str">
        <f t="array" ref="N1531">_xlfn.XLOOKUP(B1531,'Sets Progress'!I:I,'Sets Progress'!I:I,"NOT YET")</f>
        <v>NOT YET</v>
      </c>
      <c r="O1531" s="27" t="str">
        <f t="array" ref="O1531">_xlfn.XLOOKUP(L:L,'Overall Progress'!L:L,'Overall Progress'!L:L,"NOT YET")</f>
        <v>NOT YET</v>
      </c>
      <c r="P1531" s="27"/>
      <c r="Q1531" s="27"/>
      <c r="R1531" s="27"/>
      <c r="S1531" s="27"/>
      <c r="T1531" s="27"/>
      <c r="U1531" s="27"/>
      <c r="V1531" s="27"/>
      <c r="W1531" s="27"/>
      <c r="X1531" s="27"/>
      <c r="Y1531" s="27"/>
      <c r="Z1531" s="27"/>
    </row>
    <row r="1532" hidden="1" customHeight="1" spans="1:26">
      <c r="A1532" s="26">
        <v>426</v>
      </c>
      <c r="B1532" s="26">
        <v>100</v>
      </c>
      <c r="C1532" s="26" t="s">
        <v>775</v>
      </c>
      <c r="D1532" s="26" t="s">
        <v>2928</v>
      </c>
      <c r="E1532" s="26" t="s">
        <v>2889</v>
      </c>
      <c r="F1532" s="26" t="str">
        <f t="shared" si="0"/>
        <v>Philosophical Latin Origin</v>
      </c>
      <c r="G1532" s="26">
        <f t="shared" si="3"/>
        <v>11</v>
      </c>
      <c r="H1532" s="26" t="s">
        <v>4378</v>
      </c>
      <c r="I1532" s="26"/>
      <c r="J1532" s="26"/>
      <c r="K1532" s="26"/>
      <c r="L1532" s="26" t="str">
        <f t="shared" si="2"/>
        <v>D</v>
      </c>
      <c r="M1532" s="26" t="str">
        <f>IFERROR(__xludf.DUMMYFUNCTION("GOOGLETRANSLATE(C1532,""EN"",""KN"")"),"ಡಿಸ್ಜಂಕ್ಷನ್")</f>
        <v>ಡಿಸ್ಜಂಕ್ಷನ್</v>
      </c>
      <c r="N1532" s="26" t="str">
        <f t="array" ref="N1532">_xlfn.XLOOKUP(B1532,'Sets Progress'!I:I,'Sets Progress'!I:I,"NOT YET")</f>
        <v>NOT YET</v>
      </c>
      <c r="O1532" s="26" t="str">
        <f t="array" ref="O1532">_xlfn.XLOOKUP(L:L,'Overall Progress'!L:L,'Overall Progress'!L:L,"NOT YET")</f>
        <v>NOT YET</v>
      </c>
      <c r="P1532" s="26"/>
      <c r="Q1532" s="26"/>
      <c r="R1532" s="26"/>
      <c r="S1532" s="26"/>
      <c r="T1532" s="26"/>
      <c r="U1532" s="26"/>
      <c r="V1532" s="26"/>
      <c r="W1532" s="26"/>
      <c r="X1532" s="26"/>
      <c r="Y1532" s="26"/>
      <c r="Z1532" s="26"/>
    </row>
    <row r="1533" hidden="1" customHeight="1" spans="1:26">
      <c r="A1533" s="27">
        <v>552</v>
      </c>
      <c r="B1533" s="27">
        <v>100</v>
      </c>
      <c r="C1533" s="27" t="s">
        <v>898</v>
      </c>
      <c r="D1533" s="27" t="s">
        <v>3022</v>
      </c>
      <c r="E1533" s="27" t="s">
        <v>2893</v>
      </c>
      <c r="F1533" s="27" t="str">
        <f t="shared" si="0"/>
        <v>Intellectual Greek Origin</v>
      </c>
      <c r="G1533" s="27">
        <f t="shared" si="3"/>
        <v>8</v>
      </c>
      <c r="H1533" s="27" t="s">
        <v>4379</v>
      </c>
      <c r="I1533" s="27"/>
      <c r="J1533" s="27"/>
      <c r="K1533" s="27"/>
      <c r="L1533" s="27" t="str">
        <f t="shared" si="2"/>
        <v>E</v>
      </c>
      <c r="M1533" s="27" t="str">
        <f>IFERROR(__xludf.DUMMYFUNCTION("GOOGLETRANSLATE(C1533,""EN"",""KN"")"),"ವ್ಯಾಖ್ಯಾನ")</f>
        <v>ವ್ಯಾಖ್ಯಾನ</v>
      </c>
      <c r="N1533" s="27" t="str">
        <f t="array" ref="N1533">_xlfn.XLOOKUP(B1533,'Sets Progress'!I:I,'Sets Progress'!I:I,"NOT YET")</f>
        <v>NOT YET</v>
      </c>
      <c r="O1533" s="27" t="str">
        <f t="array" ref="O1533">_xlfn.XLOOKUP(L:L,'Overall Progress'!L:L,'Overall Progress'!L:L,"NOT YET")</f>
        <v>NOT YET</v>
      </c>
      <c r="P1533" s="27"/>
      <c r="Q1533" s="27"/>
      <c r="R1533" s="27"/>
      <c r="S1533" s="27"/>
      <c r="T1533" s="27"/>
      <c r="U1533" s="27"/>
      <c r="V1533" s="27"/>
      <c r="W1533" s="27"/>
      <c r="X1533" s="27"/>
      <c r="Y1533" s="27"/>
      <c r="Z1533" s="27"/>
    </row>
    <row r="1534" hidden="1" customHeight="1" spans="1:26">
      <c r="A1534" s="26">
        <v>622</v>
      </c>
      <c r="B1534" s="26">
        <v>100</v>
      </c>
      <c r="C1534" s="26" t="s">
        <v>966</v>
      </c>
      <c r="D1534" s="26" t="s">
        <v>1721</v>
      </c>
      <c r="E1534" s="26" t="s">
        <v>2908</v>
      </c>
      <c r="F1534" s="26" t="str">
        <f t="shared" si="0"/>
        <v>Temporal Old English Origin</v>
      </c>
      <c r="G1534" s="26">
        <f t="shared" si="3"/>
        <v>9</v>
      </c>
      <c r="H1534" s="26" t="s">
        <v>4380</v>
      </c>
      <c r="I1534" s="26"/>
      <c r="J1534" s="26"/>
      <c r="K1534" s="26"/>
      <c r="L1534" s="26" t="str">
        <f t="shared" si="2"/>
        <v>F</v>
      </c>
      <c r="M1534" s="26" t="str">
        <f>IFERROR(__xludf.DUMMYFUNCTION("GOOGLETRANSLATE(C1534,""EN"",""KN"")"),"ದೂರದೃಷ್ಟಿ")</f>
        <v>ದೂರದೃಷ್ಟಿ</v>
      </c>
      <c r="N1534" s="26" t="str">
        <f t="array" ref="N1534">_xlfn.XLOOKUP(B1534,'Sets Progress'!I:I,'Sets Progress'!I:I,"NOT YET")</f>
        <v>NOT YET</v>
      </c>
      <c r="O1534" s="26" t="str">
        <f t="array" ref="O1534">_xlfn.XLOOKUP(L:L,'Overall Progress'!L:L,'Overall Progress'!L:L,"NOT YET")</f>
        <v>NOT YET</v>
      </c>
      <c r="P1534" s="26"/>
      <c r="Q1534" s="26"/>
      <c r="R1534" s="26"/>
      <c r="S1534" s="26"/>
      <c r="T1534" s="26"/>
      <c r="U1534" s="26"/>
      <c r="V1534" s="26"/>
      <c r="W1534" s="26"/>
      <c r="X1534" s="26"/>
      <c r="Y1534" s="26"/>
      <c r="Z1534" s="26"/>
    </row>
    <row r="1535" hidden="1" customHeight="1" spans="1:26">
      <c r="A1535" s="27">
        <v>758</v>
      </c>
      <c r="B1535" s="27">
        <v>100</v>
      </c>
      <c r="C1535" s="27" t="s">
        <v>1099</v>
      </c>
      <c r="D1535" s="27" t="s">
        <v>1721</v>
      </c>
      <c r="E1535" s="27" t="s">
        <v>2889</v>
      </c>
      <c r="F1535" s="27" t="str">
        <f t="shared" si="0"/>
        <v>Temporal Latin Origin</v>
      </c>
      <c r="G1535" s="27">
        <f t="shared" si="3"/>
        <v>13</v>
      </c>
      <c r="H1535" s="27" t="s">
        <v>4381</v>
      </c>
      <c r="I1535" s="27"/>
      <c r="J1535" s="27"/>
      <c r="K1535" s="27"/>
      <c r="L1535" s="27" t="str">
        <f t="shared" si="2"/>
        <v>I</v>
      </c>
      <c r="M1535" s="27" t="str">
        <f>IFERROR(__xludf.DUMMYFUNCTION("GOOGLETRANSLATE(C1535,""EN"",""KN"")"),"ಅವಿಶ್ರಾಂತ")</f>
        <v>ಅವಿಶ್ರಾಂತ</v>
      </c>
      <c r="N1535" s="27" t="str">
        <f t="array" ref="N1535">_xlfn.XLOOKUP(B1535,'Sets Progress'!I:I,'Sets Progress'!I:I,"NOT YET")</f>
        <v>NOT YET</v>
      </c>
      <c r="O1535" s="27" t="str">
        <f t="array" ref="O1535">_xlfn.XLOOKUP(L:L,'Overall Progress'!L:L,'Overall Progress'!L:L,"NOT YET")</f>
        <v>NOT YET</v>
      </c>
      <c r="P1535" s="27"/>
      <c r="Q1535" s="27"/>
      <c r="R1535" s="27"/>
      <c r="S1535" s="27"/>
      <c r="T1535" s="27"/>
      <c r="U1535" s="27"/>
      <c r="V1535" s="27"/>
      <c r="W1535" s="27"/>
      <c r="X1535" s="27"/>
      <c r="Y1535" s="27"/>
      <c r="Z1535" s="27"/>
    </row>
    <row r="1536" hidden="1" customHeight="1" spans="1:26">
      <c r="A1536" s="26">
        <v>957</v>
      </c>
      <c r="B1536" s="26">
        <v>100</v>
      </c>
      <c r="C1536" s="26" t="s">
        <v>1293</v>
      </c>
      <c r="D1536" s="26" t="s">
        <v>2716</v>
      </c>
      <c r="E1536" s="26" t="s">
        <v>2889</v>
      </c>
      <c r="F1536" s="26" t="str">
        <f t="shared" si="0"/>
        <v>Negative Traits Latin Origin</v>
      </c>
      <c r="G1536" s="26">
        <f t="shared" si="3"/>
        <v>10</v>
      </c>
      <c r="H1536" s="26" t="s">
        <v>4382</v>
      </c>
      <c r="I1536" s="26"/>
      <c r="J1536" s="26"/>
      <c r="K1536" s="26"/>
      <c r="L1536" s="26" t="str">
        <f t="shared" si="2"/>
        <v>N</v>
      </c>
      <c r="M1536" s="26" t="str">
        <f>IFERROR(__xludf.DUMMYFUNCTION("GOOGLETRANSLATE(C1536,""EN"",""KN"")"),"ನಾನ್‌ಪ್ಲಸ್ಡ್")</f>
        <v>ನಾನ್‌ಪ್ಲಸ್ಡ್</v>
      </c>
      <c r="N1536" s="26" t="str">
        <f t="array" ref="N1536">_xlfn.XLOOKUP(B1536,'Sets Progress'!I:I,'Sets Progress'!I:I,"NOT YET")</f>
        <v>NOT YET</v>
      </c>
      <c r="O1536" s="26" t="str">
        <f t="array" ref="O1536">_xlfn.XLOOKUP(L:L,'Overall Progress'!L:L,'Overall Progress'!L:L,"NOT YET")</f>
        <v>NOT YET</v>
      </c>
      <c r="P1536" s="26"/>
      <c r="Q1536" s="26"/>
      <c r="R1536" s="26"/>
      <c r="S1536" s="26"/>
      <c r="T1536" s="26"/>
      <c r="U1536" s="26"/>
      <c r="V1536" s="26"/>
      <c r="W1536" s="26"/>
      <c r="X1536" s="26"/>
      <c r="Y1536" s="26"/>
      <c r="Z1536" s="26"/>
    </row>
    <row r="1537" hidden="1" customHeight="1" spans="1:26">
      <c r="A1537" s="27">
        <v>961</v>
      </c>
      <c r="B1537" s="27">
        <v>100</v>
      </c>
      <c r="C1537" s="27" t="s">
        <v>1297</v>
      </c>
      <c r="D1537" s="27" t="s">
        <v>2716</v>
      </c>
      <c r="E1537" s="27" t="s">
        <v>2889</v>
      </c>
      <c r="F1537" s="27" t="str">
        <f t="shared" si="0"/>
        <v>Negative Traits Latin Origin</v>
      </c>
      <c r="G1537" s="27">
        <f t="shared" si="3"/>
        <v>7</v>
      </c>
      <c r="H1537" s="27" t="s">
        <v>4383</v>
      </c>
      <c r="I1537" s="27"/>
      <c r="J1537" s="27"/>
      <c r="K1537" s="27"/>
      <c r="L1537" s="27" t="str">
        <f t="shared" si="2"/>
        <v>N</v>
      </c>
      <c r="M1537" s="27" t="str">
        <f>IFERROR(__xludf.DUMMYFUNCTION("GOOGLETRANSLATE(C1537,""EN"",""KN"")"),"ಹಾನಿಕಾರಕ")</f>
        <v>ಹಾನಿಕಾರಕ</v>
      </c>
      <c r="N1537" s="27" t="str">
        <f t="array" ref="N1537">_xlfn.XLOOKUP(B1537,'Sets Progress'!I:I,'Sets Progress'!I:I,"NOT YET")</f>
        <v>NOT YET</v>
      </c>
      <c r="O1537" s="27" t="str">
        <f t="array" ref="O1537">_xlfn.XLOOKUP(L:L,'Overall Progress'!L:L,'Overall Progress'!L:L,"NOT YET")</f>
        <v>NOT YET</v>
      </c>
      <c r="P1537" s="27"/>
      <c r="Q1537" s="27"/>
      <c r="R1537" s="27"/>
      <c r="S1537" s="27"/>
      <c r="T1537" s="27"/>
      <c r="U1537" s="27"/>
      <c r="V1537" s="27"/>
      <c r="W1537" s="27"/>
      <c r="X1537" s="27"/>
      <c r="Y1537" s="27"/>
      <c r="Z1537" s="27"/>
    </row>
    <row r="1538" hidden="1" customHeight="1" spans="1:26">
      <c r="A1538" s="26">
        <v>1046</v>
      </c>
      <c r="B1538" s="26">
        <v>100</v>
      </c>
      <c r="C1538" s="26" t="s">
        <v>1381</v>
      </c>
      <c r="D1538" s="26" t="s">
        <v>2716</v>
      </c>
      <c r="E1538" s="26" t="s">
        <v>2889</v>
      </c>
      <c r="F1538" s="26" t="str">
        <f t="shared" si="0"/>
        <v>Negative Traits Latin Origin</v>
      </c>
      <c r="G1538" s="26">
        <f t="shared" si="3"/>
        <v>10</v>
      </c>
      <c r="H1538" s="26" t="s">
        <v>4384</v>
      </c>
      <c r="I1538" s="26"/>
      <c r="J1538" s="26"/>
      <c r="K1538" s="26"/>
      <c r="L1538" s="26" t="str">
        <f t="shared" si="2"/>
        <v>P</v>
      </c>
      <c r="M1538" s="26" t="str">
        <f>IFERROR(__xludf.DUMMYFUNCTION("GOOGLETRANSLATE(C1538,""EN"",""KN"")"),"ವಿನಾಶಕಾರಿ")</f>
        <v>ವಿನಾಶಕಾರಿ</v>
      </c>
      <c r="N1538" s="26" t="str">
        <f t="array" ref="N1538">_xlfn.XLOOKUP(B1538,'Sets Progress'!I:I,'Sets Progress'!I:I,"NOT YET")</f>
        <v>NOT YET</v>
      </c>
      <c r="O1538" s="26" t="str">
        <f t="array" ref="O1538">_xlfn.XLOOKUP(L:L,'Overall Progress'!L:L,'Overall Progress'!L:L,"NOT YET")</f>
        <v>NOT YET</v>
      </c>
      <c r="P1538" s="26"/>
      <c r="Q1538" s="26"/>
      <c r="R1538" s="26"/>
      <c r="S1538" s="26"/>
      <c r="T1538" s="26"/>
      <c r="U1538" s="26"/>
      <c r="V1538" s="26"/>
      <c r="W1538" s="26"/>
      <c r="X1538" s="26"/>
      <c r="Y1538" s="26"/>
      <c r="Z1538" s="26"/>
    </row>
    <row r="1539" hidden="1" customHeight="1" spans="1:26">
      <c r="A1539" s="27">
        <v>1125</v>
      </c>
      <c r="B1539" s="27">
        <v>100</v>
      </c>
      <c r="C1539" s="27" t="s">
        <v>1458</v>
      </c>
      <c r="D1539" s="27" t="s">
        <v>2717</v>
      </c>
      <c r="E1539" s="27" t="s">
        <v>2889</v>
      </c>
      <c r="F1539" s="27" t="str">
        <f t="shared" si="0"/>
        <v>Positive Traits Latin Origin</v>
      </c>
      <c r="G1539" s="27">
        <f t="shared" si="3"/>
        <v>10</v>
      </c>
      <c r="H1539" s="27" t="s">
        <v>4385</v>
      </c>
      <c r="I1539" s="27"/>
      <c r="J1539" s="27"/>
      <c r="K1539" s="27"/>
      <c r="L1539" s="27" t="str">
        <f t="shared" si="2"/>
        <v>P</v>
      </c>
      <c r="M1539" s="27" t="str">
        <f>IFERROR(__xludf.DUMMYFUNCTION("GOOGLETRANSLATE(C1539,""EN"",""KN"")"),"ಅಗಾಧತೆ")</f>
        <v>ಅಗಾಧತೆ</v>
      </c>
      <c r="N1539" s="27" t="str">
        <f t="array" ref="N1539">_xlfn.XLOOKUP(B1539,'Sets Progress'!I:I,'Sets Progress'!I:I,"NOT YET")</f>
        <v>NOT YET</v>
      </c>
      <c r="O1539" s="27" t="str">
        <f t="array" ref="O1539">_xlfn.XLOOKUP(L:L,'Overall Progress'!L:L,'Overall Progress'!L:L,"NOT YET")</f>
        <v>NOT YET</v>
      </c>
      <c r="P1539" s="27"/>
      <c r="Q1539" s="27"/>
      <c r="R1539" s="27"/>
      <c r="S1539" s="27"/>
      <c r="T1539" s="27"/>
      <c r="U1539" s="27"/>
      <c r="V1539" s="27"/>
      <c r="W1539" s="27"/>
      <c r="X1539" s="27"/>
      <c r="Y1539" s="27"/>
      <c r="Z1539" s="27"/>
    </row>
    <row r="1540" hidden="1" customHeight="1" spans="1:26">
      <c r="A1540" s="26">
        <v>1130</v>
      </c>
      <c r="B1540" s="26">
        <v>100</v>
      </c>
      <c r="C1540" s="26" t="s">
        <v>1462</v>
      </c>
      <c r="D1540" s="26" t="s">
        <v>2716</v>
      </c>
      <c r="E1540" s="26" t="s">
        <v>2889</v>
      </c>
      <c r="F1540" s="26" t="str">
        <f t="shared" si="0"/>
        <v>Negative Traits Latin Origin</v>
      </c>
      <c r="G1540" s="26">
        <f t="shared" si="3"/>
        <v>6</v>
      </c>
      <c r="H1540" s="26" t="s">
        <v>4386</v>
      </c>
      <c r="I1540" s="26"/>
      <c r="J1540" s="26"/>
      <c r="K1540" s="26"/>
      <c r="L1540" s="26" t="str">
        <f t="shared" si="2"/>
        <v>P</v>
      </c>
      <c r="M1540" s="26" t="str">
        <f>IFERROR(__xludf.DUMMYFUNCTION("GOOGLETRANSLATE(C1540,""EN"",""KN"")"),"ಪ್ರೋಲಿಕ್ಸ್")</f>
        <v>ಪ್ರೋಲಿಕ್ಸ್</v>
      </c>
      <c r="N1540" s="26" t="str">
        <f t="array" ref="N1540">_xlfn.XLOOKUP(B1540,'Sets Progress'!I:I,'Sets Progress'!I:I,"NOT YET")</f>
        <v>NOT YET</v>
      </c>
      <c r="O1540" s="26" t="str">
        <f t="array" ref="O1540">_xlfn.XLOOKUP(L:L,'Overall Progress'!L:L,'Overall Progress'!L:L,"NOT YET")</f>
        <v>NOT YET</v>
      </c>
      <c r="P1540" s="26"/>
      <c r="Q1540" s="26"/>
      <c r="R1540" s="26"/>
      <c r="S1540" s="26"/>
      <c r="T1540" s="26"/>
      <c r="U1540" s="26"/>
      <c r="V1540" s="26"/>
      <c r="W1540" s="26"/>
      <c r="X1540" s="26"/>
      <c r="Y1540" s="26"/>
      <c r="Z1540" s="26"/>
    </row>
    <row r="1541" hidden="1" customHeight="1" spans="1:26">
      <c r="A1541" s="27">
        <v>1131</v>
      </c>
      <c r="B1541" s="27">
        <v>100</v>
      </c>
      <c r="C1541" s="27" t="s">
        <v>1463</v>
      </c>
      <c r="D1541" s="27" t="s">
        <v>1721</v>
      </c>
      <c r="E1541" s="27" t="s">
        <v>2889</v>
      </c>
      <c r="F1541" s="27" t="str">
        <f t="shared" si="0"/>
        <v>Temporal Latin Origin</v>
      </c>
      <c r="G1541" s="27">
        <f t="shared" si="3"/>
        <v>10</v>
      </c>
      <c r="H1541" s="27" t="s">
        <v>4387</v>
      </c>
      <c r="I1541" s="27"/>
      <c r="J1541" s="27"/>
      <c r="K1541" s="27"/>
      <c r="L1541" s="27" t="str">
        <f t="shared" si="2"/>
        <v>P</v>
      </c>
      <c r="M1541" s="27" t="str">
        <f>IFERROR(__xludf.DUMMYFUNCTION("GOOGLETRANSLATE(C1541,""EN"",""KN"")"),"ಪ್ರಚಾರ ಮಾಡಿ")</f>
        <v>ಪ್ರಚಾರ ಮಾಡಿ</v>
      </c>
      <c r="N1541" s="27" t="str">
        <f t="array" ref="N1541">_xlfn.XLOOKUP(B1541,'Sets Progress'!I:I,'Sets Progress'!I:I,"NOT YET")</f>
        <v>NOT YET</v>
      </c>
      <c r="O1541" s="27" t="str">
        <f t="array" ref="O1541">_xlfn.XLOOKUP(L:L,'Overall Progress'!L:L,'Overall Progress'!L:L,"NOT YET")</f>
        <v>NOT YET</v>
      </c>
      <c r="P1541" s="27"/>
      <c r="Q1541" s="27"/>
      <c r="R1541" s="27"/>
      <c r="S1541" s="27"/>
      <c r="T1541" s="27"/>
      <c r="U1541" s="27"/>
      <c r="V1541" s="27"/>
      <c r="W1541" s="27"/>
      <c r="X1541" s="27"/>
      <c r="Y1541" s="27"/>
      <c r="Z1541" s="27"/>
    </row>
    <row r="1542" customHeight="1" spans="1:26">
      <c r="A1542" s="26">
        <v>1175</v>
      </c>
      <c r="B1542" s="26">
        <v>100</v>
      </c>
      <c r="C1542" s="26" t="s">
        <v>1506</v>
      </c>
      <c r="D1542" s="26" t="s">
        <v>1721</v>
      </c>
      <c r="E1542" s="26" t="s">
        <v>2889</v>
      </c>
      <c r="F1542" s="26" t="str">
        <f t="shared" si="0"/>
        <v>Temporal Latin Origin</v>
      </c>
      <c r="G1542" s="26">
        <f t="shared" si="3"/>
        <v>12</v>
      </c>
      <c r="H1542" s="26"/>
      <c r="I1542" s="26"/>
      <c r="J1542" s="26"/>
      <c r="K1542" s="26"/>
      <c r="L1542" s="26" t="str">
        <f t="shared" si="2"/>
        <v>R</v>
      </c>
      <c r="M1542" s="26" t="str">
        <f>IFERROR(__xludf.DUMMYFUNCTION("GOOGLETRANSLATE(C1542,""EN"",""KN"")"),"ಪುನರಾವಲೋಕನ ಮಾಡಿ")</f>
        <v>ಪುನರಾವಲೋಕನ ಮಾಡಿ</v>
      </c>
      <c r="N1542" s="26" t="str">
        <f t="array" ref="N1542">_xlfn.XLOOKUP(B1542,'Sets Progress'!I:I,'Sets Progress'!I:I,"NOT YET")</f>
        <v>NOT YET</v>
      </c>
      <c r="O1542" s="26" t="str">
        <f t="array" ref="O1542">_xlfn.XLOOKUP(L:L,'Overall Progress'!L:L,'Overall Progress'!L:L,"NOT YET")</f>
        <v>NOT YET</v>
      </c>
      <c r="P1542" s="26"/>
      <c r="Q1542" s="26"/>
      <c r="R1542" s="26"/>
      <c r="S1542" s="26"/>
      <c r="T1542" s="26"/>
      <c r="U1542" s="26"/>
      <c r="V1542" s="26"/>
      <c r="W1542" s="26"/>
      <c r="X1542" s="26"/>
      <c r="Y1542" s="26"/>
      <c r="Z1542" s="26"/>
    </row>
    <row r="1543" customHeight="1" spans="1:26">
      <c r="A1543" s="27">
        <v>1176</v>
      </c>
      <c r="B1543" s="27">
        <v>100</v>
      </c>
      <c r="C1543" s="27" t="s">
        <v>1507</v>
      </c>
      <c r="D1543" s="27" t="s">
        <v>1721</v>
      </c>
      <c r="E1543" s="27" t="s">
        <v>2889</v>
      </c>
      <c r="F1543" s="27" t="str">
        <f t="shared" si="0"/>
        <v>Temporal Latin Origin</v>
      </c>
      <c r="G1543" s="27">
        <f t="shared" si="3"/>
        <v>6</v>
      </c>
      <c r="H1543" s="27"/>
      <c r="I1543" s="27"/>
      <c r="J1543" s="27"/>
      <c r="K1543" s="27"/>
      <c r="L1543" s="27" t="str">
        <f t="shared" si="2"/>
        <v>R</v>
      </c>
      <c r="M1543" s="27" t="str">
        <f>IFERROR(__xludf.DUMMYFUNCTION("GOOGLETRANSLATE(C1543,""EN"",""KN"")"),"ಪಾಕವಿಧಾನ")</f>
        <v>ಪಾಕವಿಧಾನ</v>
      </c>
      <c r="N1543" s="27" t="str">
        <f t="array" ref="N1543">_xlfn.XLOOKUP(B1543,'Sets Progress'!I:I,'Sets Progress'!I:I,"NOT YET")</f>
        <v>NOT YET</v>
      </c>
      <c r="O1543" s="27" t="str">
        <f t="array" ref="O1543">_xlfn.XLOOKUP(L:L,'Overall Progress'!L:L,'Overall Progress'!L:L,"NOT YET")</f>
        <v>NOT YET</v>
      </c>
      <c r="P1543" s="27"/>
      <c r="Q1543" s="27"/>
      <c r="R1543" s="27"/>
      <c r="S1543" s="27"/>
      <c r="T1543" s="27"/>
      <c r="U1543" s="27"/>
      <c r="V1543" s="27"/>
      <c r="W1543" s="27"/>
      <c r="X1543" s="27"/>
      <c r="Y1543" s="27"/>
      <c r="Z1543" s="27"/>
    </row>
    <row r="1544" customHeight="1" spans="1:26">
      <c r="A1544" s="26">
        <v>1257</v>
      </c>
      <c r="B1544" s="26">
        <v>100</v>
      </c>
      <c r="C1544" s="26" t="s">
        <v>1588</v>
      </c>
      <c r="D1544" s="26" t="s">
        <v>2716</v>
      </c>
      <c r="E1544" s="26" t="s">
        <v>2908</v>
      </c>
      <c r="F1544" s="26" t="str">
        <f t="shared" si="0"/>
        <v>Negative Traits Old English Origin</v>
      </c>
      <c r="G1544" s="26">
        <f t="shared" si="3"/>
        <v>8</v>
      </c>
      <c r="H1544" s="26"/>
      <c r="I1544" s="26"/>
      <c r="J1544" s="26"/>
      <c r="K1544" s="26"/>
      <c r="L1544" s="26" t="str">
        <f t="shared" si="2"/>
        <v>S</v>
      </c>
      <c r="M1544" s="26" t="str">
        <f>IFERROR(__xludf.DUMMYFUNCTION("GOOGLETRANSLATE(C1544,""EN"",""KN"")"),"ತಿರಸ್ಕಾರಭರಿತ")</f>
        <v>ತಿರಸ್ಕಾರಭರಿತ</v>
      </c>
      <c r="N1544" s="26" t="str">
        <f t="array" ref="N1544">_xlfn.XLOOKUP(B1544,'Sets Progress'!I:I,'Sets Progress'!I:I,"NOT YET")</f>
        <v>NOT YET</v>
      </c>
      <c r="O1544" s="26" t="str">
        <f t="array" ref="O1544">_xlfn.XLOOKUP(L:L,'Overall Progress'!L:L,'Overall Progress'!L:L,"NOT YET")</f>
        <v>NOT YET</v>
      </c>
      <c r="P1544" s="26"/>
      <c r="Q1544" s="26"/>
      <c r="R1544" s="26"/>
      <c r="S1544" s="26"/>
      <c r="T1544" s="26"/>
      <c r="U1544" s="26"/>
      <c r="V1544" s="26"/>
      <c r="W1544" s="26"/>
      <c r="X1544" s="26"/>
      <c r="Y1544" s="26"/>
      <c r="Z1544" s="26"/>
    </row>
    <row r="1545" hidden="1" customHeight="1" spans="1:26">
      <c r="A1545" s="27">
        <v>1397</v>
      </c>
      <c r="B1545" s="27">
        <v>100</v>
      </c>
      <c r="C1545" s="27" t="s">
        <v>1728</v>
      </c>
      <c r="D1545" s="27" t="s">
        <v>2716</v>
      </c>
      <c r="E1545" s="27" t="s">
        <v>2889</v>
      </c>
      <c r="F1545" s="27" t="str">
        <f t="shared" si="0"/>
        <v>Negative Traits Latin Origin</v>
      </c>
      <c r="G1545" s="27">
        <f t="shared" si="3"/>
        <v>5</v>
      </c>
      <c r="H1545" s="27" t="s">
        <v>4388</v>
      </c>
      <c r="I1545" s="27"/>
      <c r="J1545" s="27"/>
      <c r="K1545" s="27"/>
      <c r="L1545" s="27" t="str">
        <f t="shared" si="2"/>
        <v>T</v>
      </c>
      <c r="M1545" s="27" t="str">
        <f>IFERROR(__xludf.DUMMYFUNCTION("GOOGLETRANSLATE(C1545,""EN"",""KN"")"),"ನೀರಸ")</f>
        <v>ನೀರಸ</v>
      </c>
      <c r="N1545" s="27" t="str">
        <f t="array" ref="N1545">_xlfn.XLOOKUP(B1545,'Sets Progress'!I:I,'Sets Progress'!I:I,"NOT YET")</f>
        <v>NOT YET</v>
      </c>
      <c r="O1545" s="27" t="str">
        <f t="array" ref="O1545">_xlfn.XLOOKUP(L:L,'Overall Progress'!L:L,'Overall Progress'!L:L,"NOT YET")</f>
        <v>NOT YET</v>
      </c>
      <c r="P1545" s="27"/>
      <c r="Q1545" s="27"/>
      <c r="R1545" s="27"/>
      <c r="S1545" s="27"/>
      <c r="T1545" s="27"/>
      <c r="U1545" s="27"/>
      <c r="V1545" s="27"/>
      <c r="W1545" s="27"/>
      <c r="X1545" s="27"/>
      <c r="Y1545" s="27"/>
      <c r="Z1545" s="27"/>
    </row>
    <row r="1546" customHeight="1" spans="1:26">
      <c r="A1546" s="26"/>
      <c r="B1546" s="26"/>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row>
    <row r="1547" customHeight="1" spans="1:26">
      <c r="A1547" s="27"/>
      <c r="B1547" s="27"/>
      <c r="C1547" s="27"/>
      <c r="D1547" s="27"/>
      <c r="E1547" s="27"/>
      <c r="F1547" s="27"/>
      <c r="G1547" s="27"/>
      <c r="H1547" s="27"/>
      <c r="I1547" s="27"/>
      <c r="J1547" s="27"/>
      <c r="K1547" s="27"/>
      <c r="L1547" s="27"/>
      <c r="M1547" s="27"/>
      <c r="N1547" s="27"/>
      <c r="O1547" s="27"/>
      <c r="P1547" s="27"/>
      <c r="Q1547" s="27"/>
      <c r="R1547" s="27"/>
      <c r="S1547" s="27"/>
      <c r="T1547" s="27"/>
      <c r="U1547" s="27"/>
      <c r="V1547" s="27"/>
      <c r="W1547" s="27"/>
      <c r="X1547" s="27"/>
      <c r="Y1547" s="27"/>
      <c r="Z1547" s="27"/>
    </row>
    <row r="1548" customHeight="1" spans="1:26">
      <c r="A1548" s="26"/>
      <c r="B1548" s="26"/>
      <c r="C1548" s="26"/>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c r="Z1548" s="26"/>
    </row>
    <row r="1549" customHeight="1" spans="1:26">
      <c r="A1549" s="27"/>
      <c r="B1549" s="27"/>
      <c r="C1549" s="27"/>
      <c r="D1549" s="27"/>
      <c r="E1549" s="27"/>
      <c r="F1549" s="27"/>
      <c r="G1549" s="27"/>
      <c r="H1549" s="27"/>
      <c r="I1549" s="27"/>
      <c r="J1549" s="27"/>
      <c r="K1549" s="27"/>
      <c r="L1549" s="27"/>
      <c r="M1549" s="27"/>
      <c r="N1549" s="27"/>
      <c r="O1549" s="27"/>
      <c r="P1549" s="27"/>
      <c r="Q1549" s="27"/>
      <c r="R1549" s="27"/>
      <c r="S1549" s="27"/>
      <c r="T1549" s="27"/>
      <c r="U1549" s="27"/>
      <c r="V1549" s="27"/>
      <c r="W1549" s="27"/>
      <c r="X1549" s="27"/>
      <c r="Y1549" s="27"/>
      <c r="Z1549" s="27"/>
    </row>
    <row r="1550" customHeight="1" spans="1:26">
      <c r="A1550" s="26"/>
      <c r="B1550" s="26"/>
      <c r="C1550" s="26"/>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c r="Z1550" s="26"/>
    </row>
    <row r="1551" customHeight="1" spans="1:26">
      <c r="A1551" s="27"/>
      <c r="B1551" s="27"/>
      <c r="C1551" s="27"/>
      <c r="D1551" s="27"/>
      <c r="E1551" s="27"/>
      <c r="F1551" s="27"/>
      <c r="G1551" s="27"/>
      <c r="H1551" s="27"/>
      <c r="I1551" s="27"/>
      <c r="J1551" s="27"/>
      <c r="K1551" s="27"/>
      <c r="L1551" s="27"/>
      <c r="M1551" s="27"/>
      <c r="N1551" s="27"/>
      <c r="O1551" s="27"/>
      <c r="P1551" s="27"/>
      <c r="Q1551" s="27"/>
      <c r="R1551" s="27"/>
      <c r="S1551" s="27"/>
      <c r="T1551" s="27"/>
      <c r="U1551" s="27"/>
      <c r="V1551" s="27"/>
      <c r="W1551" s="27"/>
      <c r="X1551" s="27"/>
      <c r="Y1551" s="27"/>
      <c r="Z1551" s="27"/>
    </row>
    <row r="1552" customHeight="1" spans="1:26">
      <c r="A1552" s="26"/>
      <c r="B1552" s="26"/>
      <c r="C1552" s="26"/>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c r="Z1552" s="26"/>
    </row>
    <row r="1553" customHeight="1" spans="1:26">
      <c r="A1553" s="27"/>
      <c r="B1553" s="27"/>
      <c r="C1553" s="27"/>
      <c r="D1553" s="27"/>
      <c r="E1553" s="27"/>
      <c r="F1553" s="27"/>
      <c r="G1553" s="27"/>
      <c r="H1553" s="27"/>
      <c r="I1553" s="27"/>
      <c r="J1553" s="27"/>
      <c r="K1553" s="27"/>
      <c r="L1553" s="27"/>
      <c r="M1553" s="27"/>
      <c r="N1553" s="27"/>
      <c r="O1553" s="27"/>
      <c r="P1553" s="27"/>
      <c r="Q1553" s="27"/>
      <c r="R1553" s="27"/>
      <c r="S1553" s="27"/>
      <c r="T1553" s="27"/>
      <c r="U1553" s="27"/>
      <c r="V1553" s="27"/>
      <c r="W1553" s="27"/>
      <c r="X1553" s="27"/>
      <c r="Y1553" s="27"/>
      <c r="Z1553" s="27"/>
    </row>
    <row r="1554" customHeight="1" spans="1:26">
      <c r="A1554" s="26"/>
      <c r="B1554" s="26"/>
      <c r="C1554" s="26"/>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row>
    <row r="1555" customHeight="1" spans="1:26">
      <c r="A1555" s="27"/>
      <c r="B1555" s="27"/>
      <c r="C1555" s="27"/>
      <c r="D1555" s="27"/>
      <c r="E1555" s="27"/>
      <c r="F1555" s="27"/>
      <c r="G1555" s="27"/>
      <c r="H1555" s="27"/>
      <c r="I1555" s="27"/>
      <c r="J1555" s="27"/>
      <c r="K1555" s="27"/>
      <c r="L1555" s="27"/>
      <c r="M1555" s="27"/>
      <c r="N1555" s="27"/>
      <c r="O1555" s="27"/>
      <c r="P1555" s="27"/>
      <c r="Q1555" s="27"/>
      <c r="R1555" s="27"/>
      <c r="S1555" s="27"/>
      <c r="T1555" s="27"/>
      <c r="U1555" s="27"/>
      <c r="V1555" s="27"/>
      <c r="W1555" s="27"/>
      <c r="X1555" s="27"/>
      <c r="Y1555" s="27"/>
      <c r="Z1555" s="27"/>
    </row>
    <row r="1556" customHeight="1" spans="1:26">
      <c r="A1556" s="26"/>
      <c r="B1556" s="26"/>
      <c r="C1556" s="26"/>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c r="Z1556" s="26"/>
    </row>
    <row r="1557" customHeight="1" spans="1:26">
      <c r="A1557" s="27"/>
      <c r="B1557" s="2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row>
    <row r="1558" customHeight="1" spans="1:26">
      <c r="A1558" s="26"/>
      <c r="B1558" s="26"/>
      <c r="C1558" s="26"/>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c r="Z1558" s="26"/>
    </row>
    <row r="1559" customHeight="1" spans="1:26">
      <c r="A1559" s="27"/>
      <c r="B1559" s="27"/>
      <c r="C1559" s="27"/>
      <c r="D1559" s="27"/>
      <c r="E1559" s="27"/>
      <c r="F1559" s="27"/>
      <c r="G1559" s="27"/>
      <c r="H1559" s="27"/>
      <c r="I1559" s="27"/>
      <c r="J1559" s="27"/>
      <c r="K1559" s="27"/>
      <c r="L1559" s="27"/>
      <c r="M1559" s="27"/>
      <c r="N1559" s="27"/>
      <c r="O1559" s="27"/>
      <c r="P1559" s="27"/>
      <c r="Q1559" s="27"/>
      <c r="R1559" s="27"/>
      <c r="S1559" s="27"/>
      <c r="T1559" s="27"/>
      <c r="U1559" s="27"/>
      <c r="V1559" s="27"/>
      <c r="W1559" s="27"/>
      <c r="X1559" s="27"/>
      <c r="Y1559" s="27"/>
      <c r="Z1559" s="27"/>
    </row>
    <row r="1560" customHeight="1" spans="1:26">
      <c r="A1560" s="26"/>
      <c r="B1560" s="26"/>
      <c r="C1560" s="26"/>
      <c r="D1560" s="26"/>
      <c r="E1560" s="26"/>
      <c r="F1560" s="26"/>
      <c r="G1560" s="26"/>
      <c r="H1560" s="26"/>
      <c r="I1560" s="26"/>
      <c r="J1560" s="26"/>
      <c r="K1560" s="26"/>
      <c r="L1560" s="26"/>
      <c r="M1560" s="26"/>
      <c r="N1560" s="26"/>
      <c r="O1560" s="26"/>
      <c r="P1560" s="26"/>
      <c r="Q1560" s="26"/>
      <c r="R1560" s="26"/>
      <c r="S1560" s="26"/>
      <c r="T1560" s="26"/>
      <c r="U1560" s="26"/>
      <c r="V1560" s="26"/>
      <c r="W1560" s="26"/>
      <c r="X1560" s="26"/>
      <c r="Y1560" s="26"/>
      <c r="Z1560" s="26"/>
    </row>
    <row r="1561" customHeight="1" spans="1:26">
      <c r="A1561" s="27"/>
      <c r="B1561" s="27"/>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row>
    <row r="1562" customHeight="1" spans="1:26">
      <c r="A1562" s="26"/>
      <c r="B1562" s="26"/>
      <c r="C1562" s="26"/>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c r="Z1562" s="26"/>
    </row>
    <row r="1563" customHeight="1" spans="1:26">
      <c r="A1563" s="27"/>
      <c r="B1563" s="27"/>
      <c r="C1563" s="27"/>
      <c r="D1563" s="27"/>
      <c r="E1563" s="27"/>
      <c r="F1563" s="27"/>
      <c r="G1563" s="27"/>
      <c r="H1563" s="27"/>
      <c r="I1563" s="27"/>
      <c r="J1563" s="27"/>
      <c r="K1563" s="27"/>
      <c r="L1563" s="27"/>
      <c r="M1563" s="27"/>
      <c r="N1563" s="27"/>
      <c r="O1563" s="27"/>
      <c r="P1563" s="27"/>
      <c r="Q1563" s="27"/>
      <c r="R1563" s="27"/>
      <c r="S1563" s="27"/>
      <c r="T1563" s="27"/>
      <c r="U1563" s="27"/>
      <c r="V1563" s="27"/>
      <c r="W1563" s="27"/>
      <c r="X1563" s="27"/>
      <c r="Y1563" s="27"/>
      <c r="Z1563" s="27"/>
    </row>
    <row r="1564" customHeight="1" spans="1:26">
      <c r="A1564" s="26"/>
      <c r="B1564" s="26"/>
      <c r="C1564" s="26"/>
      <c r="D1564" s="26"/>
      <c r="E1564" s="26"/>
      <c r="F1564" s="26"/>
      <c r="G1564" s="26"/>
      <c r="H1564" s="26"/>
      <c r="I1564" s="26"/>
      <c r="J1564" s="26"/>
      <c r="K1564" s="26"/>
      <c r="L1564" s="26"/>
      <c r="M1564" s="26"/>
      <c r="N1564" s="26"/>
      <c r="O1564" s="26"/>
      <c r="P1564" s="26"/>
      <c r="Q1564" s="26"/>
      <c r="R1564" s="26"/>
      <c r="S1564" s="26"/>
      <c r="T1564" s="26"/>
      <c r="U1564" s="26"/>
      <c r="V1564" s="26"/>
      <c r="W1564" s="26"/>
      <c r="X1564" s="26"/>
      <c r="Y1564" s="26"/>
      <c r="Z1564" s="26"/>
    </row>
    <row r="1565" customHeight="1" spans="1:26">
      <c r="A1565" s="27"/>
      <c r="B1565" s="27"/>
      <c r="C1565" s="27"/>
      <c r="D1565" s="27"/>
      <c r="E1565" s="27"/>
      <c r="F1565" s="27"/>
      <c r="G1565" s="27"/>
      <c r="H1565" s="27"/>
      <c r="I1565" s="27"/>
      <c r="J1565" s="27"/>
      <c r="K1565" s="27"/>
      <c r="L1565" s="27"/>
      <c r="M1565" s="27"/>
      <c r="N1565" s="27"/>
      <c r="O1565" s="27"/>
      <c r="P1565" s="27"/>
      <c r="Q1565" s="27"/>
      <c r="R1565" s="27"/>
      <c r="S1565" s="27"/>
      <c r="T1565" s="27"/>
      <c r="U1565" s="27"/>
      <c r="V1565" s="27"/>
      <c r="W1565" s="27"/>
      <c r="X1565" s="27"/>
      <c r="Y1565" s="27"/>
      <c r="Z1565" s="27"/>
    </row>
    <row r="1566" customHeight="1" spans="1:26">
      <c r="A1566" s="26"/>
      <c r="B1566" s="26"/>
      <c r="C1566" s="26"/>
      <c r="D1566" s="26"/>
      <c r="E1566" s="26"/>
      <c r="F1566" s="26"/>
      <c r="G1566" s="26"/>
      <c r="H1566" s="26"/>
      <c r="I1566" s="26"/>
      <c r="J1566" s="26"/>
      <c r="K1566" s="26"/>
      <c r="L1566" s="26"/>
      <c r="M1566" s="26"/>
      <c r="N1566" s="26"/>
      <c r="O1566" s="26"/>
      <c r="P1566" s="26"/>
      <c r="Q1566" s="26"/>
      <c r="R1566" s="26"/>
      <c r="S1566" s="26"/>
      <c r="T1566" s="26"/>
      <c r="U1566" s="26"/>
      <c r="V1566" s="26"/>
      <c r="W1566" s="26"/>
      <c r="X1566" s="26"/>
      <c r="Y1566" s="26"/>
      <c r="Z1566" s="26"/>
    </row>
    <row r="1567" customHeight="1" spans="1:26">
      <c r="A1567" s="27"/>
      <c r="B1567" s="27"/>
      <c r="C1567" s="27"/>
      <c r="D1567" s="27"/>
      <c r="E1567" s="27"/>
      <c r="F1567" s="27"/>
      <c r="G1567" s="27"/>
      <c r="H1567" s="27"/>
      <c r="I1567" s="27"/>
      <c r="J1567" s="27"/>
      <c r="K1567" s="27"/>
      <c r="L1567" s="27"/>
      <c r="M1567" s="27"/>
      <c r="N1567" s="27"/>
      <c r="O1567" s="27"/>
      <c r="P1567" s="27"/>
      <c r="Q1567" s="27"/>
      <c r="R1567" s="27"/>
      <c r="S1567" s="27"/>
      <c r="T1567" s="27"/>
      <c r="U1567" s="27"/>
      <c r="V1567" s="27"/>
      <c r="W1567" s="27"/>
      <c r="X1567" s="27"/>
      <c r="Y1567" s="27"/>
      <c r="Z1567" s="27"/>
    </row>
    <row r="1568" customHeight="1" spans="1:26">
      <c r="A1568" s="26"/>
      <c r="B1568" s="26"/>
      <c r="C1568" s="26"/>
      <c r="D1568" s="26"/>
      <c r="E1568" s="26"/>
      <c r="F1568" s="26"/>
      <c r="G1568" s="26"/>
      <c r="H1568" s="26"/>
      <c r="I1568" s="26"/>
      <c r="J1568" s="26"/>
      <c r="K1568" s="26"/>
      <c r="L1568" s="26"/>
      <c r="M1568" s="26"/>
      <c r="N1568" s="26"/>
      <c r="O1568" s="26"/>
      <c r="P1568" s="26"/>
      <c r="Q1568" s="26"/>
      <c r="R1568" s="26"/>
      <c r="S1568" s="26"/>
      <c r="T1568" s="26"/>
      <c r="U1568" s="26"/>
      <c r="V1568" s="26"/>
      <c r="W1568" s="26"/>
      <c r="X1568" s="26"/>
      <c r="Y1568" s="26"/>
      <c r="Z1568" s="26"/>
    </row>
    <row r="1569" customHeight="1" spans="1:26">
      <c r="A1569" s="27"/>
      <c r="B1569" s="27"/>
      <c r="C1569" s="27"/>
      <c r="D1569" s="27"/>
      <c r="E1569" s="27"/>
      <c r="F1569" s="27"/>
      <c r="G1569" s="27"/>
      <c r="H1569" s="27"/>
      <c r="I1569" s="27"/>
      <c r="J1569" s="27"/>
      <c r="K1569" s="27"/>
      <c r="L1569" s="27"/>
      <c r="M1569" s="27"/>
      <c r="N1569" s="27"/>
      <c r="O1569" s="27"/>
      <c r="P1569" s="27"/>
      <c r="Q1569" s="27"/>
      <c r="R1569" s="27"/>
      <c r="S1569" s="27"/>
      <c r="T1569" s="27"/>
      <c r="U1569" s="27"/>
      <c r="V1569" s="27"/>
      <c r="W1569" s="27"/>
      <c r="X1569" s="27"/>
      <c r="Y1569" s="27"/>
      <c r="Z1569" s="27"/>
    </row>
    <row r="1570" customHeight="1" spans="1:26">
      <c r="A1570" s="26"/>
      <c r="B1570" s="26"/>
      <c r="C1570" s="26"/>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c r="Z1570" s="26"/>
    </row>
    <row r="1571" customHeight="1" spans="1:26">
      <c r="A1571" s="27"/>
      <c r="B1571" s="27"/>
      <c r="C1571" s="27"/>
      <c r="D1571" s="27"/>
      <c r="E1571" s="27"/>
      <c r="F1571" s="27"/>
      <c r="G1571" s="27"/>
      <c r="H1571" s="27"/>
      <c r="I1571" s="27"/>
      <c r="J1571" s="27"/>
      <c r="K1571" s="27"/>
      <c r="L1571" s="27"/>
      <c r="M1571" s="27"/>
      <c r="N1571" s="27"/>
      <c r="O1571" s="27"/>
      <c r="P1571" s="27"/>
      <c r="Q1571" s="27"/>
      <c r="R1571" s="27"/>
      <c r="S1571" s="27"/>
      <c r="T1571" s="27"/>
      <c r="U1571" s="27"/>
      <c r="V1571" s="27"/>
      <c r="W1571" s="27"/>
      <c r="X1571" s="27"/>
      <c r="Y1571" s="27"/>
      <c r="Z1571" s="27"/>
    </row>
    <row r="1572" customHeight="1" spans="1:26">
      <c r="A1572" s="26"/>
      <c r="B1572" s="26"/>
      <c r="C1572" s="26"/>
      <c r="D1572" s="26"/>
      <c r="E1572" s="26"/>
      <c r="F1572" s="26"/>
      <c r="G1572" s="26"/>
      <c r="H1572" s="26"/>
      <c r="I1572" s="26"/>
      <c r="J1572" s="26"/>
      <c r="K1572" s="26"/>
      <c r="L1572" s="26"/>
      <c r="M1572" s="26"/>
      <c r="N1572" s="26"/>
      <c r="O1572" s="26"/>
      <c r="P1572" s="26"/>
      <c r="Q1572" s="26"/>
      <c r="R1572" s="26"/>
      <c r="S1572" s="26"/>
      <c r="T1572" s="26"/>
      <c r="U1572" s="26"/>
      <c r="V1572" s="26"/>
      <c r="W1572" s="26"/>
      <c r="X1572" s="26"/>
      <c r="Y1572" s="26"/>
      <c r="Z1572" s="26"/>
    </row>
    <row r="1573" customHeight="1" spans="1:26">
      <c r="A1573" s="27"/>
      <c r="B1573" s="27"/>
      <c r="C1573" s="27"/>
      <c r="D1573" s="27"/>
      <c r="E1573" s="27"/>
      <c r="F1573" s="27"/>
      <c r="G1573" s="27"/>
      <c r="H1573" s="27"/>
      <c r="I1573" s="27"/>
      <c r="J1573" s="27"/>
      <c r="K1573" s="27"/>
      <c r="L1573" s="27"/>
      <c r="M1573" s="27"/>
      <c r="N1573" s="27"/>
      <c r="O1573" s="27"/>
      <c r="P1573" s="27"/>
      <c r="Q1573" s="27"/>
      <c r="R1573" s="27"/>
      <c r="S1573" s="27"/>
      <c r="T1573" s="27"/>
      <c r="U1573" s="27"/>
      <c r="V1573" s="27"/>
      <c r="W1573" s="27"/>
      <c r="X1573" s="27"/>
      <c r="Y1573" s="27"/>
      <c r="Z1573" s="27"/>
    </row>
    <row r="1574" customHeight="1" spans="1:26">
      <c r="A1574" s="26"/>
      <c r="B1574" s="26"/>
      <c r="C1574" s="26"/>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c r="Z1574" s="26"/>
    </row>
    <row r="1575" customHeight="1" spans="1:26">
      <c r="A1575" s="27"/>
      <c r="B1575" s="27"/>
      <c r="C1575" s="27"/>
      <c r="D1575" s="27"/>
      <c r="E1575" s="27"/>
      <c r="F1575" s="27"/>
      <c r="G1575" s="27"/>
      <c r="H1575" s="27"/>
      <c r="I1575" s="27"/>
      <c r="J1575" s="27"/>
      <c r="K1575" s="27"/>
      <c r="L1575" s="27"/>
      <c r="M1575" s="27"/>
      <c r="N1575" s="27"/>
      <c r="O1575" s="27"/>
      <c r="P1575" s="27"/>
      <c r="Q1575" s="27"/>
      <c r="R1575" s="27"/>
      <c r="S1575" s="27"/>
      <c r="T1575" s="27"/>
      <c r="U1575" s="27"/>
      <c r="V1575" s="27"/>
      <c r="W1575" s="27"/>
      <c r="X1575" s="27"/>
      <c r="Y1575" s="27"/>
      <c r="Z1575" s="27"/>
    </row>
    <row r="1576" customHeight="1" spans="1:26">
      <c r="A1576" s="26"/>
      <c r="B1576" s="26"/>
      <c r="C1576" s="26"/>
      <c r="D1576" s="26"/>
      <c r="E1576" s="26"/>
      <c r="F1576" s="26"/>
      <c r="G1576" s="26"/>
      <c r="H1576" s="26"/>
      <c r="I1576" s="26"/>
      <c r="J1576" s="26"/>
      <c r="K1576" s="26"/>
      <c r="L1576" s="26"/>
      <c r="M1576" s="26"/>
      <c r="N1576" s="26"/>
      <c r="O1576" s="26"/>
      <c r="P1576" s="26"/>
      <c r="Q1576" s="26"/>
      <c r="R1576" s="26"/>
      <c r="S1576" s="26"/>
      <c r="T1576" s="26"/>
      <c r="U1576" s="26"/>
      <c r="V1576" s="26"/>
      <c r="W1576" s="26"/>
      <c r="X1576" s="26"/>
      <c r="Y1576" s="26"/>
      <c r="Z1576" s="26"/>
    </row>
    <row r="1577" customHeight="1" spans="1:26">
      <c r="A1577" s="27"/>
      <c r="B1577" s="27"/>
      <c r="C1577" s="27"/>
      <c r="D1577" s="27"/>
      <c r="E1577" s="27"/>
      <c r="F1577" s="27"/>
      <c r="G1577" s="27"/>
      <c r="H1577" s="27"/>
      <c r="I1577" s="27"/>
      <c r="J1577" s="27"/>
      <c r="K1577" s="27"/>
      <c r="L1577" s="27"/>
      <c r="M1577" s="27"/>
      <c r="N1577" s="27"/>
      <c r="O1577" s="27"/>
      <c r="P1577" s="27"/>
      <c r="Q1577" s="27"/>
      <c r="R1577" s="27"/>
      <c r="S1577" s="27"/>
      <c r="T1577" s="27"/>
      <c r="U1577" s="27"/>
      <c r="V1577" s="27"/>
      <c r="W1577" s="27"/>
      <c r="X1577" s="27"/>
      <c r="Y1577" s="27"/>
      <c r="Z1577" s="27"/>
    </row>
    <row r="1578" customHeight="1" spans="1:26">
      <c r="A1578" s="26"/>
      <c r="B1578" s="26"/>
      <c r="C1578" s="26"/>
      <c r="D1578" s="26"/>
      <c r="E1578" s="26"/>
      <c r="F1578" s="26"/>
      <c r="G1578" s="26"/>
      <c r="H1578" s="26"/>
      <c r="I1578" s="26"/>
      <c r="J1578" s="26"/>
      <c r="K1578" s="26"/>
      <c r="L1578" s="26"/>
      <c r="M1578" s="26"/>
      <c r="N1578" s="26"/>
      <c r="O1578" s="26"/>
      <c r="P1578" s="26"/>
      <c r="Q1578" s="26"/>
      <c r="R1578" s="26"/>
      <c r="S1578" s="26"/>
      <c r="T1578" s="26"/>
      <c r="U1578" s="26"/>
      <c r="V1578" s="26"/>
      <c r="W1578" s="26"/>
      <c r="X1578" s="26"/>
      <c r="Y1578" s="26"/>
      <c r="Z1578" s="26"/>
    </row>
    <row r="1579" customHeight="1" spans="1:26">
      <c r="A1579" s="27"/>
      <c r="B1579" s="27"/>
      <c r="C1579" s="27"/>
      <c r="D1579" s="27"/>
      <c r="E1579" s="27"/>
      <c r="F1579" s="27"/>
      <c r="G1579" s="27"/>
      <c r="H1579" s="27"/>
      <c r="I1579" s="27"/>
      <c r="J1579" s="27"/>
      <c r="K1579" s="27"/>
      <c r="L1579" s="27"/>
      <c r="M1579" s="27"/>
      <c r="N1579" s="27"/>
      <c r="O1579" s="27"/>
      <c r="P1579" s="27"/>
      <c r="Q1579" s="27"/>
      <c r="R1579" s="27"/>
      <c r="S1579" s="27"/>
      <c r="T1579" s="27"/>
      <c r="U1579" s="27"/>
      <c r="V1579" s="27"/>
      <c r="W1579" s="27"/>
      <c r="X1579" s="27"/>
      <c r="Y1579" s="27"/>
      <c r="Z1579" s="27"/>
    </row>
    <row r="1580" customHeight="1" spans="1:26">
      <c r="A1580" s="26"/>
      <c r="B1580" s="26"/>
      <c r="C1580" s="26"/>
      <c r="D1580" s="26"/>
      <c r="E1580" s="26"/>
      <c r="F1580" s="26"/>
      <c r="G1580" s="26"/>
      <c r="H1580" s="26"/>
      <c r="I1580" s="26"/>
      <c r="J1580" s="26"/>
      <c r="K1580" s="26"/>
      <c r="L1580" s="26"/>
      <c r="M1580" s="26"/>
      <c r="N1580" s="26"/>
      <c r="O1580" s="26"/>
      <c r="P1580" s="26"/>
      <c r="Q1580" s="26"/>
      <c r="R1580" s="26"/>
      <c r="S1580" s="26"/>
      <c r="T1580" s="26"/>
      <c r="U1580" s="26"/>
      <c r="V1580" s="26"/>
      <c r="W1580" s="26"/>
      <c r="X1580" s="26"/>
      <c r="Y1580" s="26"/>
      <c r="Z1580" s="26"/>
    </row>
    <row r="1581" customHeight="1" spans="1:26">
      <c r="A1581" s="27"/>
      <c r="B1581" s="27"/>
      <c r="C1581" s="27"/>
      <c r="D1581" s="27"/>
      <c r="E1581" s="27"/>
      <c r="F1581" s="27"/>
      <c r="G1581" s="27"/>
      <c r="H1581" s="27"/>
      <c r="I1581" s="27"/>
      <c r="J1581" s="27"/>
      <c r="K1581" s="27"/>
      <c r="L1581" s="27"/>
      <c r="M1581" s="27"/>
      <c r="N1581" s="27"/>
      <c r="O1581" s="27"/>
      <c r="P1581" s="27"/>
      <c r="Q1581" s="27"/>
      <c r="R1581" s="27"/>
      <c r="S1581" s="27"/>
      <c r="T1581" s="27"/>
      <c r="U1581" s="27"/>
      <c r="V1581" s="27"/>
      <c r="W1581" s="27"/>
      <c r="X1581" s="27"/>
      <c r="Y1581" s="27"/>
      <c r="Z1581" s="27"/>
    </row>
    <row r="1582" customHeight="1" spans="1:26">
      <c r="A1582" s="26"/>
      <c r="B1582" s="26"/>
      <c r="C1582" s="26"/>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c r="Z1582" s="26"/>
    </row>
    <row r="1583" customHeight="1" spans="1:26">
      <c r="A1583" s="27"/>
      <c r="B1583" s="27"/>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row>
    <row r="1584" customHeight="1" spans="1:26">
      <c r="A1584" s="26"/>
      <c r="B1584" s="26"/>
      <c r="C1584" s="26"/>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c r="Z1584" s="26"/>
    </row>
    <row r="1585" customHeight="1" spans="1:26">
      <c r="A1585" s="27"/>
      <c r="B1585" s="27"/>
      <c r="C1585" s="27"/>
      <c r="D1585" s="27"/>
      <c r="E1585" s="27"/>
      <c r="F1585" s="27"/>
      <c r="G1585" s="27"/>
      <c r="H1585" s="27"/>
      <c r="I1585" s="27"/>
      <c r="J1585" s="27"/>
      <c r="K1585" s="27"/>
      <c r="L1585" s="27"/>
      <c r="M1585" s="27"/>
      <c r="N1585" s="27"/>
      <c r="O1585" s="27"/>
      <c r="P1585" s="27"/>
      <c r="Q1585" s="27"/>
      <c r="R1585" s="27"/>
      <c r="S1585" s="27"/>
      <c r="T1585" s="27"/>
      <c r="U1585" s="27"/>
      <c r="V1585" s="27"/>
      <c r="W1585" s="27"/>
      <c r="X1585" s="27"/>
      <c r="Y1585" s="27"/>
      <c r="Z1585" s="27"/>
    </row>
    <row r="1586" customHeight="1" spans="1:26">
      <c r="A1586" s="26"/>
      <c r="B1586" s="26"/>
      <c r="C1586" s="26"/>
      <c r="D1586" s="26"/>
      <c r="E1586" s="26"/>
      <c r="F1586" s="26"/>
      <c r="G1586" s="26"/>
      <c r="H1586" s="26"/>
      <c r="I1586" s="26"/>
      <c r="J1586" s="26"/>
      <c r="K1586" s="26"/>
      <c r="L1586" s="26"/>
      <c r="M1586" s="26"/>
      <c r="N1586" s="26"/>
      <c r="O1586" s="26"/>
      <c r="P1586" s="26"/>
      <c r="Q1586" s="26"/>
      <c r="R1586" s="26"/>
      <c r="S1586" s="26"/>
      <c r="T1586" s="26"/>
      <c r="U1586" s="26"/>
      <c r="V1586" s="26"/>
      <c r="W1586" s="26"/>
      <c r="X1586" s="26"/>
      <c r="Y1586" s="26"/>
      <c r="Z1586" s="26"/>
    </row>
    <row r="1587" customHeight="1" spans="1:26">
      <c r="A1587" s="27"/>
      <c r="B1587" s="27"/>
      <c r="C1587" s="27"/>
      <c r="D1587" s="27"/>
      <c r="E1587" s="27"/>
      <c r="F1587" s="27"/>
      <c r="G1587" s="27"/>
      <c r="H1587" s="27"/>
      <c r="I1587" s="27"/>
      <c r="J1587" s="27"/>
      <c r="K1587" s="27"/>
      <c r="L1587" s="27"/>
      <c r="M1587" s="27"/>
      <c r="N1587" s="27"/>
      <c r="O1587" s="27"/>
      <c r="P1587" s="27"/>
      <c r="Q1587" s="27"/>
      <c r="R1587" s="27"/>
      <c r="S1587" s="27"/>
      <c r="T1587" s="27"/>
      <c r="U1587" s="27"/>
      <c r="V1587" s="27"/>
      <c r="W1587" s="27"/>
      <c r="X1587" s="27"/>
      <c r="Y1587" s="27"/>
      <c r="Z1587" s="27"/>
    </row>
    <row r="1588" customHeight="1" spans="1:26">
      <c r="A1588" s="26"/>
      <c r="B1588" s="26"/>
      <c r="C1588" s="26"/>
      <c r="D1588" s="26"/>
      <c r="E1588" s="26"/>
      <c r="F1588" s="26"/>
      <c r="G1588" s="26"/>
      <c r="H1588" s="26"/>
      <c r="I1588" s="26"/>
      <c r="J1588" s="26"/>
      <c r="K1588" s="26"/>
      <c r="L1588" s="26"/>
      <c r="M1588" s="26"/>
      <c r="N1588" s="26"/>
      <c r="O1588" s="26"/>
      <c r="P1588" s="26"/>
      <c r="Q1588" s="26"/>
      <c r="R1588" s="26"/>
      <c r="S1588" s="26"/>
      <c r="T1588" s="26"/>
      <c r="U1588" s="26"/>
      <c r="V1588" s="26"/>
      <c r="W1588" s="26"/>
      <c r="X1588" s="26"/>
      <c r="Y1588" s="26"/>
      <c r="Z1588" s="26"/>
    </row>
    <row r="1589" customHeight="1" spans="1:26">
      <c r="A1589" s="27"/>
      <c r="B1589" s="27"/>
      <c r="C1589" s="27"/>
      <c r="D1589" s="27"/>
      <c r="E1589" s="27"/>
      <c r="F1589" s="27"/>
      <c r="G1589" s="27"/>
      <c r="H1589" s="27"/>
      <c r="I1589" s="27"/>
      <c r="J1589" s="27"/>
      <c r="K1589" s="27"/>
      <c r="L1589" s="27"/>
      <c r="M1589" s="27"/>
      <c r="N1589" s="27"/>
      <c r="O1589" s="27"/>
      <c r="P1589" s="27"/>
      <c r="Q1589" s="27"/>
      <c r="R1589" s="27"/>
      <c r="S1589" s="27"/>
      <c r="T1589" s="27"/>
      <c r="U1589" s="27"/>
      <c r="V1589" s="27"/>
      <c r="W1589" s="27"/>
      <c r="X1589" s="27"/>
      <c r="Y1589" s="27"/>
      <c r="Z1589" s="27"/>
    </row>
    <row r="1590" customHeight="1" spans="1:26">
      <c r="A1590" s="26"/>
      <c r="B1590" s="26"/>
      <c r="C1590" s="26"/>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c r="Z1590" s="26"/>
    </row>
    <row r="1591" customHeight="1" spans="1:26">
      <c r="A1591" s="27"/>
      <c r="B1591" s="27"/>
      <c r="C1591" s="27"/>
      <c r="D1591" s="27"/>
      <c r="E1591" s="27"/>
      <c r="F1591" s="27"/>
      <c r="G1591" s="27"/>
      <c r="H1591" s="27"/>
      <c r="I1591" s="27"/>
      <c r="J1591" s="27"/>
      <c r="K1591" s="27"/>
      <c r="L1591" s="27"/>
      <c r="M1591" s="27"/>
      <c r="N1591" s="27"/>
      <c r="O1591" s="27"/>
      <c r="P1591" s="27"/>
      <c r="Q1591" s="27"/>
      <c r="R1591" s="27"/>
      <c r="S1591" s="27"/>
      <c r="T1591" s="27"/>
      <c r="U1591" s="27"/>
      <c r="V1591" s="27"/>
      <c r="W1591" s="27"/>
      <c r="X1591" s="27"/>
      <c r="Y1591" s="27"/>
      <c r="Z1591" s="27"/>
    </row>
    <row r="1592" customHeight="1" spans="1:26">
      <c r="A1592" s="26"/>
      <c r="B1592" s="26"/>
      <c r="C1592" s="26"/>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c r="Z1592" s="26"/>
    </row>
    <row r="1593" customHeight="1" spans="1:26">
      <c r="A1593" s="27"/>
      <c r="B1593" s="27"/>
      <c r="C1593" s="27"/>
      <c r="D1593" s="27"/>
      <c r="E1593" s="27"/>
      <c r="F1593" s="27"/>
      <c r="G1593" s="27"/>
      <c r="H1593" s="27"/>
      <c r="I1593" s="27"/>
      <c r="J1593" s="27"/>
      <c r="K1593" s="27"/>
      <c r="L1593" s="27"/>
      <c r="M1593" s="27"/>
      <c r="N1593" s="27"/>
      <c r="O1593" s="27"/>
      <c r="P1593" s="27"/>
      <c r="Q1593" s="27"/>
      <c r="R1593" s="27"/>
      <c r="S1593" s="27"/>
      <c r="T1593" s="27"/>
      <c r="U1593" s="27"/>
      <c r="V1593" s="27"/>
      <c r="W1593" s="27"/>
      <c r="X1593" s="27"/>
      <c r="Y1593" s="27"/>
      <c r="Z1593" s="27"/>
    </row>
    <row r="1594" customHeight="1" spans="1:26">
      <c r="A1594" s="26"/>
      <c r="B1594" s="26"/>
      <c r="C1594" s="26"/>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c r="Z1594" s="26"/>
    </row>
    <row r="1595" customHeight="1" spans="1:26">
      <c r="A1595" s="27"/>
      <c r="B1595" s="27"/>
      <c r="C1595" s="27"/>
      <c r="D1595" s="27"/>
      <c r="E1595" s="27"/>
      <c r="F1595" s="27"/>
      <c r="G1595" s="27"/>
      <c r="H1595" s="27"/>
      <c r="I1595" s="27"/>
      <c r="J1595" s="27"/>
      <c r="K1595" s="27"/>
      <c r="L1595" s="27"/>
      <c r="M1595" s="27"/>
      <c r="N1595" s="27"/>
      <c r="O1595" s="27"/>
      <c r="P1595" s="27"/>
      <c r="Q1595" s="27"/>
      <c r="R1595" s="27"/>
      <c r="S1595" s="27"/>
      <c r="T1595" s="27"/>
      <c r="U1595" s="27"/>
      <c r="V1595" s="27"/>
      <c r="W1595" s="27"/>
      <c r="X1595" s="27"/>
      <c r="Y1595" s="27"/>
      <c r="Z1595" s="27"/>
    </row>
    <row r="1596" customHeight="1" spans="1:26">
      <c r="A1596" s="26"/>
      <c r="B1596" s="26"/>
      <c r="C1596" s="26"/>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c r="Z1596" s="26"/>
    </row>
    <row r="1597" customHeight="1" spans="1:26">
      <c r="A1597" s="27"/>
      <c r="B1597" s="27"/>
      <c r="C1597" s="27"/>
      <c r="D1597" s="27"/>
      <c r="E1597" s="27"/>
      <c r="F1597" s="27"/>
      <c r="G1597" s="27"/>
      <c r="H1597" s="27"/>
      <c r="I1597" s="27"/>
      <c r="J1597" s="27"/>
      <c r="K1597" s="27"/>
      <c r="L1597" s="27"/>
      <c r="M1597" s="27"/>
      <c r="N1597" s="27"/>
      <c r="O1597" s="27"/>
      <c r="P1597" s="27"/>
      <c r="Q1597" s="27"/>
      <c r="R1597" s="27"/>
      <c r="S1597" s="27"/>
      <c r="T1597" s="27"/>
      <c r="U1597" s="27"/>
      <c r="V1597" s="27"/>
      <c r="W1597" s="27"/>
      <c r="X1597" s="27"/>
      <c r="Y1597" s="27"/>
      <c r="Z1597" s="27"/>
    </row>
    <row r="1598" customHeight="1" spans="1:26">
      <c r="A1598" s="26"/>
      <c r="B1598" s="26"/>
      <c r="C1598" s="26"/>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c r="Z1598" s="26"/>
    </row>
    <row r="1599" customHeight="1" spans="1:26">
      <c r="A1599" s="27"/>
      <c r="B1599" s="27"/>
      <c r="C1599" s="27"/>
      <c r="D1599" s="27"/>
      <c r="E1599" s="27"/>
      <c r="F1599" s="27"/>
      <c r="G1599" s="27"/>
      <c r="H1599" s="27"/>
      <c r="I1599" s="27"/>
      <c r="J1599" s="27"/>
      <c r="K1599" s="27"/>
      <c r="L1599" s="27"/>
      <c r="M1599" s="27"/>
      <c r="N1599" s="27"/>
      <c r="O1599" s="27"/>
      <c r="P1599" s="27"/>
      <c r="Q1599" s="27"/>
      <c r="R1599" s="27"/>
      <c r="S1599" s="27"/>
      <c r="T1599" s="27"/>
      <c r="U1599" s="27"/>
      <c r="V1599" s="27"/>
      <c r="W1599" s="27"/>
      <c r="X1599" s="27"/>
      <c r="Y1599" s="27"/>
      <c r="Z1599" s="27"/>
    </row>
    <row r="1600" customHeight="1" spans="1:26">
      <c r="A1600" s="26"/>
      <c r="B1600" s="26"/>
      <c r="C1600" s="26"/>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c r="Z1600" s="26"/>
    </row>
    <row r="1601" customHeight="1" spans="1:26">
      <c r="A1601" s="27"/>
      <c r="B1601" s="27"/>
      <c r="C1601" s="27"/>
      <c r="D1601" s="27"/>
      <c r="E1601" s="27"/>
      <c r="F1601" s="27"/>
      <c r="G1601" s="27"/>
      <c r="H1601" s="27"/>
      <c r="I1601" s="27"/>
      <c r="J1601" s="27"/>
      <c r="K1601" s="27"/>
      <c r="L1601" s="27"/>
      <c r="M1601" s="27"/>
      <c r="N1601" s="27"/>
      <c r="O1601" s="27"/>
      <c r="P1601" s="27"/>
      <c r="Q1601" s="27"/>
      <c r="R1601" s="27"/>
      <c r="S1601" s="27"/>
      <c r="T1601" s="27"/>
      <c r="U1601" s="27"/>
      <c r="V1601" s="27"/>
      <c r="W1601" s="27"/>
      <c r="X1601" s="27"/>
      <c r="Y1601" s="27"/>
      <c r="Z1601" s="27"/>
    </row>
    <row r="1602" customHeight="1" spans="1:26">
      <c r="A1602" s="26"/>
      <c r="B1602" s="26"/>
      <c r="C1602" s="26"/>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c r="Z1602" s="26"/>
    </row>
    <row r="1603" customHeight="1" spans="1:26">
      <c r="A1603" s="27"/>
      <c r="B1603" s="27"/>
      <c r="C1603" s="27"/>
      <c r="D1603" s="27"/>
      <c r="E1603" s="27"/>
      <c r="F1603" s="27"/>
      <c r="G1603" s="27"/>
      <c r="H1603" s="27"/>
      <c r="I1603" s="27"/>
      <c r="J1603" s="27"/>
      <c r="K1603" s="27"/>
      <c r="L1603" s="27"/>
      <c r="M1603" s="27"/>
      <c r="N1603" s="27"/>
      <c r="O1603" s="27"/>
      <c r="P1603" s="27"/>
      <c r="Q1603" s="27"/>
      <c r="R1603" s="27"/>
      <c r="S1603" s="27"/>
      <c r="T1603" s="27"/>
      <c r="U1603" s="27"/>
      <c r="V1603" s="27"/>
      <c r="W1603" s="27"/>
      <c r="X1603" s="27"/>
      <c r="Y1603" s="27"/>
      <c r="Z1603" s="27"/>
    </row>
    <row r="1604" customHeight="1" spans="1:26">
      <c r="A1604" s="26"/>
      <c r="B1604" s="26"/>
      <c r="C1604" s="26"/>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c r="Z1604" s="26"/>
    </row>
    <row r="1605" customHeight="1" spans="1:26">
      <c r="A1605" s="27"/>
      <c r="B1605" s="27"/>
      <c r="C1605" s="27"/>
      <c r="D1605" s="27"/>
      <c r="E1605" s="27"/>
      <c r="F1605" s="27"/>
      <c r="G1605" s="27"/>
      <c r="H1605" s="27"/>
      <c r="I1605" s="27"/>
      <c r="J1605" s="27"/>
      <c r="K1605" s="27"/>
      <c r="L1605" s="27"/>
      <c r="M1605" s="27"/>
      <c r="N1605" s="27"/>
      <c r="O1605" s="27"/>
      <c r="P1605" s="27"/>
      <c r="Q1605" s="27"/>
      <c r="R1605" s="27"/>
      <c r="S1605" s="27"/>
      <c r="T1605" s="27"/>
      <c r="U1605" s="27"/>
      <c r="V1605" s="27"/>
      <c r="W1605" s="27"/>
      <c r="X1605" s="27"/>
      <c r="Y1605" s="27"/>
      <c r="Z1605" s="27"/>
    </row>
    <row r="1606" customHeight="1" spans="1:26">
      <c r="A1606" s="26"/>
      <c r="B1606" s="26"/>
      <c r="C1606" s="26"/>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c r="Z1606" s="26"/>
    </row>
    <row r="1607" customHeight="1" spans="1:26">
      <c r="A1607" s="27"/>
      <c r="B1607" s="27"/>
      <c r="C1607" s="27"/>
      <c r="D1607" s="27"/>
      <c r="E1607" s="27"/>
      <c r="F1607" s="27"/>
      <c r="G1607" s="27"/>
      <c r="H1607" s="27"/>
      <c r="I1607" s="27"/>
      <c r="J1607" s="27"/>
      <c r="K1607" s="27"/>
      <c r="L1607" s="27"/>
      <c r="M1607" s="27"/>
      <c r="N1607" s="27"/>
      <c r="O1607" s="27"/>
      <c r="P1607" s="27"/>
      <c r="Q1607" s="27"/>
      <c r="R1607" s="27"/>
      <c r="S1607" s="27"/>
      <c r="T1607" s="27"/>
      <c r="U1607" s="27"/>
      <c r="V1607" s="27"/>
      <c r="W1607" s="27"/>
      <c r="X1607" s="27"/>
      <c r="Y1607" s="27"/>
      <c r="Z1607" s="27"/>
    </row>
    <row r="1608" customHeight="1" spans="1:26">
      <c r="A1608" s="26"/>
      <c r="B1608" s="26"/>
      <c r="C1608" s="26"/>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c r="Z1608" s="26"/>
    </row>
    <row r="1609" customHeight="1" spans="1:26">
      <c r="A1609" s="27"/>
      <c r="B1609" s="27"/>
      <c r="C1609" s="27"/>
      <c r="D1609" s="27"/>
      <c r="E1609" s="27"/>
      <c r="F1609" s="27"/>
      <c r="G1609" s="27"/>
      <c r="H1609" s="27"/>
      <c r="I1609" s="27"/>
      <c r="J1609" s="27"/>
      <c r="K1609" s="27"/>
      <c r="L1609" s="27"/>
      <c r="M1609" s="27"/>
      <c r="N1609" s="27"/>
      <c r="O1609" s="27"/>
      <c r="P1609" s="27"/>
      <c r="Q1609" s="27"/>
      <c r="R1609" s="27"/>
      <c r="S1609" s="27"/>
      <c r="T1609" s="27"/>
      <c r="U1609" s="27"/>
      <c r="V1609" s="27"/>
      <c r="W1609" s="27"/>
      <c r="X1609" s="27"/>
      <c r="Y1609" s="27"/>
      <c r="Z1609" s="27"/>
    </row>
    <row r="1610" customHeight="1" spans="1:26">
      <c r="A1610" s="26"/>
      <c r="B1610" s="26"/>
      <c r="C1610" s="26"/>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c r="Z1610" s="26"/>
    </row>
    <row r="1611" customHeight="1" spans="1:26">
      <c r="A1611" s="27"/>
      <c r="B1611" s="27"/>
      <c r="C1611" s="27"/>
      <c r="D1611" s="27"/>
      <c r="E1611" s="27"/>
      <c r="F1611" s="27"/>
      <c r="G1611" s="27"/>
      <c r="H1611" s="27"/>
      <c r="I1611" s="27"/>
      <c r="J1611" s="27"/>
      <c r="K1611" s="27"/>
      <c r="L1611" s="27"/>
      <c r="M1611" s="27"/>
      <c r="N1611" s="27"/>
      <c r="O1611" s="27"/>
      <c r="P1611" s="27"/>
      <c r="Q1611" s="27"/>
      <c r="R1611" s="27"/>
      <c r="S1611" s="27"/>
      <c r="T1611" s="27"/>
      <c r="U1611" s="27"/>
      <c r="V1611" s="27"/>
      <c r="W1611" s="27"/>
      <c r="X1611" s="27"/>
      <c r="Y1611" s="27"/>
      <c r="Z1611" s="27"/>
    </row>
    <row r="1612" customHeight="1" spans="1:26">
      <c r="A1612" s="26"/>
      <c r="B1612" s="26"/>
      <c r="C1612" s="26"/>
      <c r="D1612" s="26"/>
      <c r="E1612" s="26"/>
      <c r="F1612" s="26"/>
      <c r="G1612" s="26"/>
      <c r="H1612" s="26"/>
      <c r="I1612" s="26"/>
      <c r="J1612" s="26"/>
      <c r="K1612" s="26"/>
      <c r="L1612" s="26"/>
      <c r="M1612" s="26"/>
      <c r="N1612" s="26"/>
      <c r="O1612" s="26"/>
      <c r="P1612" s="26"/>
      <c r="Q1612" s="26"/>
      <c r="R1612" s="26"/>
      <c r="S1612" s="26"/>
      <c r="T1612" s="26"/>
      <c r="U1612" s="26"/>
      <c r="V1612" s="26"/>
      <c r="W1612" s="26"/>
      <c r="X1612" s="26"/>
      <c r="Y1612" s="26"/>
      <c r="Z1612" s="26"/>
    </row>
    <row r="1613" customHeight="1" spans="1:26">
      <c r="A1613" s="27"/>
      <c r="B1613" s="27"/>
      <c r="C1613" s="27"/>
      <c r="D1613" s="27"/>
      <c r="E1613" s="27"/>
      <c r="F1613" s="27"/>
      <c r="G1613" s="27"/>
      <c r="H1613" s="27"/>
      <c r="I1613" s="27"/>
      <c r="J1613" s="27"/>
      <c r="K1613" s="27"/>
      <c r="L1613" s="27"/>
      <c r="M1613" s="27"/>
      <c r="N1613" s="27"/>
      <c r="O1613" s="27"/>
      <c r="P1613" s="27"/>
      <c r="Q1613" s="27"/>
      <c r="R1613" s="27"/>
      <c r="S1613" s="27"/>
      <c r="T1613" s="27"/>
      <c r="U1613" s="27"/>
      <c r="V1613" s="27"/>
      <c r="W1613" s="27"/>
      <c r="X1613" s="27"/>
      <c r="Y1613" s="27"/>
      <c r="Z1613" s="27"/>
    </row>
    <row r="1614" customHeight="1" spans="1:26">
      <c r="A1614" s="26"/>
      <c r="B1614" s="26"/>
      <c r="C1614" s="26"/>
      <c r="D1614" s="26"/>
      <c r="E1614" s="26"/>
      <c r="F1614" s="26"/>
      <c r="G1614" s="26"/>
      <c r="H1614" s="26"/>
      <c r="I1614" s="26"/>
      <c r="J1614" s="26"/>
      <c r="K1614" s="26"/>
      <c r="L1614" s="26"/>
      <c r="M1614" s="26"/>
      <c r="N1614" s="26"/>
      <c r="O1614" s="26"/>
      <c r="P1614" s="26"/>
      <c r="Q1614" s="26"/>
      <c r="R1614" s="26"/>
      <c r="S1614" s="26"/>
      <c r="T1614" s="26"/>
      <c r="U1614" s="26"/>
      <c r="V1614" s="26"/>
      <c r="W1614" s="26"/>
      <c r="X1614" s="26"/>
      <c r="Y1614" s="26"/>
      <c r="Z1614" s="26"/>
    </row>
    <row r="1615" customHeight="1" spans="1:26">
      <c r="A1615" s="27"/>
      <c r="B1615" s="27"/>
      <c r="C1615" s="27"/>
      <c r="D1615" s="27"/>
      <c r="E1615" s="27"/>
      <c r="F1615" s="27"/>
      <c r="G1615" s="27"/>
      <c r="H1615" s="27"/>
      <c r="I1615" s="27"/>
      <c r="J1615" s="27"/>
      <c r="K1615" s="27"/>
      <c r="L1615" s="27"/>
      <c r="M1615" s="27"/>
      <c r="N1615" s="27"/>
      <c r="O1615" s="27"/>
      <c r="P1615" s="27"/>
      <c r="Q1615" s="27"/>
      <c r="R1615" s="27"/>
      <c r="S1615" s="27"/>
      <c r="T1615" s="27"/>
      <c r="U1615" s="27"/>
      <c r="V1615" s="27"/>
      <c r="W1615" s="27"/>
      <c r="X1615" s="27"/>
      <c r="Y1615" s="27"/>
      <c r="Z1615" s="27"/>
    </row>
    <row r="1616" customHeight="1" spans="1:26">
      <c r="A1616" s="26"/>
      <c r="B1616" s="26"/>
      <c r="C1616" s="26"/>
      <c r="D1616" s="26"/>
      <c r="E1616" s="26"/>
      <c r="F1616" s="26"/>
      <c r="G1616" s="26"/>
      <c r="H1616" s="26"/>
      <c r="I1616" s="26"/>
      <c r="J1616" s="26"/>
      <c r="K1616" s="26"/>
      <c r="L1616" s="26"/>
      <c r="M1616" s="26"/>
      <c r="N1616" s="26"/>
      <c r="O1616" s="26"/>
      <c r="P1616" s="26"/>
      <c r="Q1616" s="26"/>
      <c r="R1616" s="26"/>
      <c r="S1616" s="26"/>
      <c r="T1616" s="26"/>
      <c r="U1616" s="26"/>
      <c r="V1616" s="26"/>
      <c r="W1616" s="26"/>
      <c r="X1616" s="26"/>
      <c r="Y1616" s="26"/>
      <c r="Z1616" s="26"/>
    </row>
    <row r="1617" customHeight="1" spans="1:26">
      <c r="A1617" s="27"/>
      <c r="B1617" s="2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row>
    <row r="1618" customHeight="1" spans="1:26">
      <c r="A1618" s="26"/>
      <c r="B1618" s="26"/>
      <c r="C1618" s="26"/>
      <c r="D1618" s="26"/>
      <c r="E1618" s="26"/>
      <c r="F1618" s="26"/>
      <c r="G1618" s="26"/>
      <c r="H1618" s="26"/>
      <c r="I1618" s="26"/>
      <c r="J1618" s="26"/>
      <c r="K1618" s="26"/>
      <c r="L1618" s="26"/>
      <c r="M1618" s="26"/>
      <c r="N1618" s="26"/>
      <c r="O1618" s="26"/>
      <c r="P1618" s="26"/>
      <c r="Q1618" s="26"/>
      <c r="R1618" s="26"/>
      <c r="S1618" s="26"/>
      <c r="T1618" s="26"/>
      <c r="U1618" s="26"/>
      <c r="V1618" s="26"/>
      <c r="W1618" s="26"/>
      <c r="X1618" s="26"/>
      <c r="Y1618" s="26"/>
      <c r="Z1618" s="26"/>
    </row>
    <row r="1619" customHeight="1" spans="1:26">
      <c r="A1619" s="27"/>
      <c r="B1619" s="27"/>
      <c r="C1619" s="27"/>
      <c r="D1619" s="27"/>
      <c r="E1619" s="27"/>
      <c r="F1619" s="27"/>
      <c r="G1619" s="27"/>
      <c r="H1619" s="27"/>
      <c r="I1619" s="27"/>
      <c r="J1619" s="27"/>
      <c r="K1619" s="27"/>
      <c r="L1619" s="27"/>
      <c r="M1619" s="27"/>
      <c r="N1619" s="27"/>
      <c r="O1619" s="27"/>
      <c r="P1619" s="27"/>
      <c r="Q1619" s="27"/>
      <c r="R1619" s="27"/>
      <c r="S1619" s="27"/>
      <c r="T1619" s="27"/>
      <c r="U1619" s="27"/>
      <c r="V1619" s="27"/>
      <c r="W1619" s="27"/>
      <c r="X1619" s="27"/>
      <c r="Y1619" s="27"/>
      <c r="Z1619" s="27"/>
    </row>
    <row r="1620" customHeight="1" spans="1:26">
      <c r="A1620" s="26"/>
      <c r="B1620" s="26"/>
      <c r="C1620" s="26"/>
      <c r="D1620" s="26"/>
      <c r="E1620" s="26"/>
      <c r="F1620" s="26"/>
      <c r="G1620" s="26"/>
      <c r="H1620" s="26"/>
      <c r="I1620" s="26"/>
      <c r="J1620" s="26"/>
      <c r="K1620" s="26"/>
      <c r="L1620" s="26"/>
      <c r="M1620" s="26"/>
      <c r="N1620" s="26"/>
      <c r="O1620" s="26"/>
      <c r="P1620" s="26"/>
      <c r="Q1620" s="26"/>
      <c r="R1620" s="26"/>
      <c r="S1620" s="26"/>
      <c r="T1620" s="26"/>
      <c r="U1620" s="26"/>
      <c r="V1620" s="26"/>
      <c r="W1620" s="26"/>
      <c r="X1620" s="26"/>
      <c r="Y1620" s="26"/>
      <c r="Z1620" s="26"/>
    </row>
    <row r="1621" customHeight="1" spans="1:26">
      <c r="A1621" s="27"/>
      <c r="B1621" s="27"/>
      <c r="C1621" s="27"/>
      <c r="D1621" s="27"/>
      <c r="E1621" s="27"/>
      <c r="F1621" s="27"/>
      <c r="G1621" s="27"/>
      <c r="H1621" s="27"/>
      <c r="I1621" s="27"/>
      <c r="J1621" s="27"/>
      <c r="K1621" s="27"/>
      <c r="L1621" s="27"/>
      <c r="M1621" s="27"/>
      <c r="N1621" s="27"/>
      <c r="O1621" s="27"/>
      <c r="P1621" s="27"/>
      <c r="Q1621" s="27"/>
      <c r="R1621" s="27"/>
      <c r="S1621" s="27"/>
      <c r="T1621" s="27"/>
      <c r="U1621" s="27"/>
      <c r="V1621" s="27"/>
      <c r="W1621" s="27"/>
      <c r="X1621" s="27"/>
      <c r="Y1621" s="27"/>
      <c r="Z1621" s="27"/>
    </row>
    <row r="1622" customHeight="1" spans="1:26">
      <c r="A1622" s="26"/>
      <c r="B1622" s="26"/>
      <c r="C1622" s="26"/>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c r="Z1622" s="26"/>
    </row>
    <row r="1623" customHeight="1" spans="1:26">
      <c r="A1623" s="27"/>
      <c r="B1623" s="27"/>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row>
    <row r="1624" customHeight="1" spans="1:26">
      <c r="A1624" s="26"/>
      <c r="B1624" s="26"/>
      <c r="C1624" s="26"/>
      <c r="D1624" s="26"/>
      <c r="E1624" s="26"/>
      <c r="F1624" s="26"/>
      <c r="G1624" s="26"/>
      <c r="H1624" s="26"/>
      <c r="I1624" s="26"/>
      <c r="J1624" s="26"/>
      <c r="K1624" s="26"/>
      <c r="L1624" s="26"/>
      <c r="M1624" s="26"/>
      <c r="N1624" s="26"/>
      <c r="O1624" s="26"/>
      <c r="P1624" s="26"/>
      <c r="Q1624" s="26"/>
      <c r="R1624" s="26"/>
      <c r="S1624" s="26"/>
      <c r="T1624" s="26"/>
      <c r="U1624" s="26"/>
      <c r="V1624" s="26"/>
      <c r="W1624" s="26"/>
      <c r="X1624" s="26"/>
      <c r="Y1624" s="26"/>
      <c r="Z1624" s="26"/>
    </row>
    <row r="1625" customHeight="1" spans="1:26">
      <c r="A1625" s="27"/>
      <c r="B1625" s="27"/>
      <c r="C1625" s="27"/>
      <c r="D1625" s="27"/>
      <c r="E1625" s="27"/>
      <c r="F1625" s="27"/>
      <c r="G1625" s="27"/>
      <c r="H1625" s="27"/>
      <c r="I1625" s="27"/>
      <c r="J1625" s="27"/>
      <c r="K1625" s="27"/>
      <c r="L1625" s="27"/>
      <c r="M1625" s="27"/>
      <c r="N1625" s="27"/>
      <c r="O1625" s="27"/>
      <c r="P1625" s="27"/>
      <c r="Q1625" s="27"/>
      <c r="R1625" s="27"/>
      <c r="S1625" s="27"/>
      <c r="T1625" s="27"/>
      <c r="U1625" s="27"/>
      <c r="V1625" s="27"/>
      <c r="W1625" s="27"/>
      <c r="X1625" s="27"/>
      <c r="Y1625" s="27"/>
      <c r="Z1625" s="27"/>
    </row>
    <row r="1626" customHeight="1" spans="1:26">
      <c r="A1626" s="26"/>
      <c r="B1626" s="26"/>
      <c r="C1626" s="26"/>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c r="Z1626" s="26"/>
    </row>
    <row r="1627" customHeight="1" spans="1:26">
      <c r="A1627" s="27"/>
      <c r="B1627" s="27"/>
      <c r="C1627" s="27"/>
      <c r="D1627" s="27"/>
      <c r="E1627" s="27"/>
      <c r="F1627" s="27"/>
      <c r="G1627" s="27"/>
      <c r="H1627" s="27"/>
      <c r="I1627" s="27"/>
      <c r="J1627" s="27"/>
      <c r="K1627" s="27"/>
      <c r="L1627" s="27"/>
      <c r="M1627" s="27"/>
      <c r="N1627" s="27"/>
      <c r="O1627" s="27"/>
      <c r="P1627" s="27"/>
      <c r="Q1627" s="27"/>
      <c r="R1627" s="27"/>
      <c r="S1627" s="27"/>
      <c r="T1627" s="27"/>
      <c r="U1627" s="27"/>
      <c r="V1627" s="27"/>
      <c r="W1627" s="27"/>
      <c r="X1627" s="27"/>
      <c r="Y1627" s="27"/>
      <c r="Z1627" s="27"/>
    </row>
    <row r="1628" customHeight="1" spans="1:26">
      <c r="A1628" s="26"/>
      <c r="B1628" s="26"/>
      <c r="C1628" s="26"/>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c r="Z1628" s="26"/>
    </row>
    <row r="1629" customHeight="1" spans="1:26">
      <c r="A1629" s="27"/>
      <c r="B1629" s="27"/>
      <c r="C1629" s="27"/>
      <c r="D1629" s="27"/>
      <c r="E1629" s="27"/>
      <c r="F1629" s="27"/>
      <c r="G1629" s="27"/>
      <c r="H1629" s="27"/>
      <c r="I1629" s="27"/>
      <c r="J1629" s="27"/>
      <c r="K1629" s="27"/>
      <c r="L1629" s="27"/>
      <c r="M1629" s="27"/>
      <c r="N1629" s="27"/>
      <c r="O1629" s="27"/>
      <c r="P1629" s="27"/>
      <c r="Q1629" s="27"/>
      <c r="R1629" s="27"/>
      <c r="S1629" s="27"/>
      <c r="T1629" s="27"/>
      <c r="U1629" s="27"/>
      <c r="V1629" s="27"/>
      <c r="W1629" s="27"/>
      <c r="X1629" s="27"/>
      <c r="Y1629" s="27"/>
      <c r="Z1629" s="27"/>
    </row>
    <row r="1630" customHeight="1" spans="1:26">
      <c r="A1630" s="26"/>
      <c r="B1630" s="26"/>
      <c r="C1630" s="26"/>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c r="Z1630" s="26"/>
    </row>
    <row r="1631" customHeight="1" spans="1:26">
      <c r="A1631" s="27"/>
      <c r="B1631" s="27"/>
      <c r="C1631" s="27"/>
      <c r="D1631" s="27"/>
      <c r="E1631" s="27"/>
      <c r="F1631" s="27"/>
      <c r="G1631" s="27"/>
      <c r="H1631" s="27"/>
      <c r="I1631" s="27"/>
      <c r="J1631" s="27"/>
      <c r="K1631" s="27"/>
      <c r="L1631" s="27"/>
      <c r="M1631" s="27"/>
      <c r="N1631" s="27"/>
      <c r="O1631" s="27"/>
      <c r="P1631" s="27"/>
      <c r="Q1631" s="27"/>
      <c r="R1631" s="27"/>
      <c r="S1631" s="27"/>
      <c r="T1631" s="27"/>
      <c r="U1631" s="27"/>
      <c r="V1631" s="27"/>
      <c r="W1631" s="27"/>
      <c r="X1631" s="27"/>
      <c r="Y1631" s="27"/>
      <c r="Z1631" s="27"/>
    </row>
    <row r="1632" customHeight="1" spans="1:26">
      <c r="A1632" s="26"/>
      <c r="B1632" s="26"/>
      <c r="C1632" s="26"/>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c r="Z1632" s="26"/>
    </row>
    <row r="1633" customHeight="1" spans="1:26">
      <c r="A1633" s="27"/>
      <c r="B1633" s="27"/>
      <c r="C1633" s="27"/>
      <c r="D1633" s="27"/>
      <c r="E1633" s="27"/>
      <c r="F1633" s="27"/>
      <c r="G1633" s="27"/>
      <c r="H1633" s="27"/>
      <c r="I1633" s="27"/>
      <c r="J1633" s="27"/>
      <c r="K1633" s="27"/>
      <c r="L1633" s="27"/>
      <c r="M1633" s="27"/>
      <c r="N1633" s="27"/>
      <c r="O1633" s="27"/>
      <c r="P1633" s="27"/>
      <c r="Q1633" s="27"/>
      <c r="R1633" s="27"/>
      <c r="S1633" s="27"/>
      <c r="T1633" s="27"/>
      <c r="U1633" s="27"/>
      <c r="V1633" s="27"/>
      <c r="W1633" s="27"/>
      <c r="X1633" s="27"/>
      <c r="Y1633" s="27"/>
      <c r="Z1633" s="27"/>
    </row>
    <row r="1634" customHeight="1" spans="1:26">
      <c r="A1634" s="26"/>
      <c r="B1634" s="26"/>
      <c r="C1634" s="26"/>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c r="Z1634" s="26"/>
    </row>
    <row r="1635" customHeight="1" spans="1:26">
      <c r="A1635" s="27"/>
      <c r="B1635" s="27"/>
      <c r="C1635" s="27"/>
      <c r="D1635" s="27"/>
      <c r="E1635" s="27"/>
      <c r="F1635" s="27"/>
      <c r="G1635" s="27"/>
      <c r="H1635" s="27"/>
      <c r="I1635" s="27"/>
      <c r="J1635" s="27"/>
      <c r="K1635" s="27"/>
      <c r="L1635" s="27"/>
      <c r="M1635" s="27"/>
      <c r="N1635" s="27"/>
      <c r="O1635" s="27"/>
      <c r="P1635" s="27"/>
      <c r="Q1635" s="27"/>
      <c r="R1635" s="27"/>
      <c r="S1635" s="27"/>
      <c r="T1635" s="27"/>
      <c r="U1635" s="27"/>
      <c r="V1635" s="27"/>
      <c r="W1635" s="27"/>
      <c r="X1635" s="27"/>
      <c r="Y1635" s="27"/>
      <c r="Z1635" s="27"/>
    </row>
    <row r="1636" customHeight="1" spans="1:26">
      <c r="A1636" s="26"/>
      <c r="B1636" s="26"/>
      <c r="C1636" s="26"/>
      <c r="D1636" s="26"/>
      <c r="E1636" s="26"/>
      <c r="F1636" s="26"/>
      <c r="G1636" s="26"/>
      <c r="H1636" s="26"/>
      <c r="I1636" s="26"/>
      <c r="J1636" s="26"/>
      <c r="K1636" s="26"/>
      <c r="L1636" s="26"/>
      <c r="M1636" s="26"/>
      <c r="N1636" s="26"/>
      <c r="O1636" s="26"/>
      <c r="P1636" s="26"/>
      <c r="Q1636" s="26"/>
      <c r="R1636" s="26"/>
      <c r="S1636" s="26"/>
      <c r="T1636" s="26"/>
      <c r="U1636" s="26"/>
      <c r="V1636" s="26"/>
      <c r="W1636" s="26"/>
      <c r="X1636" s="26"/>
      <c r="Y1636" s="26"/>
      <c r="Z1636" s="26"/>
    </row>
    <row r="1637" customHeight="1" spans="1:26">
      <c r="A1637" s="27"/>
      <c r="B1637" s="27"/>
      <c r="C1637" s="27"/>
      <c r="D1637" s="27"/>
      <c r="E1637" s="27"/>
      <c r="F1637" s="27"/>
      <c r="G1637" s="27"/>
      <c r="H1637" s="27"/>
      <c r="I1637" s="27"/>
      <c r="J1637" s="27"/>
      <c r="K1637" s="27"/>
      <c r="L1637" s="27"/>
      <c r="M1637" s="27"/>
      <c r="N1637" s="27"/>
      <c r="O1637" s="27"/>
      <c r="P1637" s="27"/>
      <c r="Q1637" s="27"/>
      <c r="R1637" s="27"/>
      <c r="S1637" s="27"/>
      <c r="T1637" s="27"/>
      <c r="U1637" s="27"/>
      <c r="V1637" s="27"/>
      <c r="W1637" s="27"/>
      <c r="X1637" s="27"/>
      <c r="Y1637" s="27"/>
      <c r="Z1637" s="27"/>
    </row>
    <row r="1638" customHeight="1" spans="1:26">
      <c r="A1638" s="26"/>
      <c r="B1638" s="26"/>
      <c r="C1638" s="26"/>
      <c r="D1638" s="26"/>
      <c r="E1638" s="26"/>
      <c r="F1638" s="26"/>
      <c r="G1638" s="26"/>
      <c r="H1638" s="26"/>
      <c r="I1638" s="26"/>
      <c r="J1638" s="26"/>
      <c r="K1638" s="26"/>
      <c r="L1638" s="26"/>
      <c r="M1638" s="26"/>
      <c r="N1638" s="26"/>
      <c r="O1638" s="26"/>
      <c r="P1638" s="26"/>
      <c r="Q1638" s="26"/>
      <c r="R1638" s="26"/>
      <c r="S1638" s="26"/>
      <c r="T1638" s="26"/>
      <c r="U1638" s="26"/>
      <c r="V1638" s="26"/>
      <c r="W1638" s="26"/>
      <c r="X1638" s="26"/>
      <c r="Y1638" s="26"/>
      <c r="Z1638" s="26"/>
    </row>
    <row r="1639" customHeight="1" spans="1:26">
      <c r="A1639" s="27"/>
      <c r="B1639" s="27"/>
      <c r="C1639" s="27"/>
      <c r="D1639" s="27"/>
      <c r="E1639" s="27"/>
      <c r="F1639" s="27"/>
      <c r="G1639" s="27"/>
      <c r="H1639" s="27"/>
      <c r="I1639" s="27"/>
      <c r="J1639" s="27"/>
      <c r="K1639" s="27"/>
      <c r="L1639" s="27"/>
      <c r="M1639" s="27"/>
      <c r="N1639" s="27"/>
      <c r="O1639" s="27"/>
      <c r="P1639" s="27"/>
      <c r="Q1639" s="27"/>
      <c r="R1639" s="27"/>
      <c r="S1639" s="27"/>
      <c r="T1639" s="27"/>
      <c r="U1639" s="27"/>
      <c r="V1639" s="27"/>
      <c r="W1639" s="27"/>
      <c r="X1639" s="27"/>
      <c r="Y1639" s="27"/>
      <c r="Z1639" s="27"/>
    </row>
    <row r="1640" customHeight="1" spans="1:26">
      <c r="A1640" s="26"/>
      <c r="B1640" s="26"/>
      <c r="C1640" s="26"/>
      <c r="D1640" s="26"/>
      <c r="E1640" s="26"/>
      <c r="F1640" s="26"/>
      <c r="G1640" s="26"/>
      <c r="H1640" s="26"/>
      <c r="I1640" s="26"/>
      <c r="J1640" s="26"/>
      <c r="K1640" s="26"/>
      <c r="L1640" s="26"/>
      <c r="M1640" s="26"/>
      <c r="N1640" s="26"/>
      <c r="O1640" s="26"/>
      <c r="P1640" s="26"/>
      <c r="Q1640" s="26"/>
      <c r="R1640" s="26"/>
      <c r="S1640" s="26"/>
      <c r="T1640" s="26"/>
      <c r="U1640" s="26"/>
      <c r="V1640" s="26"/>
      <c r="W1640" s="26"/>
      <c r="X1640" s="26"/>
      <c r="Y1640" s="26"/>
      <c r="Z1640" s="26"/>
    </row>
    <row r="1641" customHeight="1" spans="1:26">
      <c r="A1641" s="27"/>
      <c r="B1641" s="27"/>
      <c r="C1641" s="27"/>
      <c r="D1641" s="27"/>
      <c r="E1641" s="27"/>
      <c r="F1641" s="27"/>
      <c r="G1641" s="27"/>
      <c r="H1641" s="27"/>
      <c r="I1641" s="27"/>
      <c r="J1641" s="27"/>
      <c r="K1641" s="27"/>
      <c r="L1641" s="27"/>
      <c r="M1641" s="27"/>
      <c r="N1641" s="27"/>
      <c r="O1641" s="27"/>
      <c r="P1641" s="27"/>
      <c r="Q1641" s="27"/>
      <c r="R1641" s="27"/>
      <c r="S1641" s="27"/>
      <c r="T1641" s="27"/>
      <c r="U1641" s="27"/>
      <c r="V1641" s="27"/>
      <c r="W1641" s="27"/>
      <c r="X1641" s="27"/>
      <c r="Y1641" s="27"/>
      <c r="Z1641" s="27"/>
    </row>
    <row r="1642" customHeight="1" spans="1:26">
      <c r="A1642" s="26"/>
      <c r="B1642" s="26"/>
      <c r="C1642" s="26"/>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c r="Z1642" s="26"/>
    </row>
    <row r="1643" customHeight="1" spans="1:26">
      <c r="A1643" s="27"/>
      <c r="B1643" s="27"/>
      <c r="C1643" s="27"/>
      <c r="D1643" s="27"/>
      <c r="E1643" s="27"/>
      <c r="F1643" s="27"/>
      <c r="G1643" s="27"/>
      <c r="H1643" s="27"/>
      <c r="I1643" s="27"/>
      <c r="J1643" s="27"/>
      <c r="K1643" s="27"/>
      <c r="L1643" s="27"/>
      <c r="M1643" s="27"/>
      <c r="N1643" s="27"/>
      <c r="O1643" s="27"/>
      <c r="P1643" s="27"/>
      <c r="Q1643" s="27"/>
      <c r="R1643" s="27"/>
      <c r="S1643" s="27"/>
      <c r="T1643" s="27"/>
      <c r="U1643" s="27"/>
      <c r="V1643" s="27"/>
      <c r="W1643" s="27"/>
      <c r="X1643" s="27"/>
      <c r="Y1643" s="27"/>
      <c r="Z1643" s="27"/>
    </row>
    <row r="1644" customHeight="1" spans="1:26">
      <c r="A1644" s="26"/>
      <c r="B1644" s="26"/>
      <c r="C1644" s="26"/>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c r="Z1644" s="26"/>
    </row>
    <row r="1645" customHeight="1" spans="1:26">
      <c r="A1645" s="27"/>
      <c r="B1645" s="27"/>
      <c r="C1645" s="27"/>
      <c r="D1645" s="27"/>
      <c r="E1645" s="27"/>
      <c r="F1645" s="27"/>
      <c r="G1645" s="27"/>
      <c r="H1645" s="27"/>
      <c r="I1645" s="27"/>
      <c r="J1645" s="27"/>
      <c r="K1645" s="27"/>
      <c r="L1645" s="27"/>
      <c r="M1645" s="27"/>
      <c r="N1645" s="27"/>
      <c r="O1645" s="27"/>
      <c r="P1645" s="27"/>
      <c r="Q1645" s="27"/>
      <c r="R1645" s="27"/>
      <c r="S1645" s="27"/>
      <c r="T1645" s="27"/>
      <c r="U1645" s="27"/>
      <c r="V1645" s="27"/>
      <c r="W1645" s="27"/>
      <c r="X1645" s="27"/>
      <c r="Y1645" s="27"/>
      <c r="Z1645" s="27"/>
    </row>
    <row r="1646" customHeight="1" spans="1:26">
      <c r="A1646" s="26"/>
      <c r="B1646" s="26"/>
      <c r="C1646" s="26"/>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c r="Z1646" s="26"/>
    </row>
    <row r="1647" customHeight="1" spans="1:26">
      <c r="A1647" s="27"/>
      <c r="B1647" s="27"/>
      <c r="C1647" s="27"/>
      <c r="D1647" s="27"/>
      <c r="E1647" s="27"/>
      <c r="F1647" s="27"/>
      <c r="G1647" s="27"/>
      <c r="H1647" s="27"/>
      <c r="I1647" s="27"/>
      <c r="J1647" s="27"/>
      <c r="K1647" s="27"/>
      <c r="L1647" s="27"/>
      <c r="M1647" s="27"/>
      <c r="N1647" s="27"/>
      <c r="O1647" s="27"/>
      <c r="P1647" s="27"/>
      <c r="Q1647" s="27"/>
      <c r="R1647" s="27"/>
      <c r="S1647" s="27"/>
      <c r="T1647" s="27"/>
      <c r="U1647" s="27"/>
      <c r="V1647" s="27"/>
      <c r="W1647" s="27"/>
      <c r="X1647" s="27"/>
      <c r="Y1647" s="27"/>
      <c r="Z1647" s="27"/>
    </row>
    <row r="1648" customHeight="1" spans="1:26">
      <c r="A1648" s="26"/>
      <c r="B1648" s="26"/>
      <c r="C1648" s="26"/>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c r="Z1648" s="26"/>
    </row>
    <row r="1649" customHeight="1" spans="1:26">
      <c r="A1649" s="27"/>
      <c r="B1649" s="27"/>
      <c r="C1649" s="27"/>
      <c r="D1649" s="27"/>
      <c r="E1649" s="27"/>
      <c r="F1649" s="27"/>
      <c r="G1649" s="27"/>
      <c r="H1649" s="27"/>
      <c r="I1649" s="27"/>
      <c r="J1649" s="27"/>
      <c r="K1649" s="27"/>
      <c r="L1649" s="27"/>
      <c r="M1649" s="27"/>
      <c r="N1649" s="27"/>
      <c r="O1649" s="27"/>
      <c r="P1649" s="27"/>
      <c r="Q1649" s="27"/>
      <c r="R1649" s="27"/>
      <c r="S1649" s="27"/>
      <c r="T1649" s="27"/>
      <c r="U1649" s="27"/>
      <c r="V1649" s="27"/>
      <c r="W1649" s="27"/>
      <c r="X1649" s="27"/>
      <c r="Y1649" s="27"/>
      <c r="Z1649" s="27"/>
    </row>
    <row r="1650" customHeight="1" spans="1:26">
      <c r="A1650" s="26"/>
      <c r="B1650" s="26"/>
      <c r="C1650" s="26"/>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c r="Z1650" s="26"/>
    </row>
    <row r="1651" customHeight="1" spans="1:26">
      <c r="A1651" s="27"/>
      <c r="B1651" s="27"/>
      <c r="C1651" s="27"/>
      <c r="D1651" s="27"/>
      <c r="E1651" s="27"/>
      <c r="F1651" s="27"/>
      <c r="G1651" s="27"/>
      <c r="H1651" s="27"/>
      <c r="I1651" s="27"/>
      <c r="J1651" s="27"/>
      <c r="K1651" s="27"/>
      <c r="L1651" s="27"/>
      <c r="M1651" s="27"/>
      <c r="N1651" s="27"/>
      <c r="O1651" s="27"/>
      <c r="P1651" s="27"/>
      <c r="Q1651" s="27"/>
      <c r="R1651" s="27"/>
      <c r="S1651" s="27"/>
      <c r="T1651" s="27"/>
      <c r="U1651" s="27"/>
      <c r="V1651" s="27"/>
      <c r="W1651" s="27"/>
      <c r="X1651" s="27"/>
      <c r="Y1651" s="27"/>
      <c r="Z1651" s="27"/>
    </row>
    <row r="1652" customHeight="1" spans="1:26">
      <c r="A1652" s="26"/>
      <c r="B1652" s="26"/>
      <c r="C1652" s="26"/>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c r="Z1652" s="26"/>
    </row>
    <row r="1653" customHeight="1" spans="1:26">
      <c r="A1653" s="27"/>
      <c r="B1653" s="27"/>
      <c r="C1653" s="27"/>
      <c r="D1653" s="27"/>
      <c r="E1653" s="27"/>
      <c r="F1653" s="27"/>
      <c r="G1653" s="27"/>
      <c r="H1653" s="27"/>
      <c r="I1653" s="27"/>
      <c r="J1653" s="27"/>
      <c r="K1653" s="27"/>
      <c r="L1653" s="27"/>
      <c r="M1653" s="27"/>
      <c r="N1653" s="27"/>
      <c r="O1653" s="27"/>
      <c r="P1653" s="27"/>
      <c r="Q1653" s="27"/>
      <c r="R1653" s="27"/>
      <c r="S1653" s="27"/>
      <c r="T1653" s="27"/>
      <c r="U1653" s="27"/>
      <c r="V1653" s="27"/>
      <c r="W1653" s="27"/>
      <c r="X1653" s="27"/>
      <c r="Y1653" s="27"/>
      <c r="Z1653" s="27"/>
    </row>
    <row r="1654" customHeight="1" spans="1:26">
      <c r="A1654" s="26"/>
      <c r="B1654" s="26"/>
      <c r="C1654" s="26"/>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c r="Z1654" s="26"/>
    </row>
    <row r="1655" customHeight="1" spans="1:26">
      <c r="A1655" s="27"/>
      <c r="B1655" s="27"/>
      <c r="C1655" s="27"/>
      <c r="D1655" s="27"/>
      <c r="E1655" s="27"/>
      <c r="F1655" s="27"/>
      <c r="G1655" s="27"/>
      <c r="H1655" s="27"/>
      <c r="I1655" s="27"/>
      <c r="J1655" s="27"/>
      <c r="K1655" s="27"/>
      <c r="L1655" s="27"/>
      <c r="M1655" s="27"/>
      <c r="N1655" s="27"/>
      <c r="O1655" s="27"/>
      <c r="P1655" s="27"/>
      <c r="Q1655" s="27"/>
      <c r="R1655" s="27"/>
      <c r="S1655" s="27"/>
      <c r="T1655" s="27"/>
      <c r="U1655" s="27"/>
      <c r="V1655" s="27"/>
      <c r="W1655" s="27"/>
      <c r="X1655" s="27"/>
      <c r="Y1655" s="27"/>
      <c r="Z1655" s="27"/>
    </row>
    <row r="1656" customHeight="1" spans="1:26">
      <c r="A1656" s="26"/>
      <c r="B1656" s="26"/>
      <c r="C1656" s="26"/>
      <c r="D1656" s="26"/>
      <c r="E1656" s="26"/>
      <c r="F1656" s="26"/>
      <c r="G1656" s="26"/>
      <c r="H1656" s="26"/>
      <c r="I1656" s="26"/>
      <c r="J1656" s="26"/>
      <c r="K1656" s="26"/>
      <c r="L1656" s="26"/>
      <c r="M1656" s="26"/>
      <c r="N1656" s="26"/>
      <c r="O1656" s="26"/>
      <c r="P1656" s="26"/>
      <c r="Q1656" s="26"/>
      <c r="R1656" s="26"/>
      <c r="S1656" s="26"/>
      <c r="T1656" s="26"/>
      <c r="U1656" s="26"/>
      <c r="V1656" s="26"/>
      <c r="W1656" s="26"/>
      <c r="X1656" s="26"/>
      <c r="Y1656" s="26"/>
      <c r="Z1656" s="26"/>
    </row>
    <row r="1657" customHeight="1" spans="1:26">
      <c r="A1657" s="27"/>
      <c r="B1657" s="2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row>
    <row r="1658" customHeight="1" spans="1:26">
      <c r="A1658" s="26"/>
      <c r="B1658" s="26"/>
      <c r="C1658" s="26"/>
      <c r="D1658" s="26"/>
      <c r="E1658" s="26"/>
      <c r="F1658" s="26"/>
      <c r="G1658" s="26"/>
      <c r="H1658" s="26"/>
      <c r="I1658" s="26"/>
      <c r="J1658" s="26"/>
      <c r="K1658" s="26"/>
      <c r="L1658" s="26"/>
      <c r="M1658" s="26"/>
      <c r="N1658" s="26"/>
      <c r="O1658" s="26"/>
      <c r="P1658" s="26"/>
      <c r="Q1658" s="26"/>
      <c r="R1658" s="26"/>
      <c r="S1658" s="26"/>
      <c r="T1658" s="26"/>
      <c r="U1658" s="26"/>
      <c r="V1658" s="26"/>
      <c r="W1658" s="26"/>
      <c r="X1658" s="26"/>
      <c r="Y1658" s="26"/>
      <c r="Z1658" s="26"/>
    </row>
    <row r="1659" customHeight="1" spans="1:26">
      <c r="A1659" s="27"/>
      <c r="B1659" s="27"/>
      <c r="C1659" s="27"/>
      <c r="D1659" s="27"/>
      <c r="E1659" s="27"/>
      <c r="F1659" s="27"/>
      <c r="G1659" s="27"/>
      <c r="H1659" s="27"/>
      <c r="I1659" s="27"/>
      <c r="J1659" s="27"/>
      <c r="K1659" s="27"/>
      <c r="L1659" s="27"/>
      <c r="M1659" s="27"/>
      <c r="N1659" s="27"/>
      <c r="O1659" s="27"/>
      <c r="P1659" s="27"/>
      <c r="Q1659" s="27"/>
      <c r="R1659" s="27"/>
      <c r="S1659" s="27"/>
      <c r="T1659" s="27"/>
      <c r="U1659" s="27"/>
      <c r="V1659" s="27"/>
      <c r="W1659" s="27"/>
      <c r="X1659" s="27"/>
      <c r="Y1659" s="27"/>
      <c r="Z1659" s="27"/>
    </row>
    <row r="1660" customHeight="1" spans="1:26">
      <c r="A1660" s="26"/>
      <c r="B1660" s="26"/>
      <c r="C1660" s="26"/>
      <c r="D1660" s="26"/>
      <c r="E1660" s="26"/>
      <c r="F1660" s="26"/>
      <c r="G1660" s="26"/>
      <c r="H1660" s="26"/>
      <c r="I1660" s="26"/>
      <c r="J1660" s="26"/>
      <c r="K1660" s="26"/>
      <c r="L1660" s="26"/>
      <c r="M1660" s="26"/>
      <c r="N1660" s="26"/>
      <c r="O1660" s="26"/>
      <c r="P1660" s="26"/>
      <c r="Q1660" s="26"/>
      <c r="R1660" s="26"/>
      <c r="S1660" s="26"/>
      <c r="T1660" s="26"/>
      <c r="U1660" s="26"/>
      <c r="V1660" s="26"/>
      <c r="W1660" s="26"/>
      <c r="X1660" s="26"/>
      <c r="Y1660" s="26"/>
      <c r="Z1660" s="26"/>
    </row>
    <row r="1661" customHeight="1" spans="1:26">
      <c r="A1661" s="27"/>
      <c r="B1661" s="27"/>
      <c r="C1661" s="27"/>
      <c r="D1661" s="27"/>
      <c r="E1661" s="27"/>
      <c r="F1661" s="27"/>
      <c r="G1661" s="27"/>
      <c r="H1661" s="27"/>
      <c r="I1661" s="27"/>
      <c r="J1661" s="27"/>
      <c r="K1661" s="27"/>
      <c r="L1661" s="27"/>
      <c r="M1661" s="27"/>
      <c r="N1661" s="27"/>
      <c r="O1661" s="27"/>
      <c r="P1661" s="27"/>
      <c r="Q1661" s="27"/>
      <c r="R1661" s="27"/>
      <c r="S1661" s="27"/>
      <c r="T1661" s="27"/>
      <c r="U1661" s="27"/>
      <c r="V1661" s="27"/>
      <c r="W1661" s="27"/>
      <c r="X1661" s="27"/>
      <c r="Y1661" s="27"/>
      <c r="Z1661" s="27"/>
    </row>
    <row r="1662" customHeight="1" spans="1:26">
      <c r="A1662" s="26"/>
      <c r="B1662" s="26"/>
      <c r="C1662" s="26"/>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c r="Z1662" s="26"/>
    </row>
    <row r="1663" customHeight="1" spans="1:26">
      <c r="A1663" s="27"/>
      <c r="B1663" s="27"/>
      <c r="C1663" s="27"/>
      <c r="D1663" s="27"/>
      <c r="E1663" s="27"/>
      <c r="F1663" s="27"/>
      <c r="G1663" s="27"/>
      <c r="H1663" s="27"/>
      <c r="I1663" s="27"/>
      <c r="J1663" s="27"/>
      <c r="K1663" s="27"/>
      <c r="L1663" s="27"/>
      <c r="M1663" s="27"/>
      <c r="N1663" s="27"/>
      <c r="O1663" s="27"/>
      <c r="P1663" s="27"/>
      <c r="Q1663" s="27"/>
      <c r="R1663" s="27"/>
      <c r="S1663" s="27"/>
      <c r="T1663" s="27"/>
      <c r="U1663" s="27"/>
      <c r="V1663" s="27"/>
      <c r="W1663" s="27"/>
      <c r="X1663" s="27"/>
      <c r="Y1663" s="27"/>
      <c r="Z1663" s="27"/>
    </row>
    <row r="1664" customHeight="1" spans="1:26">
      <c r="A1664" s="26"/>
      <c r="B1664" s="26"/>
      <c r="C1664" s="26"/>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c r="Z1664" s="26"/>
    </row>
    <row r="1665" customHeight="1" spans="1:26">
      <c r="A1665" s="27"/>
      <c r="B1665" s="27"/>
      <c r="C1665" s="27"/>
      <c r="D1665" s="27"/>
      <c r="E1665" s="27"/>
      <c r="F1665" s="27"/>
      <c r="G1665" s="27"/>
      <c r="H1665" s="27"/>
      <c r="I1665" s="27"/>
      <c r="J1665" s="27"/>
      <c r="K1665" s="27"/>
      <c r="L1665" s="27"/>
      <c r="M1665" s="27"/>
      <c r="N1665" s="27"/>
      <c r="O1665" s="27"/>
      <c r="P1665" s="27"/>
      <c r="Q1665" s="27"/>
      <c r="R1665" s="27"/>
      <c r="S1665" s="27"/>
      <c r="T1665" s="27"/>
      <c r="U1665" s="27"/>
      <c r="V1665" s="27"/>
      <c r="W1665" s="27"/>
      <c r="X1665" s="27"/>
      <c r="Y1665" s="27"/>
      <c r="Z1665" s="27"/>
    </row>
    <row r="1666" customHeight="1" spans="1:26">
      <c r="A1666" s="26"/>
      <c r="B1666" s="26"/>
      <c r="C1666" s="26"/>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c r="Z1666" s="26"/>
    </row>
    <row r="1667" customHeight="1" spans="1:26">
      <c r="A1667" s="27"/>
      <c r="B1667" s="27"/>
      <c r="C1667" s="27"/>
      <c r="D1667" s="27"/>
      <c r="E1667" s="27"/>
      <c r="F1667" s="27"/>
      <c r="G1667" s="27"/>
      <c r="H1667" s="27"/>
      <c r="I1667" s="27"/>
      <c r="J1667" s="27"/>
      <c r="K1667" s="27"/>
      <c r="L1667" s="27"/>
      <c r="M1667" s="27"/>
      <c r="N1667" s="27"/>
      <c r="O1667" s="27"/>
      <c r="P1667" s="27"/>
      <c r="Q1667" s="27"/>
      <c r="R1667" s="27"/>
      <c r="S1667" s="27"/>
      <c r="T1667" s="27"/>
      <c r="U1667" s="27"/>
      <c r="V1667" s="27"/>
      <c r="W1667" s="27"/>
      <c r="X1667" s="27"/>
      <c r="Y1667" s="27"/>
      <c r="Z1667" s="27"/>
    </row>
    <row r="1668" customHeight="1" spans="1:26">
      <c r="A1668" s="26"/>
      <c r="B1668" s="26"/>
      <c r="C1668" s="26"/>
      <c r="D1668" s="26"/>
      <c r="E1668" s="26"/>
      <c r="F1668" s="26"/>
      <c r="G1668" s="26"/>
      <c r="H1668" s="26"/>
      <c r="I1668" s="26"/>
      <c r="J1668" s="26"/>
      <c r="K1668" s="26"/>
      <c r="L1668" s="26"/>
      <c r="M1668" s="26"/>
      <c r="N1668" s="26"/>
      <c r="O1668" s="26"/>
      <c r="P1668" s="26"/>
      <c r="Q1668" s="26"/>
      <c r="R1668" s="26"/>
      <c r="S1668" s="26"/>
      <c r="T1668" s="26"/>
      <c r="U1668" s="26"/>
      <c r="V1668" s="26"/>
      <c r="W1668" s="26"/>
      <c r="X1668" s="26"/>
      <c r="Y1668" s="26"/>
      <c r="Z1668" s="26"/>
    </row>
    <row r="1669" customHeight="1" spans="1:26">
      <c r="A1669" s="27"/>
      <c r="B1669" s="27"/>
      <c r="C1669" s="27"/>
      <c r="D1669" s="27"/>
      <c r="E1669" s="27"/>
      <c r="F1669" s="27"/>
      <c r="G1669" s="27"/>
      <c r="H1669" s="27"/>
      <c r="I1669" s="27"/>
      <c r="J1669" s="27"/>
      <c r="K1669" s="27"/>
      <c r="L1669" s="27"/>
      <c r="M1669" s="27"/>
      <c r="N1669" s="27"/>
      <c r="O1669" s="27"/>
      <c r="P1669" s="27"/>
      <c r="Q1669" s="27"/>
      <c r="R1669" s="27"/>
      <c r="S1669" s="27"/>
      <c r="T1669" s="27"/>
      <c r="U1669" s="27"/>
      <c r="V1669" s="27"/>
      <c r="W1669" s="27"/>
      <c r="X1669" s="27"/>
      <c r="Y1669" s="27"/>
      <c r="Z1669" s="27"/>
    </row>
    <row r="1670" customHeight="1" spans="1:26">
      <c r="A1670" s="26"/>
      <c r="B1670" s="26"/>
      <c r="C1670" s="26"/>
      <c r="D1670" s="26"/>
      <c r="E1670" s="26"/>
      <c r="F1670" s="26"/>
      <c r="G1670" s="26"/>
      <c r="H1670" s="26"/>
      <c r="I1670" s="26"/>
      <c r="J1670" s="26"/>
      <c r="K1670" s="26"/>
      <c r="L1670" s="26"/>
      <c r="M1670" s="26"/>
      <c r="N1670" s="26"/>
      <c r="O1670" s="26"/>
      <c r="P1670" s="26"/>
      <c r="Q1670" s="26"/>
      <c r="R1670" s="26"/>
      <c r="S1670" s="26"/>
      <c r="T1670" s="26"/>
      <c r="U1670" s="26"/>
      <c r="V1670" s="26"/>
      <c r="W1670" s="26"/>
      <c r="X1670" s="26"/>
      <c r="Y1670" s="26"/>
      <c r="Z1670" s="26"/>
    </row>
    <row r="1671" customHeight="1" spans="1:26">
      <c r="A1671" s="27"/>
      <c r="B1671" s="27"/>
      <c r="C1671" s="27"/>
      <c r="D1671" s="27"/>
      <c r="E1671" s="27"/>
      <c r="F1671" s="27"/>
      <c r="G1671" s="27"/>
      <c r="H1671" s="27"/>
      <c r="I1671" s="27"/>
      <c r="J1671" s="27"/>
      <c r="K1671" s="27"/>
      <c r="L1671" s="27"/>
      <c r="M1671" s="27"/>
      <c r="N1671" s="27"/>
      <c r="O1671" s="27"/>
      <c r="P1671" s="27"/>
      <c r="Q1671" s="27"/>
      <c r="R1671" s="27"/>
      <c r="S1671" s="27"/>
      <c r="T1671" s="27"/>
      <c r="U1671" s="27"/>
      <c r="V1671" s="27"/>
      <c r="W1671" s="27"/>
      <c r="X1671" s="27"/>
      <c r="Y1671" s="27"/>
      <c r="Z1671" s="27"/>
    </row>
    <row r="1672" customHeight="1" spans="1:26">
      <c r="A1672" s="26"/>
      <c r="B1672" s="26"/>
      <c r="C1672" s="26"/>
      <c r="D1672" s="26"/>
      <c r="E1672" s="26"/>
      <c r="F1672" s="26"/>
      <c r="G1672" s="26"/>
      <c r="H1672" s="26"/>
      <c r="I1672" s="26"/>
      <c r="J1672" s="26"/>
      <c r="K1672" s="26"/>
      <c r="L1672" s="26"/>
      <c r="M1672" s="26"/>
      <c r="N1672" s="26"/>
      <c r="O1672" s="26"/>
      <c r="P1672" s="26"/>
      <c r="Q1672" s="26"/>
      <c r="R1672" s="26"/>
      <c r="S1672" s="26"/>
      <c r="T1672" s="26"/>
      <c r="U1672" s="26"/>
      <c r="V1672" s="26"/>
      <c r="W1672" s="26"/>
      <c r="X1672" s="26"/>
      <c r="Y1672" s="26"/>
      <c r="Z1672" s="26"/>
    </row>
    <row r="1673" customHeight="1" spans="1:26">
      <c r="A1673" s="27"/>
      <c r="B1673" s="27"/>
      <c r="C1673" s="27"/>
      <c r="D1673" s="27"/>
      <c r="E1673" s="27"/>
      <c r="F1673" s="27"/>
      <c r="G1673" s="27"/>
      <c r="H1673" s="27"/>
      <c r="I1673" s="27"/>
      <c r="J1673" s="27"/>
      <c r="K1673" s="27"/>
      <c r="L1673" s="27"/>
      <c r="M1673" s="27"/>
      <c r="N1673" s="27"/>
      <c r="O1673" s="27"/>
      <c r="P1673" s="27"/>
      <c r="Q1673" s="27"/>
      <c r="R1673" s="27"/>
      <c r="S1673" s="27"/>
      <c r="T1673" s="27"/>
      <c r="U1673" s="27"/>
      <c r="V1673" s="27"/>
      <c r="W1673" s="27"/>
      <c r="X1673" s="27"/>
      <c r="Y1673" s="27"/>
      <c r="Z1673" s="27"/>
    </row>
    <row r="1674" customHeight="1" spans="1:26">
      <c r="A1674" s="26"/>
      <c r="B1674" s="26"/>
      <c r="C1674" s="26"/>
      <c r="D1674" s="26"/>
      <c r="E1674" s="26"/>
      <c r="F1674" s="26"/>
      <c r="G1674" s="26"/>
      <c r="H1674" s="26"/>
      <c r="I1674" s="26"/>
      <c r="J1674" s="26"/>
      <c r="K1674" s="26"/>
      <c r="L1674" s="26"/>
      <c r="M1674" s="26"/>
      <c r="N1674" s="26"/>
      <c r="O1674" s="26"/>
      <c r="P1674" s="26"/>
      <c r="Q1674" s="26"/>
      <c r="R1674" s="26"/>
      <c r="S1674" s="26"/>
      <c r="T1674" s="26"/>
      <c r="U1674" s="26"/>
      <c r="V1674" s="26"/>
      <c r="W1674" s="26"/>
      <c r="X1674" s="26"/>
      <c r="Y1674" s="26"/>
      <c r="Z1674" s="26"/>
    </row>
    <row r="1675" customHeight="1" spans="1:26">
      <c r="A1675" s="27"/>
      <c r="B1675" s="27"/>
      <c r="C1675" s="27"/>
      <c r="D1675" s="27"/>
      <c r="E1675" s="27"/>
      <c r="F1675" s="27"/>
      <c r="G1675" s="27"/>
      <c r="H1675" s="27"/>
      <c r="I1675" s="27"/>
      <c r="J1675" s="27"/>
      <c r="K1675" s="27"/>
      <c r="L1675" s="27"/>
      <c r="M1675" s="27"/>
      <c r="N1675" s="27"/>
      <c r="O1675" s="27"/>
      <c r="P1675" s="27"/>
      <c r="Q1675" s="27"/>
      <c r="R1675" s="27"/>
      <c r="S1675" s="27"/>
      <c r="T1675" s="27"/>
      <c r="U1675" s="27"/>
      <c r="V1675" s="27"/>
      <c r="W1675" s="27"/>
      <c r="X1675" s="27"/>
      <c r="Y1675" s="27"/>
      <c r="Z1675" s="27"/>
    </row>
    <row r="1676" customHeight="1" spans="1:26">
      <c r="A1676" s="26"/>
      <c r="B1676" s="26"/>
      <c r="C1676" s="26"/>
      <c r="D1676" s="26"/>
      <c r="E1676" s="26"/>
      <c r="F1676" s="26"/>
      <c r="G1676" s="26"/>
      <c r="H1676" s="26"/>
      <c r="I1676" s="26"/>
      <c r="J1676" s="26"/>
      <c r="K1676" s="26"/>
      <c r="L1676" s="26"/>
      <c r="M1676" s="26"/>
      <c r="N1676" s="26"/>
      <c r="O1676" s="26"/>
      <c r="P1676" s="26"/>
      <c r="Q1676" s="26"/>
      <c r="R1676" s="26"/>
      <c r="S1676" s="26"/>
      <c r="T1676" s="26"/>
      <c r="U1676" s="26"/>
      <c r="V1676" s="26"/>
      <c r="W1676" s="26"/>
      <c r="X1676" s="26"/>
      <c r="Y1676" s="26"/>
      <c r="Z1676" s="26"/>
    </row>
    <row r="1677" customHeight="1" spans="1:26">
      <c r="A1677" s="27"/>
      <c r="B1677" s="27"/>
      <c r="C1677" s="27"/>
      <c r="D1677" s="27"/>
      <c r="E1677" s="27"/>
      <c r="F1677" s="27"/>
      <c r="G1677" s="27"/>
      <c r="H1677" s="27"/>
      <c r="I1677" s="27"/>
      <c r="J1677" s="27"/>
      <c r="K1677" s="27"/>
      <c r="L1677" s="27"/>
      <c r="M1677" s="27"/>
      <c r="N1677" s="27"/>
      <c r="O1677" s="27"/>
      <c r="P1677" s="27"/>
      <c r="Q1677" s="27"/>
      <c r="R1677" s="27"/>
      <c r="S1677" s="27"/>
      <c r="T1677" s="27"/>
      <c r="U1677" s="27"/>
      <c r="V1677" s="27"/>
      <c r="W1677" s="27"/>
      <c r="X1677" s="27"/>
      <c r="Y1677" s="27"/>
      <c r="Z1677" s="27"/>
    </row>
    <row r="1678" customHeight="1" spans="1:26">
      <c r="A1678" s="26"/>
      <c r="B1678" s="26"/>
      <c r="C1678" s="26"/>
      <c r="D1678" s="26"/>
      <c r="E1678" s="26"/>
      <c r="F1678" s="26"/>
      <c r="G1678" s="26"/>
      <c r="H1678" s="26"/>
      <c r="I1678" s="26"/>
      <c r="J1678" s="26"/>
      <c r="K1678" s="26"/>
      <c r="L1678" s="26"/>
      <c r="M1678" s="26"/>
      <c r="N1678" s="26"/>
      <c r="O1678" s="26"/>
      <c r="P1678" s="26"/>
      <c r="Q1678" s="26"/>
      <c r="R1678" s="26"/>
      <c r="S1678" s="26"/>
      <c r="T1678" s="26"/>
      <c r="U1678" s="26"/>
      <c r="V1678" s="26"/>
      <c r="W1678" s="26"/>
      <c r="X1678" s="26"/>
      <c r="Y1678" s="26"/>
      <c r="Z1678" s="26"/>
    </row>
    <row r="1679" customHeight="1" spans="1:26">
      <c r="A1679" s="27"/>
      <c r="B1679" s="27"/>
      <c r="C1679" s="27"/>
      <c r="D1679" s="27"/>
      <c r="E1679" s="27"/>
      <c r="F1679" s="27"/>
      <c r="G1679" s="27"/>
      <c r="H1679" s="27"/>
      <c r="I1679" s="27"/>
      <c r="J1679" s="27"/>
      <c r="K1679" s="27"/>
      <c r="L1679" s="27"/>
      <c r="M1679" s="27"/>
      <c r="N1679" s="27"/>
      <c r="O1679" s="27"/>
      <c r="P1679" s="27"/>
      <c r="Q1679" s="27"/>
      <c r="R1679" s="27"/>
      <c r="S1679" s="27"/>
      <c r="T1679" s="27"/>
      <c r="U1679" s="27"/>
      <c r="V1679" s="27"/>
      <c r="W1679" s="27"/>
      <c r="X1679" s="27"/>
      <c r="Y1679" s="27"/>
      <c r="Z1679" s="27"/>
    </row>
    <row r="1680" customHeight="1" spans="1:26">
      <c r="A1680" s="26"/>
      <c r="B1680" s="26"/>
      <c r="C1680" s="26"/>
      <c r="D1680" s="26"/>
      <c r="E1680" s="26"/>
      <c r="F1680" s="26"/>
      <c r="G1680" s="26"/>
      <c r="H1680" s="26"/>
      <c r="I1680" s="26"/>
      <c r="J1680" s="26"/>
      <c r="K1680" s="26"/>
      <c r="L1680" s="26"/>
      <c r="M1680" s="26"/>
      <c r="N1680" s="26"/>
      <c r="O1680" s="26"/>
      <c r="P1680" s="26"/>
      <c r="Q1680" s="26"/>
      <c r="R1680" s="26"/>
      <c r="S1680" s="26"/>
      <c r="T1680" s="26"/>
      <c r="U1680" s="26"/>
      <c r="V1680" s="26"/>
      <c r="W1680" s="26"/>
      <c r="X1680" s="26"/>
      <c r="Y1680" s="26"/>
      <c r="Z1680" s="26"/>
    </row>
    <row r="1681" customHeight="1" spans="1:26">
      <c r="A1681" s="27"/>
      <c r="B1681" s="27"/>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row>
    <row r="1682" customHeight="1" spans="1:26">
      <c r="A1682" s="26"/>
      <c r="B1682" s="26"/>
      <c r="C1682" s="26"/>
      <c r="D1682" s="26"/>
      <c r="E1682" s="26"/>
      <c r="F1682" s="26"/>
      <c r="G1682" s="26"/>
      <c r="H1682" s="26"/>
      <c r="I1682" s="26"/>
      <c r="J1682" s="26"/>
      <c r="K1682" s="26"/>
      <c r="L1682" s="26"/>
      <c r="M1682" s="26"/>
      <c r="N1682" s="26"/>
      <c r="O1682" s="26"/>
      <c r="P1682" s="26"/>
      <c r="Q1682" s="26"/>
      <c r="R1682" s="26"/>
      <c r="S1682" s="26"/>
      <c r="T1682" s="26"/>
      <c r="U1682" s="26"/>
      <c r="V1682" s="26"/>
      <c r="W1682" s="26"/>
      <c r="X1682" s="26"/>
      <c r="Y1682" s="26"/>
      <c r="Z1682" s="26"/>
    </row>
    <row r="1683" customHeight="1" spans="1:26">
      <c r="A1683" s="27"/>
      <c r="B1683" s="27"/>
      <c r="C1683" s="27"/>
      <c r="D1683" s="27"/>
      <c r="E1683" s="27"/>
      <c r="F1683" s="27"/>
      <c r="G1683" s="27"/>
      <c r="H1683" s="27"/>
      <c r="I1683" s="27"/>
      <c r="J1683" s="27"/>
      <c r="K1683" s="27"/>
      <c r="L1683" s="27"/>
      <c r="M1683" s="27"/>
      <c r="N1683" s="27"/>
      <c r="O1683" s="27"/>
      <c r="P1683" s="27"/>
      <c r="Q1683" s="27"/>
      <c r="R1683" s="27"/>
      <c r="S1683" s="27"/>
      <c r="T1683" s="27"/>
      <c r="U1683" s="27"/>
      <c r="V1683" s="27"/>
      <c r="W1683" s="27"/>
      <c r="X1683" s="27"/>
      <c r="Y1683" s="27"/>
      <c r="Z1683" s="27"/>
    </row>
    <row r="1684" customHeight="1" spans="1:26">
      <c r="A1684" s="26"/>
      <c r="B1684" s="26"/>
      <c r="C1684" s="26"/>
      <c r="D1684" s="26"/>
      <c r="E1684" s="26"/>
      <c r="F1684" s="26"/>
      <c r="G1684" s="26"/>
      <c r="H1684" s="26"/>
      <c r="I1684" s="26"/>
      <c r="J1684" s="26"/>
      <c r="K1684" s="26"/>
      <c r="L1684" s="26"/>
      <c r="M1684" s="26"/>
      <c r="N1684" s="26"/>
      <c r="O1684" s="26"/>
      <c r="P1684" s="26"/>
      <c r="Q1684" s="26"/>
      <c r="R1684" s="26"/>
      <c r="S1684" s="26"/>
      <c r="T1684" s="26"/>
      <c r="U1684" s="26"/>
      <c r="V1684" s="26"/>
      <c r="W1684" s="26"/>
      <c r="X1684" s="26"/>
      <c r="Y1684" s="26"/>
      <c r="Z1684" s="26"/>
    </row>
    <row r="1685" customHeight="1" spans="1:26">
      <c r="A1685" s="27"/>
      <c r="B1685" s="27"/>
      <c r="C1685" s="27"/>
      <c r="D1685" s="27"/>
      <c r="E1685" s="27"/>
      <c r="F1685" s="27"/>
      <c r="G1685" s="27"/>
      <c r="H1685" s="27"/>
      <c r="I1685" s="27"/>
      <c r="J1685" s="27"/>
      <c r="K1685" s="27"/>
      <c r="L1685" s="27"/>
      <c r="M1685" s="27"/>
      <c r="N1685" s="27"/>
      <c r="O1685" s="27"/>
      <c r="P1685" s="27"/>
      <c r="Q1685" s="27"/>
      <c r="R1685" s="27"/>
      <c r="S1685" s="27"/>
      <c r="T1685" s="27"/>
      <c r="U1685" s="27"/>
      <c r="V1685" s="27"/>
      <c r="W1685" s="27"/>
      <c r="X1685" s="27"/>
      <c r="Y1685" s="27"/>
      <c r="Z1685" s="27"/>
    </row>
    <row r="1686" customHeight="1" spans="1:26">
      <c r="A1686" s="26"/>
      <c r="B1686" s="26"/>
      <c r="C1686" s="26"/>
      <c r="D1686" s="26"/>
      <c r="E1686" s="26"/>
      <c r="F1686" s="26"/>
      <c r="G1686" s="26"/>
      <c r="H1686" s="26"/>
      <c r="I1686" s="26"/>
      <c r="J1686" s="26"/>
      <c r="K1686" s="26"/>
      <c r="L1686" s="26"/>
      <c r="M1686" s="26"/>
      <c r="N1686" s="26"/>
      <c r="O1686" s="26"/>
      <c r="P1686" s="26"/>
      <c r="Q1686" s="26"/>
      <c r="R1686" s="26"/>
      <c r="S1686" s="26"/>
      <c r="T1686" s="26"/>
      <c r="U1686" s="26"/>
      <c r="V1686" s="26"/>
      <c r="W1686" s="26"/>
      <c r="X1686" s="26"/>
      <c r="Y1686" s="26"/>
      <c r="Z1686" s="26"/>
    </row>
    <row r="1687" customHeight="1" spans="1:26">
      <c r="A1687" s="27"/>
      <c r="B1687" s="27"/>
      <c r="C1687" s="27"/>
      <c r="D1687" s="27"/>
      <c r="E1687" s="27"/>
      <c r="F1687" s="27"/>
      <c r="G1687" s="27"/>
      <c r="H1687" s="27"/>
      <c r="I1687" s="27"/>
      <c r="J1687" s="27"/>
      <c r="K1687" s="27"/>
      <c r="L1687" s="27"/>
      <c r="M1687" s="27"/>
      <c r="N1687" s="27"/>
      <c r="O1687" s="27"/>
      <c r="P1687" s="27"/>
      <c r="Q1687" s="27"/>
      <c r="R1687" s="27"/>
      <c r="S1687" s="27"/>
      <c r="T1687" s="27"/>
      <c r="U1687" s="27"/>
      <c r="V1687" s="27"/>
      <c r="W1687" s="27"/>
      <c r="X1687" s="27"/>
      <c r="Y1687" s="27"/>
      <c r="Z1687" s="27"/>
    </row>
    <row r="1688" customHeight="1" spans="1:26">
      <c r="A1688" s="26"/>
      <c r="B1688" s="26"/>
      <c r="C1688" s="26"/>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c r="Z1688" s="26"/>
    </row>
    <row r="1689" customHeight="1" spans="1:26">
      <c r="A1689" s="27"/>
      <c r="B1689" s="27"/>
      <c r="C1689" s="27"/>
      <c r="D1689" s="27"/>
      <c r="E1689" s="27"/>
      <c r="F1689" s="27"/>
      <c r="G1689" s="27"/>
      <c r="H1689" s="27"/>
      <c r="I1689" s="27"/>
      <c r="J1689" s="27"/>
      <c r="K1689" s="27"/>
      <c r="L1689" s="27"/>
      <c r="M1689" s="27"/>
      <c r="N1689" s="27"/>
      <c r="O1689" s="27"/>
      <c r="P1689" s="27"/>
      <c r="Q1689" s="27"/>
      <c r="R1689" s="27"/>
      <c r="S1689" s="27"/>
      <c r="T1689" s="27"/>
      <c r="U1689" s="27"/>
      <c r="V1689" s="27"/>
      <c r="W1689" s="27"/>
      <c r="X1689" s="27"/>
      <c r="Y1689" s="27"/>
      <c r="Z1689" s="27"/>
    </row>
    <row r="1690" customHeight="1" spans="1:26">
      <c r="A1690" s="26"/>
      <c r="B1690" s="26"/>
      <c r="C1690" s="26"/>
      <c r="D1690" s="26"/>
      <c r="E1690" s="26"/>
      <c r="F1690" s="26"/>
      <c r="G1690" s="26"/>
      <c r="H1690" s="26"/>
      <c r="I1690" s="26"/>
      <c r="J1690" s="26"/>
      <c r="K1690" s="26"/>
      <c r="L1690" s="26"/>
      <c r="M1690" s="26"/>
      <c r="N1690" s="26"/>
      <c r="O1690" s="26"/>
      <c r="P1690" s="26"/>
      <c r="Q1690" s="26"/>
      <c r="R1690" s="26"/>
      <c r="S1690" s="26"/>
      <c r="T1690" s="26"/>
      <c r="U1690" s="26"/>
      <c r="V1690" s="26"/>
      <c r="W1690" s="26"/>
      <c r="X1690" s="26"/>
      <c r="Y1690" s="26"/>
      <c r="Z1690" s="26"/>
    </row>
    <row r="1691" customHeight="1" spans="1:26">
      <c r="A1691" s="27"/>
      <c r="B1691" s="27"/>
      <c r="C1691" s="27"/>
      <c r="D1691" s="27"/>
      <c r="E1691" s="27"/>
      <c r="F1691" s="27"/>
      <c r="G1691" s="27"/>
      <c r="H1691" s="27"/>
      <c r="I1691" s="27"/>
      <c r="J1691" s="27"/>
      <c r="K1691" s="27"/>
      <c r="L1691" s="27"/>
      <c r="M1691" s="27"/>
      <c r="N1691" s="27"/>
      <c r="O1691" s="27"/>
      <c r="P1691" s="27"/>
      <c r="Q1691" s="27"/>
      <c r="R1691" s="27"/>
      <c r="S1691" s="27"/>
      <c r="T1691" s="27"/>
      <c r="U1691" s="27"/>
      <c r="V1691" s="27"/>
      <c r="W1691" s="27"/>
      <c r="X1691" s="27"/>
      <c r="Y1691" s="27"/>
      <c r="Z1691" s="27"/>
    </row>
    <row r="1692" customHeight="1" spans="1:26">
      <c r="A1692" s="26"/>
      <c r="B1692" s="26"/>
      <c r="C1692" s="26"/>
      <c r="D1692" s="26"/>
      <c r="E1692" s="26"/>
      <c r="F1692" s="26"/>
      <c r="G1692" s="26"/>
      <c r="H1692" s="26"/>
      <c r="I1692" s="26"/>
      <c r="J1692" s="26"/>
      <c r="K1692" s="26"/>
      <c r="L1692" s="26"/>
      <c r="M1692" s="26"/>
      <c r="N1692" s="26"/>
      <c r="O1692" s="26"/>
      <c r="P1692" s="26"/>
      <c r="Q1692" s="26"/>
      <c r="R1692" s="26"/>
      <c r="S1692" s="26"/>
      <c r="T1692" s="26"/>
      <c r="U1692" s="26"/>
      <c r="V1692" s="26"/>
      <c r="W1692" s="26"/>
      <c r="X1692" s="26"/>
      <c r="Y1692" s="26"/>
      <c r="Z1692" s="26"/>
    </row>
    <row r="1693" customHeight="1" spans="1:26">
      <c r="A1693" s="27"/>
      <c r="B1693" s="27"/>
      <c r="C1693" s="27"/>
      <c r="D1693" s="27"/>
      <c r="E1693" s="27"/>
      <c r="F1693" s="27"/>
      <c r="G1693" s="27"/>
      <c r="H1693" s="27"/>
      <c r="I1693" s="27"/>
      <c r="J1693" s="27"/>
      <c r="K1693" s="27"/>
      <c r="L1693" s="27"/>
      <c r="M1693" s="27"/>
      <c r="N1693" s="27"/>
      <c r="O1693" s="27"/>
      <c r="P1693" s="27"/>
      <c r="Q1693" s="27"/>
      <c r="R1693" s="27"/>
      <c r="S1693" s="27"/>
      <c r="T1693" s="27"/>
      <c r="U1693" s="27"/>
      <c r="V1693" s="27"/>
      <c r="W1693" s="27"/>
      <c r="X1693" s="27"/>
      <c r="Y1693" s="27"/>
      <c r="Z1693" s="27"/>
    </row>
    <row r="1694" customHeight="1" spans="1:26">
      <c r="A1694" s="26"/>
      <c r="B1694" s="26"/>
      <c r="C1694" s="26"/>
      <c r="D1694" s="26"/>
      <c r="E1694" s="26"/>
      <c r="F1694" s="26"/>
      <c r="G1694" s="26"/>
      <c r="H1694" s="26"/>
      <c r="I1694" s="26"/>
      <c r="J1694" s="26"/>
      <c r="K1694" s="26"/>
      <c r="L1694" s="26"/>
      <c r="M1694" s="26"/>
      <c r="N1694" s="26"/>
      <c r="O1694" s="26"/>
      <c r="P1694" s="26"/>
      <c r="Q1694" s="26"/>
      <c r="R1694" s="26"/>
      <c r="S1694" s="26"/>
      <c r="T1694" s="26"/>
      <c r="U1694" s="26"/>
      <c r="V1694" s="26"/>
      <c r="W1694" s="26"/>
      <c r="X1694" s="26"/>
      <c r="Y1694" s="26"/>
      <c r="Z1694" s="26"/>
    </row>
    <row r="1695" customHeight="1" spans="1:26">
      <c r="A1695" s="27"/>
      <c r="B1695" s="27"/>
      <c r="C1695" s="27"/>
      <c r="D1695" s="27"/>
      <c r="E1695" s="27"/>
      <c r="F1695" s="27"/>
      <c r="G1695" s="27"/>
      <c r="H1695" s="27"/>
      <c r="I1695" s="27"/>
      <c r="J1695" s="27"/>
      <c r="K1695" s="27"/>
      <c r="L1695" s="27"/>
      <c r="M1695" s="27"/>
      <c r="N1695" s="27"/>
      <c r="O1695" s="27"/>
      <c r="P1695" s="27"/>
      <c r="Q1695" s="27"/>
      <c r="R1695" s="27"/>
      <c r="S1695" s="27"/>
      <c r="T1695" s="27"/>
      <c r="U1695" s="27"/>
      <c r="V1695" s="27"/>
      <c r="W1695" s="27"/>
      <c r="X1695" s="27"/>
      <c r="Y1695" s="27"/>
      <c r="Z1695" s="27"/>
    </row>
    <row r="1696" customHeight="1" spans="1:26">
      <c r="A1696" s="26"/>
      <c r="B1696" s="26"/>
      <c r="C1696" s="26"/>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c r="Z1696" s="26"/>
    </row>
    <row r="1697" customHeight="1" spans="1:26">
      <c r="A1697" s="27"/>
      <c r="B1697" s="27"/>
      <c r="C1697" s="27"/>
      <c r="D1697" s="27"/>
      <c r="E1697" s="27"/>
      <c r="F1697" s="27"/>
      <c r="G1697" s="27"/>
      <c r="H1697" s="27"/>
      <c r="I1697" s="27"/>
      <c r="J1697" s="27"/>
      <c r="K1697" s="27"/>
      <c r="L1697" s="27"/>
      <c r="M1697" s="27"/>
      <c r="N1697" s="27"/>
      <c r="O1697" s="27"/>
      <c r="P1697" s="27"/>
      <c r="Q1697" s="27"/>
      <c r="R1697" s="27"/>
      <c r="S1697" s="27"/>
      <c r="T1697" s="27"/>
      <c r="U1697" s="27"/>
      <c r="V1697" s="27"/>
      <c r="W1697" s="27"/>
      <c r="X1697" s="27"/>
      <c r="Y1697" s="27"/>
      <c r="Z1697" s="27"/>
    </row>
    <row r="1698" customHeight="1" spans="1:26">
      <c r="A1698" s="26"/>
      <c r="B1698" s="26"/>
      <c r="C1698" s="26"/>
      <c r="D1698" s="26"/>
      <c r="E1698" s="26"/>
      <c r="F1698" s="26"/>
      <c r="G1698" s="26"/>
      <c r="H1698" s="26"/>
      <c r="I1698" s="26"/>
      <c r="J1698" s="26"/>
      <c r="K1698" s="26"/>
      <c r="L1698" s="26"/>
      <c r="M1698" s="26"/>
      <c r="N1698" s="26"/>
      <c r="O1698" s="26"/>
      <c r="P1698" s="26"/>
      <c r="Q1698" s="26"/>
      <c r="R1698" s="26"/>
      <c r="S1698" s="26"/>
      <c r="T1698" s="26"/>
      <c r="U1698" s="26"/>
      <c r="V1698" s="26"/>
      <c r="W1698" s="26"/>
      <c r="X1698" s="26"/>
      <c r="Y1698" s="26"/>
      <c r="Z1698" s="26"/>
    </row>
    <row r="1699" customHeight="1" spans="1:26">
      <c r="A1699" s="27"/>
      <c r="B1699" s="27"/>
      <c r="C1699" s="27"/>
      <c r="D1699" s="27"/>
      <c r="E1699" s="27"/>
      <c r="F1699" s="27"/>
      <c r="G1699" s="27"/>
      <c r="H1699" s="27"/>
      <c r="I1699" s="27"/>
      <c r="J1699" s="27"/>
      <c r="K1699" s="27"/>
      <c r="L1699" s="27"/>
      <c r="M1699" s="27"/>
      <c r="N1699" s="27"/>
      <c r="O1699" s="27"/>
      <c r="P1699" s="27"/>
      <c r="Q1699" s="27"/>
      <c r="R1699" s="27"/>
      <c r="S1699" s="27"/>
      <c r="T1699" s="27"/>
      <c r="U1699" s="27"/>
      <c r="V1699" s="27"/>
      <c r="W1699" s="27"/>
      <c r="X1699" s="27"/>
      <c r="Y1699" s="27"/>
      <c r="Z1699" s="27"/>
    </row>
    <row r="1700" customHeight="1" spans="1:26">
      <c r="A1700" s="26"/>
      <c r="B1700" s="26"/>
      <c r="C1700" s="26"/>
      <c r="D1700" s="26"/>
      <c r="E1700" s="26"/>
      <c r="F1700" s="26"/>
      <c r="G1700" s="26"/>
      <c r="H1700" s="26"/>
      <c r="I1700" s="26"/>
      <c r="J1700" s="26"/>
      <c r="K1700" s="26"/>
      <c r="L1700" s="26"/>
      <c r="M1700" s="26"/>
      <c r="N1700" s="26"/>
      <c r="O1700" s="26"/>
      <c r="P1700" s="26"/>
      <c r="Q1700" s="26"/>
      <c r="R1700" s="26"/>
      <c r="S1700" s="26"/>
      <c r="T1700" s="26"/>
      <c r="U1700" s="26"/>
      <c r="V1700" s="26"/>
      <c r="W1700" s="26"/>
      <c r="X1700" s="26"/>
      <c r="Y1700" s="26"/>
      <c r="Z1700" s="26"/>
    </row>
    <row r="1701" customHeight="1" spans="1:26">
      <c r="A1701" s="27"/>
      <c r="B1701" s="27"/>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c r="Z1701" s="27"/>
    </row>
    <row r="1702" customHeight="1" spans="1:26">
      <c r="A1702" s="26"/>
      <c r="B1702" s="26"/>
      <c r="C1702" s="26"/>
      <c r="D1702" s="26"/>
      <c r="E1702" s="26"/>
      <c r="F1702" s="26"/>
      <c r="G1702" s="26"/>
      <c r="H1702" s="26"/>
      <c r="I1702" s="26"/>
      <c r="J1702" s="26"/>
      <c r="K1702" s="26"/>
      <c r="L1702" s="26"/>
      <c r="M1702" s="26"/>
      <c r="N1702" s="26"/>
      <c r="O1702" s="26"/>
      <c r="P1702" s="26"/>
      <c r="Q1702" s="26"/>
      <c r="R1702" s="26"/>
      <c r="S1702" s="26"/>
      <c r="T1702" s="26"/>
      <c r="U1702" s="26"/>
      <c r="V1702" s="26"/>
      <c r="W1702" s="26"/>
      <c r="X1702" s="26"/>
      <c r="Y1702" s="26"/>
      <c r="Z1702" s="26"/>
    </row>
    <row r="1703" customHeight="1" spans="1:26">
      <c r="A1703" s="27"/>
      <c r="B1703" s="27"/>
      <c r="C1703" s="27"/>
      <c r="D1703" s="27"/>
      <c r="E1703" s="27"/>
      <c r="F1703" s="27"/>
      <c r="G1703" s="27"/>
      <c r="H1703" s="27"/>
      <c r="I1703" s="27"/>
      <c r="J1703" s="27"/>
      <c r="K1703" s="27"/>
      <c r="L1703" s="27"/>
      <c r="M1703" s="27"/>
      <c r="N1703" s="27"/>
      <c r="O1703" s="27"/>
      <c r="P1703" s="27"/>
      <c r="Q1703" s="27"/>
      <c r="R1703" s="27"/>
      <c r="S1703" s="27"/>
      <c r="T1703" s="27"/>
      <c r="U1703" s="27"/>
      <c r="V1703" s="27"/>
      <c r="W1703" s="27"/>
      <c r="X1703" s="27"/>
      <c r="Y1703" s="27"/>
      <c r="Z1703" s="27"/>
    </row>
    <row r="1704" customHeight="1" spans="1:26">
      <c r="A1704" s="26"/>
      <c r="B1704" s="26"/>
      <c r="C1704" s="26"/>
      <c r="D1704" s="26"/>
      <c r="E1704" s="26"/>
      <c r="F1704" s="26"/>
      <c r="G1704" s="26"/>
      <c r="H1704" s="26"/>
      <c r="I1704" s="26"/>
      <c r="J1704" s="26"/>
      <c r="K1704" s="26"/>
      <c r="L1704" s="26"/>
      <c r="M1704" s="26"/>
      <c r="N1704" s="26"/>
      <c r="O1704" s="26"/>
      <c r="P1704" s="26"/>
      <c r="Q1704" s="26"/>
      <c r="R1704" s="26"/>
      <c r="S1704" s="26"/>
      <c r="T1704" s="26"/>
      <c r="U1704" s="26"/>
      <c r="V1704" s="26"/>
      <c r="W1704" s="26"/>
      <c r="X1704" s="26"/>
      <c r="Y1704" s="26"/>
      <c r="Z1704" s="26"/>
    </row>
    <row r="1705" customHeight="1" spans="1:26">
      <c r="A1705" s="27"/>
      <c r="B1705" s="27"/>
      <c r="C1705" s="27"/>
      <c r="D1705" s="27"/>
      <c r="E1705" s="27"/>
      <c r="F1705" s="27"/>
      <c r="G1705" s="27"/>
      <c r="H1705" s="27"/>
      <c r="I1705" s="27"/>
      <c r="J1705" s="27"/>
      <c r="K1705" s="27"/>
      <c r="L1705" s="27"/>
      <c r="M1705" s="27"/>
      <c r="N1705" s="27"/>
      <c r="O1705" s="27"/>
      <c r="P1705" s="27"/>
      <c r="Q1705" s="27"/>
      <c r="R1705" s="27"/>
      <c r="S1705" s="27"/>
      <c r="T1705" s="27"/>
      <c r="U1705" s="27"/>
      <c r="V1705" s="27"/>
      <c r="W1705" s="27"/>
      <c r="X1705" s="27"/>
      <c r="Y1705" s="27"/>
      <c r="Z1705" s="27"/>
    </row>
    <row r="1706" customHeight="1" spans="1:26">
      <c r="A1706" s="26"/>
      <c r="B1706" s="26"/>
      <c r="C1706" s="26"/>
      <c r="D1706" s="26"/>
      <c r="E1706" s="26"/>
      <c r="F1706" s="26"/>
      <c r="G1706" s="26"/>
      <c r="H1706" s="26"/>
      <c r="I1706" s="26"/>
      <c r="J1706" s="26"/>
      <c r="K1706" s="26"/>
      <c r="L1706" s="26"/>
      <c r="M1706" s="26"/>
      <c r="N1706" s="26"/>
      <c r="O1706" s="26"/>
      <c r="P1706" s="26"/>
      <c r="Q1706" s="26"/>
      <c r="R1706" s="26"/>
      <c r="S1706" s="26"/>
      <c r="T1706" s="26"/>
      <c r="U1706" s="26"/>
      <c r="V1706" s="26"/>
      <c r="W1706" s="26"/>
      <c r="X1706" s="26"/>
      <c r="Y1706" s="26"/>
      <c r="Z1706" s="26"/>
    </row>
    <row r="1707" customHeight="1" spans="1:26">
      <c r="A1707" s="27"/>
      <c r="B1707" s="27"/>
      <c r="C1707" s="27"/>
      <c r="D1707" s="27"/>
      <c r="E1707" s="27"/>
      <c r="F1707" s="27"/>
      <c r="G1707" s="27"/>
      <c r="H1707" s="27"/>
      <c r="I1707" s="27"/>
      <c r="J1707" s="27"/>
      <c r="K1707" s="27"/>
      <c r="L1707" s="27"/>
      <c r="M1707" s="27"/>
      <c r="N1707" s="27"/>
      <c r="O1707" s="27"/>
      <c r="P1707" s="27"/>
      <c r="Q1707" s="27"/>
      <c r="R1707" s="27"/>
      <c r="S1707" s="27"/>
      <c r="T1707" s="27"/>
      <c r="U1707" s="27"/>
      <c r="V1707" s="27"/>
      <c r="W1707" s="27"/>
      <c r="X1707" s="27"/>
      <c r="Y1707" s="27"/>
      <c r="Z1707" s="27"/>
    </row>
    <row r="1708" customHeight="1" spans="1:26">
      <c r="A1708" s="26"/>
      <c r="B1708" s="26"/>
      <c r="C1708" s="26"/>
      <c r="D1708" s="26"/>
      <c r="E1708" s="26"/>
      <c r="F1708" s="26"/>
      <c r="G1708" s="26"/>
      <c r="H1708" s="26"/>
      <c r="I1708" s="26"/>
      <c r="J1708" s="26"/>
      <c r="K1708" s="26"/>
      <c r="L1708" s="26"/>
      <c r="M1708" s="26"/>
      <c r="N1708" s="26"/>
      <c r="O1708" s="26"/>
      <c r="P1708" s="26"/>
      <c r="Q1708" s="26"/>
      <c r="R1708" s="26"/>
      <c r="S1708" s="26"/>
      <c r="T1708" s="26"/>
      <c r="U1708" s="26"/>
      <c r="V1708" s="26"/>
      <c r="W1708" s="26"/>
      <c r="X1708" s="26"/>
      <c r="Y1708" s="26"/>
      <c r="Z1708" s="26"/>
    </row>
    <row r="1709" customHeight="1" spans="1:26">
      <c r="A1709" s="27"/>
      <c r="B1709" s="27"/>
      <c r="C1709" s="27"/>
      <c r="D1709" s="27"/>
      <c r="E1709" s="27"/>
      <c r="F1709" s="27"/>
      <c r="G1709" s="27"/>
      <c r="H1709" s="27"/>
      <c r="I1709" s="27"/>
      <c r="J1709" s="27"/>
      <c r="K1709" s="27"/>
      <c r="L1709" s="27"/>
      <c r="M1709" s="27"/>
      <c r="N1709" s="27"/>
      <c r="O1709" s="27"/>
      <c r="P1709" s="27"/>
      <c r="Q1709" s="27"/>
      <c r="R1709" s="27"/>
      <c r="S1709" s="27"/>
      <c r="T1709" s="27"/>
      <c r="U1709" s="27"/>
      <c r="V1709" s="27"/>
      <c r="W1709" s="27"/>
      <c r="X1709" s="27"/>
      <c r="Y1709" s="27"/>
      <c r="Z1709" s="27"/>
    </row>
    <row r="1710" customHeight="1" spans="1:26">
      <c r="A1710" s="26"/>
      <c r="B1710" s="26"/>
      <c r="C1710" s="26"/>
      <c r="D1710" s="26"/>
      <c r="E1710" s="26"/>
      <c r="F1710" s="26"/>
      <c r="G1710" s="26"/>
      <c r="H1710" s="26"/>
      <c r="I1710" s="26"/>
      <c r="J1710" s="26"/>
      <c r="K1710" s="26"/>
      <c r="L1710" s="26"/>
      <c r="M1710" s="26"/>
      <c r="N1710" s="26"/>
      <c r="O1710" s="26"/>
      <c r="P1710" s="26"/>
      <c r="Q1710" s="26"/>
      <c r="R1710" s="26"/>
      <c r="S1710" s="26"/>
      <c r="T1710" s="26"/>
      <c r="U1710" s="26"/>
      <c r="V1710" s="26"/>
      <c r="W1710" s="26"/>
      <c r="X1710" s="26"/>
      <c r="Y1710" s="26"/>
      <c r="Z1710" s="26"/>
    </row>
    <row r="1711" customHeight="1" spans="1:26">
      <c r="A1711" s="27"/>
      <c r="B1711" s="27"/>
      <c r="C1711" s="27"/>
      <c r="D1711" s="27"/>
      <c r="E1711" s="27"/>
      <c r="F1711" s="27"/>
      <c r="G1711" s="27"/>
      <c r="H1711" s="27"/>
      <c r="I1711" s="27"/>
      <c r="J1711" s="27"/>
      <c r="K1711" s="27"/>
      <c r="L1711" s="27"/>
      <c r="M1711" s="27"/>
      <c r="N1711" s="27"/>
      <c r="O1711" s="27"/>
      <c r="P1711" s="27"/>
      <c r="Q1711" s="27"/>
      <c r="R1711" s="27"/>
      <c r="S1711" s="27"/>
      <c r="T1711" s="27"/>
      <c r="U1711" s="27"/>
      <c r="V1711" s="27"/>
      <c r="W1711" s="27"/>
      <c r="X1711" s="27"/>
      <c r="Y1711" s="27"/>
      <c r="Z1711" s="27"/>
    </row>
    <row r="1712" customHeight="1" spans="1:26">
      <c r="A1712" s="26"/>
      <c r="B1712" s="26"/>
      <c r="C1712" s="26"/>
      <c r="D1712" s="26"/>
      <c r="E1712" s="26"/>
      <c r="F1712" s="26"/>
      <c r="G1712" s="26"/>
      <c r="H1712" s="26"/>
      <c r="I1712" s="26"/>
      <c r="J1712" s="26"/>
      <c r="K1712" s="26"/>
      <c r="L1712" s="26"/>
      <c r="M1712" s="26"/>
      <c r="N1712" s="26"/>
      <c r="O1712" s="26"/>
      <c r="P1712" s="26"/>
      <c r="Q1712" s="26"/>
      <c r="R1712" s="26"/>
      <c r="S1712" s="26"/>
      <c r="T1712" s="26"/>
      <c r="U1712" s="26"/>
      <c r="V1712" s="26"/>
      <c r="W1712" s="26"/>
      <c r="X1712" s="26"/>
      <c r="Y1712" s="26"/>
      <c r="Z1712" s="26"/>
    </row>
    <row r="1713" customHeight="1" spans="1:26">
      <c r="A1713" s="27"/>
      <c r="B1713" s="27"/>
      <c r="C1713" s="27"/>
      <c r="D1713" s="27"/>
      <c r="E1713" s="27"/>
      <c r="F1713" s="27"/>
      <c r="G1713" s="27"/>
      <c r="H1713" s="27"/>
      <c r="I1713" s="27"/>
      <c r="J1713" s="27"/>
      <c r="K1713" s="27"/>
      <c r="L1713" s="27"/>
      <c r="M1713" s="27"/>
      <c r="N1713" s="27"/>
      <c r="O1713" s="27"/>
      <c r="P1713" s="27"/>
      <c r="Q1713" s="27"/>
      <c r="R1713" s="27"/>
      <c r="S1713" s="27"/>
      <c r="T1713" s="27"/>
      <c r="U1713" s="27"/>
      <c r="V1713" s="27"/>
      <c r="W1713" s="27"/>
      <c r="X1713" s="27"/>
      <c r="Y1713" s="27"/>
      <c r="Z1713" s="27"/>
    </row>
    <row r="1714" customHeight="1" spans="1:26">
      <c r="A1714" s="26"/>
      <c r="B1714" s="26"/>
      <c r="C1714" s="26"/>
      <c r="D1714" s="26"/>
      <c r="E1714" s="26"/>
      <c r="F1714" s="26"/>
      <c r="G1714" s="26"/>
      <c r="H1714" s="26"/>
      <c r="I1714" s="26"/>
      <c r="J1714" s="26"/>
      <c r="K1714" s="26"/>
      <c r="L1714" s="26"/>
      <c r="M1714" s="26"/>
      <c r="N1714" s="26"/>
      <c r="O1714" s="26"/>
      <c r="P1714" s="26"/>
      <c r="Q1714" s="26"/>
      <c r="R1714" s="26"/>
      <c r="S1714" s="26"/>
      <c r="T1714" s="26"/>
      <c r="U1714" s="26"/>
      <c r="V1714" s="26"/>
      <c r="W1714" s="26"/>
      <c r="X1714" s="26"/>
      <c r="Y1714" s="26"/>
      <c r="Z1714" s="26"/>
    </row>
    <row r="1715" customHeight="1" spans="1:26">
      <c r="A1715" s="27"/>
      <c r="B1715" s="27"/>
      <c r="C1715" s="27"/>
      <c r="D1715" s="27"/>
      <c r="E1715" s="27"/>
      <c r="F1715" s="27"/>
      <c r="G1715" s="27"/>
      <c r="H1715" s="27"/>
      <c r="I1715" s="27"/>
      <c r="J1715" s="27"/>
      <c r="K1715" s="27"/>
      <c r="L1715" s="27"/>
      <c r="M1715" s="27"/>
      <c r="N1715" s="27"/>
      <c r="O1715" s="27"/>
      <c r="P1715" s="27"/>
      <c r="Q1715" s="27"/>
      <c r="R1715" s="27"/>
      <c r="S1715" s="27"/>
      <c r="T1715" s="27"/>
      <c r="U1715" s="27"/>
      <c r="V1715" s="27"/>
      <c r="W1715" s="27"/>
      <c r="X1715" s="27"/>
      <c r="Y1715" s="27"/>
      <c r="Z1715" s="27"/>
    </row>
    <row r="1716" customHeight="1" spans="1:26">
      <c r="A1716" s="26"/>
      <c r="B1716" s="26"/>
      <c r="C1716" s="26"/>
      <c r="D1716" s="26"/>
      <c r="E1716" s="26"/>
      <c r="F1716" s="26"/>
      <c r="G1716" s="26"/>
      <c r="H1716" s="26"/>
      <c r="I1716" s="26"/>
      <c r="J1716" s="26"/>
      <c r="K1716" s="26"/>
      <c r="L1716" s="26"/>
      <c r="M1716" s="26"/>
      <c r="N1716" s="26"/>
      <c r="O1716" s="26"/>
      <c r="P1716" s="26"/>
      <c r="Q1716" s="26"/>
      <c r="R1716" s="26"/>
      <c r="S1716" s="26"/>
      <c r="T1716" s="26"/>
      <c r="U1716" s="26"/>
      <c r="V1716" s="26"/>
      <c r="W1716" s="26"/>
      <c r="X1716" s="26"/>
      <c r="Y1716" s="26"/>
      <c r="Z1716" s="26"/>
    </row>
    <row r="1717" customHeight="1" spans="1:26">
      <c r="A1717" s="27"/>
      <c r="B1717" s="27"/>
      <c r="C1717" s="27"/>
      <c r="D1717" s="27"/>
      <c r="E1717" s="27"/>
      <c r="F1717" s="27"/>
      <c r="G1717" s="27"/>
      <c r="H1717" s="27"/>
      <c r="I1717" s="27"/>
      <c r="J1717" s="27"/>
      <c r="K1717" s="27"/>
      <c r="L1717" s="27"/>
      <c r="M1717" s="27"/>
      <c r="N1717" s="27"/>
      <c r="O1717" s="27"/>
      <c r="P1717" s="27"/>
      <c r="Q1717" s="27"/>
      <c r="R1717" s="27"/>
      <c r="S1717" s="27"/>
      <c r="T1717" s="27"/>
      <c r="U1717" s="27"/>
      <c r="V1717" s="27"/>
      <c r="W1717" s="27"/>
      <c r="X1717" s="27"/>
      <c r="Y1717" s="27"/>
      <c r="Z1717" s="27"/>
    </row>
    <row r="1718" customHeight="1" spans="1:26">
      <c r="A1718" s="26"/>
      <c r="B1718" s="26"/>
      <c r="C1718" s="26"/>
      <c r="D1718" s="26"/>
      <c r="E1718" s="26"/>
      <c r="F1718" s="26"/>
      <c r="G1718" s="26"/>
      <c r="H1718" s="26"/>
      <c r="I1718" s="26"/>
      <c r="J1718" s="26"/>
      <c r="K1718" s="26"/>
      <c r="L1718" s="26"/>
      <c r="M1718" s="26"/>
      <c r="N1718" s="26"/>
      <c r="O1718" s="26"/>
      <c r="P1718" s="26"/>
      <c r="Q1718" s="26"/>
      <c r="R1718" s="26"/>
      <c r="S1718" s="26"/>
      <c r="T1718" s="26"/>
      <c r="U1718" s="26"/>
      <c r="V1718" s="26"/>
      <c r="W1718" s="26"/>
      <c r="X1718" s="26"/>
      <c r="Y1718" s="26"/>
      <c r="Z1718" s="26"/>
    </row>
    <row r="1719" customHeight="1" spans="1:26">
      <c r="A1719" s="27"/>
      <c r="B1719" s="27"/>
      <c r="C1719" s="27"/>
      <c r="D1719" s="27"/>
      <c r="E1719" s="27"/>
      <c r="F1719" s="27"/>
      <c r="G1719" s="27"/>
      <c r="H1719" s="27"/>
      <c r="I1719" s="27"/>
      <c r="J1719" s="27"/>
      <c r="K1719" s="27"/>
      <c r="L1719" s="27"/>
      <c r="M1719" s="27"/>
      <c r="N1719" s="27"/>
      <c r="O1719" s="27"/>
      <c r="P1719" s="27"/>
      <c r="Q1719" s="27"/>
      <c r="R1719" s="27"/>
      <c r="S1719" s="27"/>
      <c r="T1719" s="27"/>
      <c r="U1719" s="27"/>
      <c r="V1719" s="27"/>
      <c r="W1719" s="27"/>
      <c r="X1719" s="27"/>
      <c r="Y1719" s="27"/>
      <c r="Z1719" s="27"/>
    </row>
    <row r="1720" customHeight="1" spans="1:26">
      <c r="A1720" s="26"/>
      <c r="B1720" s="26"/>
      <c r="C1720" s="26"/>
      <c r="D1720" s="26"/>
      <c r="E1720" s="26"/>
      <c r="F1720" s="26"/>
      <c r="G1720" s="26"/>
      <c r="H1720" s="26"/>
      <c r="I1720" s="26"/>
      <c r="J1720" s="26"/>
      <c r="K1720" s="26"/>
      <c r="L1720" s="26"/>
      <c r="M1720" s="26"/>
      <c r="N1720" s="26"/>
      <c r="O1720" s="26"/>
      <c r="P1720" s="26"/>
      <c r="Q1720" s="26"/>
      <c r="R1720" s="26"/>
      <c r="S1720" s="26"/>
      <c r="T1720" s="26"/>
      <c r="U1720" s="26"/>
      <c r="V1720" s="26"/>
      <c r="W1720" s="26"/>
      <c r="X1720" s="26"/>
      <c r="Y1720" s="26"/>
      <c r="Z1720" s="26"/>
    </row>
    <row r="1721" customHeight="1" spans="1:26">
      <c r="A1721" s="27"/>
      <c r="B1721" s="27"/>
      <c r="C1721" s="27"/>
      <c r="D1721" s="27"/>
      <c r="E1721" s="27"/>
      <c r="F1721" s="27"/>
      <c r="G1721" s="27"/>
      <c r="H1721" s="27"/>
      <c r="I1721" s="27"/>
      <c r="J1721" s="27"/>
      <c r="K1721" s="27"/>
      <c r="L1721" s="27"/>
      <c r="M1721" s="27"/>
      <c r="N1721" s="27"/>
      <c r="O1721" s="27"/>
      <c r="P1721" s="27"/>
      <c r="Q1721" s="27"/>
      <c r="R1721" s="27"/>
      <c r="S1721" s="27"/>
      <c r="T1721" s="27"/>
      <c r="U1721" s="27"/>
      <c r="V1721" s="27"/>
      <c r="W1721" s="27"/>
      <c r="X1721" s="27"/>
      <c r="Y1721" s="27"/>
      <c r="Z1721" s="27"/>
    </row>
    <row r="1722" customHeight="1" spans="1:26">
      <c r="A1722" s="26"/>
      <c r="B1722" s="26"/>
      <c r="C1722" s="26"/>
      <c r="D1722" s="26"/>
      <c r="E1722" s="26"/>
      <c r="F1722" s="26"/>
      <c r="G1722" s="26"/>
      <c r="H1722" s="26"/>
      <c r="I1722" s="26"/>
      <c r="J1722" s="26"/>
      <c r="K1722" s="26"/>
      <c r="L1722" s="26"/>
      <c r="M1722" s="26"/>
      <c r="N1722" s="26"/>
      <c r="O1722" s="26"/>
      <c r="P1722" s="26"/>
      <c r="Q1722" s="26"/>
      <c r="R1722" s="26"/>
      <c r="S1722" s="26"/>
      <c r="T1722" s="26"/>
      <c r="U1722" s="26"/>
      <c r="V1722" s="26"/>
      <c r="W1722" s="26"/>
      <c r="X1722" s="26"/>
      <c r="Y1722" s="26"/>
      <c r="Z1722" s="26"/>
    </row>
    <row r="1723" customHeight="1" spans="1:26">
      <c r="A1723" s="27"/>
      <c r="B1723" s="27"/>
      <c r="C1723" s="27"/>
      <c r="D1723" s="27"/>
      <c r="E1723" s="27"/>
      <c r="F1723" s="27"/>
      <c r="G1723" s="27"/>
      <c r="H1723" s="27"/>
      <c r="I1723" s="27"/>
      <c r="J1723" s="27"/>
      <c r="K1723" s="27"/>
      <c r="L1723" s="27"/>
      <c r="M1723" s="27"/>
      <c r="N1723" s="27"/>
      <c r="O1723" s="27"/>
      <c r="P1723" s="27"/>
      <c r="Q1723" s="27"/>
      <c r="R1723" s="27"/>
      <c r="S1723" s="27"/>
      <c r="T1723" s="27"/>
      <c r="U1723" s="27"/>
      <c r="V1723" s="27"/>
      <c r="W1723" s="27"/>
      <c r="X1723" s="27"/>
      <c r="Y1723" s="27"/>
      <c r="Z1723" s="27"/>
    </row>
    <row r="1724" customHeight="1" spans="1:26">
      <c r="A1724" s="26"/>
      <c r="B1724" s="26"/>
      <c r="C1724" s="26"/>
      <c r="D1724" s="26"/>
      <c r="E1724" s="26"/>
      <c r="F1724" s="26"/>
      <c r="G1724" s="26"/>
      <c r="H1724" s="26"/>
      <c r="I1724" s="26"/>
      <c r="J1724" s="26"/>
      <c r="K1724" s="26"/>
      <c r="L1724" s="26"/>
      <c r="M1724" s="26"/>
      <c r="N1724" s="26"/>
      <c r="O1724" s="26"/>
      <c r="P1724" s="26"/>
      <c r="Q1724" s="26"/>
      <c r="R1724" s="26"/>
      <c r="S1724" s="26"/>
      <c r="T1724" s="26"/>
      <c r="U1724" s="26"/>
      <c r="V1724" s="26"/>
      <c r="W1724" s="26"/>
      <c r="X1724" s="26"/>
      <c r="Y1724" s="26"/>
      <c r="Z1724" s="26"/>
    </row>
    <row r="1725" customHeight="1" spans="1:26">
      <c r="A1725" s="27"/>
      <c r="B1725" s="27"/>
      <c r="C1725" s="27"/>
      <c r="D1725" s="27"/>
      <c r="E1725" s="27"/>
      <c r="F1725" s="27"/>
      <c r="G1725" s="27"/>
      <c r="H1725" s="27"/>
      <c r="I1725" s="27"/>
      <c r="J1725" s="27"/>
      <c r="K1725" s="27"/>
      <c r="L1725" s="27"/>
      <c r="M1725" s="27"/>
      <c r="N1725" s="27"/>
      <c r="O1725" s="27"/>
      <c r="P1725" s="27"/>
      <c r="Q1725" s="27"/>
      <c r="R1725" s="27"/>
      <c r="S1725" s="27"/>
      <c r="T1725" s="27"/>
      <c r="U1725" s="27"/>
      <c r="V1725" s="27"/>
      <c r="W1725" s="27"/>
      <c r="X1725" s="27"/>
      <c r="Y1725" s="27"/>
      <c r="Z1725" s="27"/>
    </row>
    <row r="1726" customHeight="1" spans="1:26">
      <c r="A1726" s="26"/>
      <c r="B1726" s="26"/>
      <c r="C1726" s="26"/>
      <c r="D1726" s="26"/>
      <c r="E1726" s="26"/>
      <c r="F1726" s="26"/>
      <c r="G1726" s="26"/>
      <c r="H1726" s="26"/>
      <c r="I1726" s="26"/>
      <c r="J1726" s="26"/>
      <c r="K1726" s="26"/>
      <c r="L1726" s="26"/>
      <c r="M1726" s="26"/>
      <c r="N1726" s="26"/>
      <c r="O1726" s="26"/>
      <c r="P1726" s="26"/>
      <c r="Q1726" s="26"/>
      <c r="R1726" s="26"/>
      <c r="S1726" s="26"/>
      <c r="T1726" s="26"/>
      <c r="U1726" s="26"/>
      <c r="V1726" s="26"/>
      <c r="W1726" s="26"/>
      <c r="X1726" s="26"/>
      <c r="Y1726" s="26"/>
      <c r="Z1726" s="26"/>
    </row>
    <row r="1727" customHeight="1" spans="1:26">
      <c r="A1727" s="27"/>
      <c r="B1727" s="27"/>
      <c r="C1727" s="27"/>
      <c r="D1727" s="27"/>
      <c r="E1727" s="27"/>
      <c r="F1727" s="27"/>
      <c r="G1727" s="27"/>
      <c r="H1727" s="27"/>
      <c r="I1727" s="27"/>
      <c r="J1727" s="27"/>
      <c r="K1727" s="27"/>
      <c r="L1727" s="27"/>
      <c r="M1727" s="27"/>
      <c r="N1727" s="27"/>
      <c r="O1727" s="27"/>
      <c r="P1727" s="27"/>
      <c r="Q1727" s="27"/>
      <c r="R1727" s="27"/>
      <c r="S1727" s="27"/>
      <c r="T1727" s="27"/>
      <c r="U1727" s="27"/>
      <c r="V1727" s="27"/>
      <c r="W1727" s="27"/>
      <c r="X1727" s="27"/>
      <c r="Y1727" s="27"/>
      <c r="Z1727" s="27"/>
    </row>
    <row r="1728" customHeight="1" spans="1:26">
      <c r="A1728" s="26"/>
      <c r="B1728" s="26"/>
      <c r="C1728" s="26"/>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row>
    <row r="1729" customHeight="1" spans="1:26">
      <c r="A1729" s="27"/>
      <c r="B1729" s="27"/>
      <c r="C1729" s="27"/>
      <c r="D1729" s="27"/>
      <c r="E1729" s="27"/>
      <c r="F1729" s="27"/>
      <c r="G1729" s="27"/>
      <c r="H1729" s="27"/>
      <c r="I1729" s="27"/>
      <c r="J1729" s="27"/>
      <c r="K1729" s="27"/>
      <c r="L1729" s="27"/>
      <c r="M1729" s="27"/>
      <c r="N1729" s="27"/>
      <c r="O1729" s="27"/>
      <c r="P1729" s="27"/>
      <c r="Q1729" s="27"/>
      <c r="R1729" s="27"/>
      <c r="S1729" s="27"/>
      <c r="T1729" s="27"/>
      <c r="U1729" s="27"/>
      <c r="V1729" s="27"/>
      <c r="W1729" s="27"/>
      <c r="X1729" s="27"/>
      <c r="Y1729" s="27"/>
      <c r="Z1729" s="27"/>
    </row>
    <row r="1730" customHeight="1" spans="1:26">
      <c r="A1730" s="26"/>
      <c r="B1730" s="26"/>
      <c r="C1730" s="26"/>
      <c r="D1730" s="26"/>
      <c r="E1730" s="26"/>
      <c r="F1730" s="26"/>
      <c r="G1730" s="26"/>
      <c r="H1730" s="26"/>
      <c r="I1730" s="26"/>
      <c r="J1730" s="26"/>
      <c r="K1730" s="26"/>
      <c r="L1730" s="26"/>
      <c r="M1730" s="26"/>
      <c r="N1730" s="26"/>
      <c r="O1730" s="26"/>
      <c r="P1730" s="26"/>
      <c r="Q1730" s="26"/>
      <c r="R1730" s="26"/>
      <c r="S1730" s="26"/>
      <c r="T1730" s="26"/>
      <c r="U1730" s="26"/>
      <c r="V1730" s="26"/>
      <c r="W1730" s="26"/>
      <c r="X1730" s="26"/>
      <c r="Y1730" s="26"/>
      <c r="Z1730" s="26"/>
    </row>
    <row r="1731" customHeight="1" spans="1:26">
      <c r="A1731" s="27"/>
      <c r="B1731" s="27"/>
      <c r="C1731" s="27"/>
      <c r="D1731" s="27"/>
      <c r="E1731" s="27"/>
      <c r="F1731" s="27"/>
      <c r="G1731" s="27"/>
      <c r="H1731" s="27"/>
      <c r="I1731" s="27"/>
      <c r="J1731" s="27"/>
      <c r="K1731" s="27"/>
      <c r="L1731" s="27"/>
      <c r="M1731" s="27"/>
      <c r="N1731" s="27"/>
      <c r="O1731" s="27"/>
      <c r="P1731" s="27"/>
      <c r="Q1731" s="27"/>
      <c r="R1731" s="27"/>
      <c r="S1731" s="27"/>
      <c r="T1731" s="27"/>
      <c r="U1731" s="27"/>
      <c r="V1731" s="27"/>
      <c r="W1731" s="27"/>
      <c r="X1731" s="27"/>
      <c r="Y1731" s="27"/>
      <c r="Z1731" s="27"/>
    </row>
    <row r="1732" customHeight="1" spans="1:26">
      <c r="A1732" s="26"/>
      <c r="B1732" s="26"/>
      <c r="C1732" s="26"/>
      <c r="D1732" s="26"/>
      <c r="E1732" s="26"/>
      <c r="F1732" s="26"/>
      <c r="G1732" s="26"/>
      <c r="H1732" s="26"/>
      <c r="I1732" s="26"/>
      <c r="J1732" s="26"/>
      <c r="K1732" s="26"/>
      <c r="L1732" s="26"/>
      <c r="M1732" s="26"/>
      <c r="N1732" s="26"/>
      <c r="O1732" s="26"/>
      <c r="P1732" s="26"/>
      <c r="Q1732" s="26"/>
      <c r="R1732" s="26"/>
      <c r="S1732" s="26"/>
      <c r="T1732" s="26"/>
      <c r="U1732" s="26"/>
      <c r="V1732" s="26"/>
      <c r="W1732" s="26"/>
      <c r="X1732" s="26"/>
      <c r="Y1732" s="26"/>
      <c r="Z1732" s="26"/>
    </row>
    <row r="1733" customHeight="1" spans="1:26">
      <c r="A1733" s="27"/>
      <c r="B1733" s="27"/>
      <c r="C1733" s="27"/>
      <c r="D1733" s="27"/>
      <c r="E1733" s="27"/>
      <c r="F1733" s="27"/>
      <c r="G1733" s="27"/>
      <c r="H1733" s="27"/>
      <c r="I1733" s="27"/>
      <c r="J1733" s="27"/>
      <c r="K1733" s="27"/>
      <c r="L1733" s="27"/>
      <c r="M1733" s="27"/>
      <c r="N1733" s="27"/>
      <c r="O1733" s="27"/>
      <c r="P1733" s="27"/>
      <c r="Q1733" s="27"/>
      <c r="R1733" s="27"/>
      <c r="S1733" s="27"/>
      <c r="T1733" s="27"/>
      <c r="U1733" s="27"/>
      <c r="V1733" s="27"/>
      <c r="W1733" s="27"/>
      <c r="X1733" s="27"/>
      <c r="Y1733" s="27"/>
      <c r="Z1733" s="27"/>
    </row>
    <row r="1734" customHeight="1" spans="1:26">
      <c r="A1734" s="26"/>
      <c r="B1734" s="26"/>
      <c r="C1734" s="26"/>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row>
    <row r="1735" customHeight="1" spans="1:26">
      <c r="A1735" s="27"/>
      <c r="B1735" s="27"/>
      <c r="C1735" s="27"/>
      <c r="D1735" s="27"/>
      <c r="E1735" s="27"/>
      <c r="F1735" s="27"/>
      <c r="G1735" s="27"/>
      <c r="H1735" s="27"/>
      <c r="I1735" s="27"/>
      <c r="J1735" s="27"/>
      <c r="K1735" s="27"/>
      <c r="L1735" s="27"/>
      <c r="M1735" s="27"/>
      <c r="N1735" s="27"/>
      <c r="O1735" s="27"/>
      <c r="P1735" s="27"/>
      <c r="Q1735" s="27"/>
      <c r="R1735" s="27"/>
      <c r="S1735" s="27"/>
      <c r="T1735" s="27"/>
      <c r="U1735" s="27"/>
      <c r="V1735" s="27"/>
      <c r="W1735" s="27"/>
      <c r="X1735" s="27"/>
      <c r="Y1735" s="27"/>
      <c r="Z1735" s="27"/>
    </row>
    <row r="1736" customHeight="1" spans="1:26">
      <c r="A1736" s="26"/>
      <c r="B1736" s="26"/>
      <c r="C1736" s="26"/>
      <c r="D1736" s="26"/>
      <c r="E1736" s="26"/>
      <c r="F1736" s="26"/>
      <c r="G1736" s="26"/>
      <c r="H1736" s="26"/>
      <c r="I1736" s="26"/>
      <c r="J1736" s="26"/>
      <c r="K1736" s="26"/>
      <c r="L1736" s="26"/>
      <c r="M1736" s="26"/>
      <c r="N1736" s="26"/>
      <c r="O1736" s="26"/>
      <c r="P1736" s="26"/>
      <c r="Q1736" s="26"/>
      <c r="R1736" s="26"/>
      <c r="S1736" s="26"/>
      <c r="T1736" s="26"/>
      <c r="U1736" s="26"/>
      <c r="V1736" s="26"/>
      <c r="W1736" s="26"/>
      <c r="X1736" s="26"/>
      <c r="Y1736" s="26"/>
      <c r="Z1736" s="26"/>
    </row>
    <row r="1737" customHeight="1" spans="1:26">
      <c r="A1737" s="27"/>
      <c r="B1737" s="2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c r="Z1737" s="27"/>
    </row>
    <row r="1738" customHeight="1" spans="1:26">
      <c r="A1738" s="26"/>
      <c r="B1738" s="26"/>
      <c r="C1738" s="26"/>
      <c r="D1738" s="26"/>
      <c r="E1738" s="26"/>
      <c r="F1738" s="26"/>
      <c r="G1738" s="26"/>
      <c r="H1738" s="26"/>
      <c r="I1738" s="26"/>
      <c r="J1738" s="26"/>
      <c r="K1738" s="26"/>
      <c r="L1738" s="26"/>
      <c r="M1738" s="26"/>
      <c r="N1738" s="26"/>
      <c r="O1738" s="26"/>
      <c r="P1738" s="26"/>
      <c r="Q1738" s="26"/>
      <c r="R1738" s="26"/>
      <c r="S1738" s="26"/>
      <c r="T1738" s="26"/>
      <c r="U1738" s="26"/>
      <c r="V1738" s="26"/>
      <c r="W1738" s="26"/>
      <c r="X1738" s="26"/>
      <c r="Y1738" s="26"/>
      <c r="Z1738" s="26"/>
    </row>
    <row r="1739" customHeight="1" spans="1:26">
      <c r="A1739" s="27"/>
      <c r="B1739" s="27"/>
      <c r="C1739" s="27"/>
      <c r="D1739" s="27"/>
      <c r="E1739" s="27"/>
      <c r="F1739" s="27"/>
      <c r="G1739" s="27"/>
      <c r="H1739" s="27"/>
      <c r="I1739" s="27"/>
      <c r="J1739" s="27"/>
      <c r="K1739" s="27"/>
      <c r="L1739" s="27"/>
      <c r="M1739" s="27"/>
      <c r="N1739" s="27"/>
      <c r="O1739" s="27"/>
      <c r="P1739" s="27"/>
      <c r="Q1739" s="27"/>
      <c r="R1739" s="27"/>
      <c r="S1739" s="27"/>
      <c r="T1739" s="27"/>
      <c r="U1739" s="27"/>
      <c r="V1739" s="27"/>
      <c r="W1739" s="27"/>
      <c r="X1739" s="27"/>
      <c r="Y1739" s="27"/>
      <c r="Z1739" s="27"/>
    </row>
    <row r="1740" customHeight="1" spans="1:26">
      <c r="A1740" s="26"/>
      <c r="B1740" s="26"/>
      <c r="C1740" s="26"/>
      <c r="D1740" s="26"/>
      <c r="E1740" s="26"/>
      <c r="F1740" s="26"/>
      <c r="G1740" s="26"/>
      <c r="H1740" s="26"/>
      <c r="I1740" s="26"/>
      <c r="J1740" s="26"/>
      <c r="K1740" s="26"/>
      <c r="L1740" s="26"/>
      <c r="M1740" s="26"/>
      <c r="N1740" s="26"/>
      <c r="O1740" s="26"/>
      <c r="P1740" s="26"/>
      <c r="Q1740" s="26"/>
      <c r="R1740" s="26"/>
      <c r="S1740" s="26"/>
      <c r="T1740" s="26"/>
      <c r="U1740" s="26"/>
      <c r="V1740" s="26"/>
      <c r="W1740" s="26"/>
      <c r="X1740" s="26"/>
      <c r="Y1740" s="26"/>
      <c r="Z1740" s="26"/>
    </row>
    <row r="1741" customHeight="1" spans="1:26">
      <c r="A1741" s="27"/>
      <c r="B1741" s="27"/>
      <c r="C1741" s="27"/>
      <c r="D1741" s="27"/>
      <c r="E1741" s="27"/>
      <c r="F1741" s="27"/>
      <c r="G1741" s="27"/>
      <c r="H1741" s="27"/>
      <c r="I1741" s="27"/>
      <c r="J1741" s="27"/>
      <c r="K1741" s="27"/>
      <c r="L1741" s="27"/>
      <c r="M1741" s="27"/>
      <c r="N1741" s="27"/>
      <c r="O1741" s="27"/>
      <c r="P1741" s="27"/>
      <c r="Q1741" s="27"/>
      <c r="R1741" s="27"/>
      <c r="S1741" s="27"/>
      <c r="T1741" s="27"/>
      <c r="U1741" s="27"/>
      <c r="V1741" s="27"/>
      <c r="W1741" s="27"/>
      <c r="X1741" s="27"/>
      <c r="Y1741" s="27"/>
      <c r="Z1741" s="27"/>
    </row>
    <row r="1742" customHeight="1" spans="1:26">
      <c r="A1742" s="26"/>
      <c r="B1742" s="26"/>
      <c r="C1742" s="26"/>
      <c r="D1742" s="26"/>
      <c r="E1742" s="26"/>
      <c r="F1742" s="26"/>
      <c r="G1742" s="26"/>
      <c r="H1742" s="26"/>
      <c r="I1742" s="26"/>
      <c r="J1742" s="26"/>
      <c r="K1742" s="26"/>
      <c r="L1742" s="26"/>
      <c r="M1742" s="26"/>
      <c r="N1742" s="26"/>
      <c r="O1742" s="26"/>
      <c r="P1742" s="26"/>
      <c r="Q1742" s="26"/>
      <c r="R1742" s="26"/>
      <c r="S1742" s="26"/>
      <c r="T1742" s="26"/>
      <c r="U1742" s="26"/>
      <c r="V1742" s="26"/>
      <c r="W1742" s="26"/>
      <c r="X1742" s="26"/>
      <c r="Y1742" s="26"/>
      <c r="Z1742" s="26"/>
    </row>
    <row r="1743" customHeight="1" spans="1:26">
      <c r="A1743" s="27"/>
      <c r="B1743" s="27"/>
      <c r="C1743" s="27"/>
      <c r="D1743" s="27"/>
      <c r="E1743" s="27"/>
      <c r="F1743" s="27"/>
      <c r="G1743" s="27"/>
      <c r="H1743" s="27"/>
      <c r="I1743" s="27"/>
      <c r="J1743" s="27"/>
      <c r="K1743" s="27"/>
      <c r="L1743" s="27"/>
      <c r="M1743" s="27"/>
      <c r="N1743" s="27"/>
      <c r="O1743" s="27"/>
      <c r="P1743" s="27"/>
      <c r="Q1743" s="27"/>
      <c r="R1743" s="27"/>
      <c r="S1743" s="27"/>
      <c r="T1743" s="27"/>
      <c r="U1743" s="27"/>
      <c r="V1743" s="27"/>
      <c r="W1743" s="27"/>
      <c r="X1743" s="27"/>
      <c r="Y1743" s="27"/>
      <c r="Z1743" s="27"/>
    </row>
    <row r="1744" customHeight="1" spans="1:26">
      <c r="A1744" s="26"/>
      <c r="B1744" s="26"/>
      <c r="C1744" s="26"/>
      <c r="D1744" s="26"/>
      <c r="E1744" s="26"/>
      <c r="F1744" s="26"/>
      <c r="G1744" s="26"/>
      <c r="H1744" s="26"/>
      <c r="I1744" s="26"/>
      <c r="J1744" s="26"/>
      <c r="K1744" s="26"/>
      <c r="L1744" s="26"/>
      <c r="M1744" s="26"/>
      <c r="N1744" s="26"/>
      <c r="O1744" s="26"/>
      <c r="P1744" s="26"/>
      <c r="Q1744" s="26"/>
      <c r="R1744" s="26"/>
      <c r="S1744" s="26"/>
      <c r="T1744" s="26"/>
      <c r="U1744" s="26"/>
      <c r="V1744" s="26"/>
      <c r="W1744" s="26"/>
      <c r="X1744" s="26"/>
      <c r="Y1744" s="26"/>
      <c r="Z1744" s="26"/>
    </row>
    <row r="1745" customHeight="1" spans="1:26">
      <c r="A1745" s="27"/>
      <c r="B1745" s="27"/>
      <c r="C1745" s="27"/>
      <c r="D1745" s="27"/>
      <c r="E1745" s="27"/>
      <c r="F1745" s="27"/>
      <c r="G1745" s="27"/>
      <c r="H1745" s="27"/>
      <c r="I1745" s="27"/>
      <c r="J1745" s="27"/>
      <c r="K1745" s="27"/>
      <c r="L1745" s="27"/>
      <c r="M1745" s="27"/>
      <c r="N1745" s="27"/>
      <c r="O1745" s="27"/>
      <c r="P1745" s="27"/>
      <c r="Q1745" s="27"/>
      <c r="R1745" s="27"/>
      <c r="S1745" s="27"/>
      <c r="T1745" s="27"/>
      <c r="U1745" s="27"/>
      <c r="V1745" s="27"/>
      <c r="W1745" s="27"/>
      <c r="X1745" s="27"/>
      <c r="Y1745" s="27"/>
      <c r="Z1745" s="27"/>
    </row>
    <row r="1746" customHeight="1" spans="1:26">
      <c r="A1746" s="26"/>
      <c r="B1746" s="26"/>
      <c r="C1746" s="26"/>
      <c r="D1746" s="26"/>
      <c r="E1746" s="26"/>
      <c r="F1746" s="26"/>
      <c r="G1746" s="26"/>
      <c r="H1746" s="26"/>
      <c r="I1746" s="26"/>
      <c r="J1746" s="26"/>
      <c r="K1746" s="26"/>
      <c r="L1746" s="26"/>
      <c r="M1746" s="26"/>
      <c r="N1746" s="26"/>
      <c r="O1746" s="26"/>
      <c r="P1746" s="26"/>
      <c r="Q1746" s="26"/>
      <c r="R1746" s="26"/>
      <c r="S1746" s="26"/>
      <c r="T1746" s="26"/>
      <c r="U1746" s="26"/>
      <c r="V1746" s="26"/>
      <c r="W1746" s="26"/>
      <c r="X1746" s="26"/>
      <c r="Y1746" s="26"/>
      <c r="Z1746" s="26"/>
    </row>
    <row r="1747" customHeight="1" spans="1:26">
      <c r="A1747" s="27"/>
      <c r="B1747" s="27"/>
      <c r="C1747" s="27"/>
      <c r="D1747" s="27"/>
      <c r="E1747" s="27"/>
      <c r="F1747" s="27"/>
      <c r="G1747" s="27"/>
      <c r="H1747" s="27"/>
      <c r="I1747" s="27"/>
      <c r="J1747" s="27"/>
      <c r="K1747" s="27"/>
      <c r="L1747" s="27"/>
      <c r="M1747" s="27"/>
      <c r="N1747" s="27"/>
      <c r="O1747" s="27"/>
      <c r="P1747" s="27"/>
      <c r="Q1747" s="27"/>
      <c r="R1747" s="27"/>
      <c r="S1747" s="27"/>
      <c r="T1747" s="27"/>
      <c r="U1747" s="27"/>
      <c r="V1747" s="27"/>
      <c r="W1747" s="27"/>
      <c r="X1747" s="27"/>
      <c r="Y1747" s="27"/>
      <c r="Z1747" s="27"/>
    </row>
    <row r="1748" customHeight="1" spans="1:26">
      <c r="A1748" s="26"/>
      <c r="B1748" s="26"/>
      <c r="C1748" s="26"/>
      <c r="D1748" s="26"/>
      <c r="E1748" s="26"/>
      <c r="F1748" s="26"/>
      <c r="G1748" s="26"/>
      <c r="H1748" s="26"/>
      <c r="I1748" s="26"/>
      <c r="J1748" s="26"/>
      <c r="K1748" s="26"/>
      <c r="L1748" s="26"/>
      <c r="M1748" s="26"/>
      <c r="N1748" s="26"/>
      <c r="O1748" s="26"/>
      <c r="P1748" s="26"/>
      <c r="Q1748" s="26"/>
      <c r="R1748" s="26"/>
      <c r="S1748" s="26"/>
      <c r="T1748" s="26"/>
      <c r="U1748" s="26"/>
      <c r="V1748" s="26"/>
      <c r="W1748" s="26"/>
      <c r="X1748" s="26"/>
      <c r="Y1748" s="26"/>
      <c r="Z1748" s="26"/>
    </row>
    <row r="1749" customHeight="1" spans="1:26">
      <c r="A1749" s="27"/>
      <c r="B1749" s="27"/>
      <c r="C1749" s="27"/>
      <c r="D1749" s="27"/>
      <c r="E1749" s="27"/>
      <c r="F1749" s="27"/>
      <c r="G1749" s="27"/>
      <c r="H1749" s="27"/>
      <c r="I1749" s="27"/>
      <c r="J1749" s="27"/>
      <c r="K1749" s="27"/>
      <c r="L1749" s="27"/>
      <c r="M1749" s="27"/>
      <c r="N1749" s="27"/>
      <c r="O1749" s="27"/>
      <c r="P1749" s="27"/>
      <c r="Q1749" s="27"/>
      <c r="R1749" s="27"/>
      <c r="S1749" s="27"/>
      <c r="T1749" s="27"/>
      <c r="U1749" s="27"/>
      <c r="V1749" s="27"/>
      <c r="W1749" s="27"/>
      <c r="X1749" s="27"/>
      <c r="Y1749" s="27"/>
      <c r="Z1749" s="27"/>
    </row>
    <row r="1750" customHeight="1" spans="1:26">
      <c r="A1750" s="26"/>
      <c r="B1750" s="26"/>
      <c r="C1750" s="26"/>
      <c r="D1750" s="26"/>
      <c r="E1750" s="26"/>
      <c r="F1750" s="26"/>
      <c r="G1750" s="26"/>
      <c r="H1750" s="26"/>
      <c r="I1750" s="26"/>
      <c r="J1750" s="26"/>
      <c r="K1750" s="26"/>
      <c r="L1750" s="26"/>
      <c r="M1750" s="26"/>
      <c r="N1750" s="26"/>
      <c r="O1750" s="26"/>
      <c r="P1750" s="26"/>
      <c r="Q1750" s="26"/>
      <c r="R1750" s="26"/>
      <c r="S1750" s="26"/>
      <c r="T1750" s="26"/>
      <c r="U1750" s="26"/>
      <c r="V1750" s="26"/>
      <c r="W1750" s="26"/>
      <c r="X1750" s="26"/>
      <c r="Y1750" s="26"/>
      <c r="Z1750" s="26"/>
    </row>
    <row r="1751" customHeight="1" spans="1:26">
      <c r="A1751" s="27"/>
      <c r="B1751" s="27"/>
      <c r="C1751" s="27"/>
      <c r="D1751" s="27"/>
      <c r="E1751" s="27"/>
      <c r="F1751" s="27"/>
      <c r="G1751" s="27"/>
      <c r="H1751" s="27"/>
      <c r="I1751" s="27"/>
      <c r="J1751" s="27"/>
      <c r="K1751" s="27"/>
      <c r="L1751" s="27"/>
      <c r="M1751" s="27"/>
      <c r="N1751" s="27"/>
      <c r="O1751" s="27"/>
      <c r="P1751" s="27"/>
      <c r="Q1751" s="27"/>
      <c r="R1751" s="27"/>
      <c r="S1751" s="27"/>
      <c r="T1751" s="27"/>
      <c r="U1751" s="27"/>
      <c r="V1751" s="27"/>
      <c r="W1751" s="27"/>
      <c r="X1751" s="27"/>
      <c r="Y1751" s="27"/>
      <c r="Z1751" s="27"/>
    </row>
    <row r="1752" customHeight="1" spans="1:26">
      <c r="A1752" s="26"/>
      <c r="B1752" s="26"/>
      <c r="C1752" s="26"/>
      <c r="D1752" s="26"/>
      <c r="E1752" s="26"/>
      <c r="F1752" s="26"/>
      <c r="G1752" s="26"/>
      <c r="H1752" s="26"/>
      <c r="I1752" s="26"/>
      <c r="J1752" s="26"/>
      <c r="K1752" s="26"/>
      <c r="L1752" s="26"/>
      <c r="M1752" s="26"/>
      <c r="N1752" s="26"/>
      <c r="O1752" s="26"/>
      <c r="P1752" s="26"/>
      <c r="Q1752" s="26"/>
      <c r="R1752" s="26"/>
      <c r="S1752" s="26"/>
      <c r="T1752" s="26"/>
      <c r="U1752" s="26"/>
      <c r="V1752" s="26"/>
      <c r="W1752" s="26"/>
      <c r="X1752" s="26"/>
      <c r="Y1752" s="26"/>
      <c r="Z1752" s="26"/>
    </row>
    <row r="1753" customHeight="1" spans="1:26">
      <c r="A1753" s="27"/>
      <c r="B1753" s="27"/>
      <c r="C1753" s="27"/>
      <c r="D1753" s="27"/>
      <c r="E1753" s="27"/>
      <c r="F1753" s="27"/>
      <c r="G1753" s="27"/>
      <c r="H1753" s="27"/>
      <c r="I1753" s="27"/>
      <c r="J1753" s="27"/>
      <c r="K1753" s="27"/>
      <c r="L1753" s="27"/>
      <c r="M1753" s="27"/>
      <c r="N1753" s="27"/>
      <c r="O1753" s="27"/>
      <c r="P1753" s="27"/>
      <c r="Q1753" s="27"/>
      <c r="R1753" s="27"/>
      <c r="S1753" s="27"/>
      <c r="T1753" s="27"/>
      <c r="U1753" s="27"/>
      <c r="V1753" s="27"/>
      <c r="W1753" s="27"/>
      <c r="X1753" s="27"/>
      <c r="Y1753" s="27"/>
      <c r="Z1753" s="27"/>
    </row>
    <row r="1754" customHeight="1" spans="1:26">
      <c r="A1754" s="26"/>
      <c r="B1754" s="26"/>
      <c r="C1754" s="26"/>
      <c r="D1754" s="26"/>
      <c r="E1754" s="26"/>
      <c r="F1754" s="26"/>
      <c r="G1754" s="26"/>
      <c r="H1754" s="26"/>
      <c r="I1754" s="26"/>
      <c r="J1754" s="26"/>
      <c r="K1754" s="26"/>
      <c r="L1754" s="26"/>
      <c r="M1754" s="26"/>
      <c r="N1754" s="26"/>
      <c r="O1754" s="26"/>
      <c r="P1754" s="26"/>
      <c r="Q1754" s="26"/>
      <c r="R1754" s="26"/>
      <c r="S1754" s="26"/>
      <c r="T1754" s="26"/>
      <c r="U1754" s="26"/>
      <c r="V1754" s="26"/>
      <c r="W1754" s="26"/>
      <c r="X1754" s="26"/>
      <c r="Y1754" s="26"/>
      <c r="Z1754" s="26"/>
    </row>
    <row r="1755" customHeight="1" spans="1:26">
      <c r="A1755" s="27"/>
      <c r="B1755" s="27"/>
      <c r="C1755" s="27"/>
      <c r="D1755" s="27"/>
      <c r="E1755" s="27"/>
      <c r="F1755" s="27"/>
      <c r="G1755" s="27"/>
      <c r="H1755" s="27"/>
      <c r="I1755" s="27"/>
      <c r="J1755" s="27"/>
      <c r="K1755" s="27"/>
      <c r="L1755" s="27"/>
      <c r="M1755" s="27"/>
      <c r="N1755" s="27"/>
      <c r="O1755" s="27"/>
      <c r="P1755" s="27"/>
      <c r="Q1755" s="27"/>
      <c r="R1755" s="27"/>
      <c r="S1755" s="27"/>
      <c r="T1755" s="27"/>
      <c r="U1755" s="27"/>
      <c r="V1755" s="27"/>
      <c r="W1755" s="27"/>
      <c r="X1755" s="27"/>
      <c r="Y1755" s="27"/>
      <c r="Z1755" s="27"/>
    </row>
    <row r="1756" customHeight="1" spans="1:26">
      <c r="A1756" s="26"/>
      <c r="B1756" s="26"/>
      <c r="C1756" s="26"/>
      <c r="D1756" s="26"/>
      <c r="E1756" s="26"/>
      <c r="F1756" s="26"/>
      <c r="G1756" s="26"/>
      <c r="H1756" s="26"/>
      <c r="I1756" s="26"/>
      <c r="J1756" s="26"/>
      <c r="K1756" s="26"/>
      <c r="L1756" s="26"/>
      <c r="M1756" s="26"/>
      <c r="N1756" s="26"/>
      <c r="O1756" s="26"/>
      <c r="P1756" s="26"/>
      <c r="Q1756" s="26"/>
      <c r="R1756" s="26"/>
      <c r="S1756" s="26"/>
      <c r="T1756" s="26"/>
      <c r="U1756" s="26"/>
      <c r="V1756" s="26"/>
      <c r="W1756" s="26"/>
      <c r="X1756" s="26"/>
      <c r="Y1756" s="26"/>
      <c r="Z1756" s="26"/>
    </row>
    <row r="1757" customHeight="1" spans="1:26">
      <c r="A1757" s="27"/>
      <c r="B1757" s="27"/>
      <c r="C1757" s="27"/>
      <c r="D1757" s="27"/>
      <c r="E1757" s="27"/>
      <c r="F1757" s="27"/>
      <c r="G1757" s="27"/>
      <c r="H1757" s="27"/>
      <c r="I1757" s="27"/>
      <c r="J1757" s="27"/>
      <c r="K1757" s="27"/>
      <c r="L1757" s="27"/>
      <c r="M1757" s="27"/>
      <c r="N1757" s="27"/>
      <c r="O1757" s="27"/>
      <c r="P1757" s="27"/>
      <c r="Q1757" s="27"/>
      <c r="R1757" s="27"/>
      <c r="S1757" s="27"/>
      <c r="T1757" s="27"/>
      <c r="U1757" s="27"/>
      <c r="V1757" s="27"/>
      <c r="W1757" s="27"/>
      <c r="X1757" s="27"/>
      <c r="Y1757" s="27"/>
      <c r="Z1757" s="27"/>
    </row>
    <row r="1758" customHeight="1" spans="1:26">
      <c r="A1758" s="26"/>
      <c r="B1758" s="26"/>
      <c r="C1758" s="26"/>
      <c r="D1758" s="26"/>
      <c r="E1758" s="26"/>
      <c r="F1758" s="26"/>
      <c r="G1758" s="26"/>
      <c r="H1758" s="26"/>
      <c r="I1758" s="26"/>
      <c r="J1758" s="26"/>
      <c r="K1758" s="26"/>
      <c r="L1758" s="26"/>
      <c r="M1758" s="26"/>
      <c r="N1758" s="26"/>
      <c r="O1758" s="26"/>
      <c r="P1758" s="26"/>
      <c r="Q1758" s="26"/>
      <c r="R1758" s="26"/>
      <c r="S1758" s="26"/>
      <c r="T1758" s="26"/>
      <c r="U1758" s="26"/>
      <c r="V1758" s="26"/>
      <c r="W1758" s="26"/>
      <c r="X1758" s="26"/>
      <c r="Y1758" s="26"/>
      <c r="Z1758" s="26"/>
    </row>
    <row r="1759" customHeight="1" spans="1:26">
      <c r="A1759" s="27"/>
      <c r="B1759" s="27"/>
      <c r="C1759" s="27"/>
      <c r="D1759" s="27"/>
      <c r="E1759" s="27"/>
      <c r="F1759" s="27"/>
      <c r="G1759" s="27"/>
      <c r="H1759" s="27"/>
      <c r="I1759" s="27"/>
      <c r="J1759" s="27"/>
      <c r="K1759" s="27"/>
      <c r="L1759" s="27"/>
      <c r="M1759" s="27"/>
      <c r="N1759" s="27"/>
      <c r="O1759" s="27"/>
      <c r="P1759" s="27"/>
      <c r="Q1759" s="27"/>
      <c r="R1759" s="27"/>
      <c r="S1759" s="27"/>
      <c r="T1759" s="27"/>
      <c r="U1759" s="27"/>
      <c r="V1759" s="27"/>
      <c r="W1759" s="27"/>
      <c r="X1759" s="27"/>
      <c r="Y1759" s="27"/>
      <c r="Z1759" s="27"/>
    </row>
    <row r="1760" customHeight="1" spans="1:26">
      <c r="A1760" s="26"/>
      <c r="B1760" s="26"/>
      <c r="C1760" s="26"/>
      <c r="D1760" s="26"/>
      <c r="E1760" s="26"/>
      <c r="F1760" s="26"/>
      <c r="G1760" s="26"/>
      <c r="H1760" s="26"/>
      <c r="I1760" s="26"/>
      <c r="J1760" s="26"/>
      <c r="K1760" s="26"/>
      <c r="L1760" s="26"/>
      <c r="M1760" s="26"/>
      <c r="N1760" s="26"/>
      <c r="O1760" s="26"/>
      <c r="P1760" s="26"/>
      <c r="Q1760" s="26"/>
      <c r="R1760" s="26"/>
      <c r="S1760" s="26"/>
      <c r="T1760" s="26"/>
      <c r="U1760" s="26"/>
      <c r="V1760" s="26"/>
      <c r="W1760" s="26"/>
      <c r="X1760" s="26"/>
      <c r="Y1760" s="26"/>
      <c r="Z1760" s="26"/>
    </row>
    <row r="1761" customHeight="1" spans="1:26">
      <c r="A1761" s="27"/>
      <c r="B1761" s="27"/>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row>
    <row r="1762" customHeight="1" spans="1:26">
      <c r="A1762" s="26"/>
      <c r="B1762" s="26"/>
      <c r="C1762" s="26"/>
      <c r="D1762" s="26"/>
      <c r="E1762" s="26"/>
      <c r="F1762" s="26"/>
      <c r="G1762" s="26"/>
      <c r="H1762" s="26"/>
      <c r="I1762" s="26"/>
      <c r="J1762" s="26"/>
      <c r="K1762" s="26"/>
      <c r="L1762" s="26"/>
      <c r="M1762" s="26"/>
      <c r="N1762" s="26"/>
      <c r="O1762" s="26"/>
      <c r="P1762" s="26"/>
      <c r="Q1762" s="26"/>
      <c r="R1762" s="26"/>
      <c r="S1762" s="26"/>
      <c r="T1762" s="26"/>
      <c r="U1762" s="26"/>
      <c r="V1762" s="26"/>
      <c r="W1762" s="26"/>
      <c r="X1762" s="26"/>
      <c r="Y1762" s="26"/>
      <c r="Z1762" s="26"/>
    </row>
    <row r="1763" customHeight="1" spans="1:26">
      <c r="A1763" s="27"/>
      <c r="B1763" s="27"/>
      <c r="C1763" s="27"/>
      <c r="D1763" s="27"/>
      <c r="E1763" s="27"/>
      <c r="F1763" s="27"/>
      <c r="G1763" s="27"/>
      <c r="H1763" s="27"/>
      <c r="I1763" s="27"/>
      <c r="J1763" s="27"/>
      <c r="K1763" s="27"/>
      <c r="L1763" s="27"/>
      <c r="M1763" s="27"/>
      <c r="N1763" s="27"/>
      <c r="O1763" s="27"/>
      <c r="P1763" s="27"/>
      <c r="Q1763" s="27"/>
      <c r="R1763" s="27"/>
      <c r="S1763" s="27"/>
      <c r="T1763" s="27"/>
      <c r="U1763" s="27"/>
      <c r="V1763" s="27"/>
      <c r="W1763" s="27"/>
      <c r="X1763" s="27"/>
      <c r="Y1763" s="27"/>
      <c r="Z1763" s="27"/>
    </row>
    <row r="1764" customHeight="1" spans="1:26">
      <c r="A1764" s="26"/>
      <c r="B1764" s="26"/>
      <c r="C1764" s="26"/>
      <c r="D1764" s="26"/>
      <c r="E1764" s="26"/>
      <c r="F1764" s="26"/>
      <c r="G1764" s="26"/>
      <c r="H1764" s="26"/>
      <c r="I1764" s="26"/>
      <c r="J1764" s="26"/>
      <c r="K1764" s="26"/>
      <c r="L1764" s="26"/>
      <c r="M1764" s="26"/>
      <c r="N1764" s="26"/>
      <c r="O1764" s="26"/>
      <c r="P1764" s="26"/>
      <c r="Q1764" s="26"/>
      <c r="R1764" s="26"/>
      <c r="S1764" s="26"/>
      <c r="T1764" s="26"/>
      <c r="U1764" s="26"/>
      <c r="V1764" s="26"/>
      <c r="W1764" s="26"/>
      <c r="X1764" s="26"/>
      <c r="Y1764" s="26"/>
      <c r="Z1764" s="26"/>
    </row>
    <row r="1765" customHeight="1" spans="1:26">
      <c r="A1765" s="27"/>
      <c r="B1765" s="27"/>
      <c r="C1765" s="27"/>
      <c r="D1765" s="27"/>
      <c r="E1765" s="27"/>
      <c r="F1765" s="27"/>
      <c r="G1765" s="27"/>
      <c r="H1765" s="27"/>
      <c r="I1765" s="27"/>
      <c r="J1765" s="27"/>
      <c r="K1765" s="27"/>
      <c r="L1765" s="27"/>
      <c r="M1765" s="27"/>
      <c r="N1765" s="27"/>
      <c r="O1765" s="27"/>
      <c r="P1765" s="27"/>
      <c r="Q1765" s="27"/>
      <c r="R1765" s="27"/>
      <c r="S1765" s="27"/>
      <c r="T1765" s="27"/>
      <c r="U1765" s="27"/>
      <c r="V1765" s="27"/>
      <c r="W1765" s="27"/>
      <c r="X1765" s="27"/>
      <c r="Y1765" s="27"/>
      <c r="Z1765" s="27"/>
    </row>
    <row r="1766" customHeight="1" spans="1:26">
      <c r="A1766" s="26"/>
      <c r="B1766" s="26"/>
      <c r="C1766" s="26"/>
      <c r="D1766" s="26"/>
      <c r="E1766" s="26"/>
      <c r="F1766" s="26"/>
      <c r="G1766" s="26"/>
      <c r="H1766" s="26"/>
      <c r="I1766" s="26"/>
      <c r="J1766" s="26"/>
      <c r="K1766" s="26"/>
      <c r="L1766" s="26"/>
      <c r="M1766" s="26"/>
      <c r="N1766" s="26"/>
      <c r="O1766" s="26"/>
      <c r="P1766" s="26"/>
      <c r="Q1766" s="26"/>
      <c r="R1766" s="26"/>
      <c r="S1766" s="26"/>
      <c r="T1766" s="26"/>
      <c r="U1766" s="26"/>
      <c r="V1766" s="26"/>
      <c r="W1766" s="26"/>
      <c r="X1766" s="26"/>
      <c r="Y1766" s="26"/>
      <c r="Z1766" s="26"/>
    </row>
    <row r="1767" customHeight="1" spans="1:26">
      <c r="A1767" s="27"/>
      <c r="B1767" s="2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27"/>
      <c r="Y1767" s="27"/>
      <c r="Z1767" s="27"/>
    </row>
    <row r="1768" customHeight="1" spans="1:26">
      <c r="A1768" s="26"/>
      <c r="B1768" s="26"/>
      <c r="C1768" s="26"/>
      <c r="D1768" s="26"/>
      <c r="E1768" s="26"/>
      <c r="F1768" s="26"/>
      <c r="G1768" s="26"/>
      <c r="H1768" s="26"/>
      <c r="I1768" s="26"/>
      <c r="J1768" s="26"/>
      <c r="K1768" s="26"/>
      <c r="L1768" s="26"/>
      <c r="M1768" s="26"/>
      <c r="N1768" s="26"/>
      <c r="O1768" s="26"/>
      <c r="P1768" s="26"/>
      <c r="Q1768" s="26"/>
      <c r="R1768" s="26"/>
      <c r="S1768" s="26"/>
      <c r="T1768" s="26"/>
      <c r="U1768" s="26"/>
      <c r="V1768" s="26"/>
      <c r="W1768" s="26"/>
      <c r="X1768" s="26"/>
      <c r="Y1768" s="26"/>
      <c r="Z1768" s="26"/>
    </row>
    <row r="1769" customHeight="1" spans="1:26">
      <c r="A1769" s="27"/>
      <c r="B1769" s="27"/>
      <c r="C1769" s="27"/>
      <c r="D1769" s="27"/>
      <c r="E1769" s="27"/>
      <c r="F1769" s="27"/>
      <c r="G1769" s="27"/>
      <c r="H1769" s="27"/>
      <c r="I1769" s="27"/>
      <c r="J1769" s="27"/>
      <c r="K1769" s="27"/>
      <c r="L1769" s="27"/>
      <c r="M1769" s="27"/>
      <c r="N1769" s="27"/>
      <c r="O1769" s="27"/>
      <c r="P1769" s="27"/>
      <c r="Q1769" s="27"/>
      <c r="R1769" s="27"/>
      <c r="S1769" s="27"/>
      <c r="T1769" s="27"/>
      <c r="U1769" s="27"/>
      <c r="V1769" s="27"/>
      <c r="W1769" s="27"/>
      <c r="X1769" s="27"/>
      <c r="Y1769" s="27"/>
      <c r="Z1769" s="27"/>
    </row>
    <row r="1770" customHeight="1" spans="1:26">
      <c r="A1770" s="26"/>
      <c r="B1770" s="26"/>
      <c r="C1770" s="26"/>
      <c r="D1770" s="26"/>
      <c r="E1770" s="26"/>
      <c r="F1770" s="26"/>
      <c r="G1770" s="26"/>
      <c r="H1770" s="26"/>
      <c r="I1770" s="26"/>
      <c r="J1770" s="26"/>
      <c r="K1770" s="26"/>
      <c r="L1770" s="26"/>
      <c r="M1770" s="26"/>
      <c r="N1770" s="26"/>
      <c r="O1770" s="26"/>
      <c r="P1770" s="26"/>
      <c r="Q1770" s="26"/>
      <c r="R1770" s="26"/>
      <c r="S1770" s="26"/>
      <c r="T1770" s="26"/>
      <c r="U1770" s="26"/>
      <c r="V1770" s="26"/>
      <c r="W1770" s="26"/>
      <c r="X1770" s="26"/>
      <c r="Y1770" s="26"/>
      <c r="Z1770" s="26"/>
    </row>
    <row r="1771" customHeight="1" spans="1:26">
      <c r="A1771" s="27"/>
      <c r="B1771" s="27"/>
      <c r="C1771" s="27"/>
      <c r="D1771" s="27"/>
      <c r="E1771" s="27"/>
      <c r="F1771" s="27"/>
      <c r="G1771" s="27"/>
      <c r="H1771" s="27"/>
      <c r="I1771" s="27"/>
      <c r="J1771" s="27"/>
      <c r="K1771" s="27"/>
      <c r="L1771" s="27"/>
      <c r="M1771" s="27"/>
      <c r="N1771" s="27"/>
      <c r="O1771" s="27"/>
      <c r="P1771" s="27"/>
      <c r="Q1771" s="27"/>
      <c r="R1771" s="27"/>
      <c r="S1771" s="27"/>
      <c r="T1771" s="27"/>
      <c r="U1771" s="27"/>
      <c r="V1771" s="27"/>
      <c r="W1771" s="27"/>
      <c r="X1771" s="27"/>
      <c r="Y1771" s="27"/>
      <c r="Z1771" s="27"/>
    </row>
    <row r="1772" customHeight="1" spans="1:26">
      <c r="A1772" s="26"/>
      <c r="B1772" s="26"/>
      <c r="C1772" s="26"/>
      <c r="D1772" s="26"/>
      <c r="E1772" s="26"/>
      <c r="F1772" s="26"/>
      <c r="G1772" s="26"/>
      <c r="H1772" s="26"/>
      <c r="I1772" s="26"/>
      <c r="J1772" s="26"/>
      <c r="K1772" s="26"/>
      <c r="L1772" s="26"/>
      <c r="M1772" s="26"/>
      <c r="N1772" s="26"/>
      <c r="O1772" s="26"/>
      <c r="P1772" s="26"/>
      <c r="Q1772" s="26"/>
      <c r="R1772" s="26"/>
      <c r="S1772" s="26"/>
      <c r="T1772" s="26"/>
      <c r="U1772" s="26"/>
      <c r="V1772" s="26"/>
      <c r="W1772" s="26"/>
      <c r="X1772" s="26"/>
      <c r="Y1772" s="26"/>
      <c r="Z1772" s="26"/>
    </row>
    <row r="1773" customHeight="1" spans="1:26">
      <c r="A1773" s="27"/>
      <c r="B1773" s="27"/>
      <c r="C1773" s="27"/>
      <c r="D1773" s="27"/>
      <c r="E1773" s="27"/>
      <c r="F1773" s="27"/>
      <c r="G1773" s="27"/>
      <c r="H1773" s="27"/>
      <c r="I1773" s="27"/>
      <c r="J1773" s="27"/>
      <c r="K1773" s="27"/>
      <c r="L1773" s="27"/>
      <c r="M1773" s="27"/>
      <c r="N1773" s="27"/>
      <c r="O1773" s="27"/>
      <c r="P1773" s="27"/>
      <c r="Q1773" s="27"/>
      <c r="R1773" s="27"/>
      <c r="S1773" s="27"/>
      <c r="T1773" s="27"/>
      <c r="U1773" s="27"/>
      <c r="V1773" s="27"/>
      <c r="W1773" s="27"/>
      <c r="X1773" s="27"/>
      <c r="Y1773" s="27"/>
      <c r="Z1773" s="27"/>
    </row>
    <row r="1774" customHeight="1" spans="1:26">
      <c r="A1774" s="26"/>
      <c r="B1774" s="26"/>
      <c r="C1774" s="26"/>
      <c r="D1774" s="26"/>
      <c r="E1774" s="26"/>
      <c r="F1774" s="26"/>
      <c r="G1774" s="26"/>
      <c r="H1774" s="26"/>
      <c r="I1774" s="26"/>
      <c r="J1774" s="26"/>
      <c r="K1774" s="26"/>
      <c r="L1774" s="26"/>
      <c r="M1774" s="26"/>
      <c r="N1774" s="26"/>
      <c r="O1774" s="26"/>
      <c r="P1774" s="26"/>
      <c r="Q1774" s="26"/>
      <c r="R1774" s="26"/>
      <c r="S1774" s="26"/>
      <c r="T1774" s="26"/>
      <c r="U1774" s="26"/>
      <c r="V1774" s="26"/>
      <c r="W1774" s="26"/>
      <c r="X1774" s="26"/>
      <c r="Y1774" s="26"/>
      <c r="Z1774" s="26"/>
    </row>
    <row r="1775" customHeight="1" spans="1:26">
      <c r="A1775" s="27"/>
      <c r="B1775" s="27"/>
      <c r="C1775" s="27"/>
      <c r="D1775" s="27"/>
      <c r="E1775" s="27"/>
      <c r="F1775" s="27"/>
      <c r="G1775" s="27"/>
      <c r="H1775" s="27"/>
      <c r="I1775" s="27"/>
      <c r="J1775" s="27"/>
      <c r="K1775" s="27"/>
      <c r="L1775" s="27"/>
      <c r="M1775" s="27"/>
      <c r="N1775" s="27"/>
      <c r="O1775" s="27"/>
      <c r="P1775" s="27"/>
      <c r="Q1775" s="27"/>
      <c r="R1775" s="27"/>
      <c r="S1775" s="27"/>
      <c r="T1775" s="27"/>
      <c r="U1775" s="27"/>
      <c r="V1775" s="27"/>
      <c r="W1775" s="27"/>
      <c r="X1775" s="27"/>
      <c r="Y1775" s="27"/>
      <c r="Z1775" s="27"/>
    </row>
    <row r="1776" customHeight="1" spans="1:26">
      <c r="A1776" s="26"/>
      <c r="B1776" s="26"/>
      <c r="C1776" s="26"/>
      <c r="D1776" s="26"/>
      <c r="E1776" s="26"/>
      <c r="F1776" s="26"/>
      <c r="G1776" s="26"/>
      <c r="H1776" s="26"/>
      <c r="I1776" s="26"/>
      <c r="J1776" s="26"/>
      <c r="K1776" s="26"/>
      <c r="L1776" s="26"/>
      <c r="M1776" s="26"/>
      <c r="N1776" s="26"/>
      <c r="O1776" s="26"/>
      <c r="P1776" s="26"/>
      <c r="Q1776" s="26"/>
      <c r="R1776" s="26"/>
      <c r="S1776" s="26"/>
      <c r="T1776" s="26"/>
      <c r="U1776" s="26"/>
      <c r="V1776" s="26"/>
      <c r="W1776" s="26"/>
      <c r="X1776" s="26"/>
      <c r="Y1776" s="26"/>
      <c r="Z1776" s="26"/>
    </row>
    <row r="1777" customHeight="1" spans="1:26">
      <c r="A1777" s="27"/>
      <c r="B1777" s="27"/>
      <c r="C1777" s="27"/>
      <c r="D1777" s="27"/>
      <c r="E1777" s="27"/>
      <c r="F1777" s="27"/>
      <c r="G1777" s="27"/>
      <c r="H1777" s="27"/>
      <c r="I1777" s="27"/>
      <c r="J1777" s="27"/>
      <c r="K1777" s="27"/>
      <c r="L1777" s="27"/>
      <c r="M1777" s="27"/>
      <c r="N1777" s="27"/>
      <c r="O1777" s="27"/>
      <c r="P1777" s="27"/>
      <c r="Q1777" s="27"/>
      <c r="R1777" s="27"/>
      <c r="S1777" s="27"/>
      <c r="T1777" s="27"/>
      <c r="U1777" s="27"/>
      <c r="V1777" s="27"/>
      <c r="W1777" s="27"/>
      <c r="X1777" s="27"/>
      <c r="Y1777" s="27"/>
      <c r="Z1777" s="27"/>
    </row>
    <row r="1778" customHeight="1" spans="1:26">
      <c r="A1778" s="26"/>
      <c r="B1778" s="26"/>
      <c r="C1778" s="26"/>
      <c r="D1778" s="26"/>
      <c r="E1778" s="26"/>
      <c r="F1778" s="26"/>
      <c r="G1778" s="26"/>
      <c r="H1778" s="26"/>
      <c r="I1778" s="26"/>
      <c r="J1778" s="26"/>
      <c r="K1778" s="26"/>
      <c r="L1778" s="26"/>
      <c r="M1778" s="26"/>
      <c r="N1778" s="26"/>
      <c r="O1778" s="26"/>
      <c r="P1778" s="26"/>
      <c r="Q1778" s="26"/>
      <c r="R1778" s="26"/>
      <c r="S1778" s="26"/>
      <c r="T1778" s="26"/>
      <c r="U1778" s="26"/>
      <c r="V1778" s="26"/>
      <c r="W1778" s="26"/>
      <c r="X1778" s="26"/>
      <c r="Y1778" s="26"/>
      <c r="Z1778" s="26"/>
    </row>
    <row r="1779" customHeight="1" spans="1:26">
      <c r="A1779" s="27"/>
      <c r="B1779" s="27"/>
      <c r="C1779" s="27"/>
      <c r="D1779" s="27"/>
      <c r="E1779" s="27"/>
      <c r="F1779" s="27"/>
      <c r="G1779" s="27"/>
      <c r="H1779" s="27"/>
      <c r="I1779" s="27"/>
      <c r="J1779" s="27"/>
      <c r="K1779" s="27"/>
      <c r="L1779" s="27"/>
      <c r="M1779" s="27"/>
      <c r="N1779" s="27"/>
      <c r="O1779" s="27"/>
      <c r="P1779" s="27"/>
      <c r="Q1779" s="27"/>
      <c r="R1779" s="27"/>
      <c r="S1779" s="27"/>
      <c r="T1779" s="27"/>
      <c r="U1779" s="27"/>
      <c r="V1779" s="27"/>
      <c r="W1779" s="27"/>
      <c r="X1779" s="27"/>
      <c r="Y1779" s="27"/>
      <c r="Z1779" s="27"/>
    </row>
    <row r="1780" customHeight="1" spans="1:26">
      <c r="A1780" s="26"/>
      <c r="B1780" s="26"/>
      <c r="C1780" s="26"/>
      <c r="D1780" s="26"/>
      <c r="E1780" s="26"/>
      <c r="F1780" s="26"/>
      <c r="G1780" s="26"/>
      <c r="H1780" s="26"/>
      <c r="I1780" s="26"/>
      <c r="J1780" s="26"/>
      <c r="K1780" s="26"/>
      <c r="L1780" s="26"/>
      <c r="M1780" s="26"/>
      <c r="N1780" s="26"/>
      <c r="O1780" s="26"/>
      <c r="P1780" s="26"/>
      <c r="Q1780" s="26"/>
      <c r="R1780" s="26"/>
      <c r="S1780" s="26"/>
      <c r="T1780" s="26"/>
      <c r="U1780" s="26"/>
      <c r="V1780" s="26"/>
      <c r="W1780" s="26"/>
      <c r="X1780" s="26"/>
      <c r="Y1780" s="26"/>
      <c r="Z1780" s="26"/>
    </row>
    <row r="1781" customHeight="1" spans="1:26">
      <c r="A1781" s="27"/>
      <c r="B1781" s="27"/>
      <c r="C1781" s="27"/>
      <c r="D1781" s="27"/>
      <c r="E1781" s="27"/>
      <c r="F1781" s="27"/>
      <c r="G1781" s="27"/>
      <c r="H1781" s="27"/>
      <c r="I1781" s="27"/>
      <c r="J1781" s="27"/>
      <c r="K1781" s="27"/>
      <c r="L1781" s="27"/>
      <c r="M1781" s="27"/>
      <c r="N1781" s="27"/>
      <c r="O1781" s="27"/>
      <c r="P1781" s="27"/>
      <c r="Q1781" s="27"/>
      <c r="R1781" s="27"/>
      <c r="S1781" s="27"/>
      <c r="T1781" s="27"/>
      <c r="U1781" s="27"/>
      <c r="V1781" s="27"/>
      <c r="W1781" s="27"/>
      <c r="X1781" s="27"/>
      <c r="Y1781" s="27"/>
      <c r="Z1781" s="27"/>
    </row>
    <row r="1782" customHeight="1" spans="1:26">
      <c r="A1782" s="26"/>
      <c r="B1782" s="26"/>
      <c r="C1782" s="26"/>
      <c r="D1782" s="26"/>
      <c r="E1782" s="26"/>
      <c r="F1782" s="26"/>
      <c r="G1782" s="26"/>
      <c r="H1782" s="26"/>
      <c r="I1782" s="26"/>
      <c r="J1782" s="26"/>
      <c r="K1782" s="26"/>
      <c r="L1782" s="26"/>
      <c r="M1782" s="26"/>
      <c r="N1782" s="26"/>
      <c r="O1782" s="26"/>
      <c r="P1782" s="26"/>
      <c r="Q1782" s="26"/>
      <c r="R1782" s="26"/>
      <c r="S1782" s="26"/>
      <c r="T1782" s="26"/>
      <c r="U1782" s="26"/>
      <c r="V1782" s="26"/>
      <c r="W1782" s="26"/>
      <c r="X1782" s="26"/>
      <c r="Y1782" s="26"/>
      <c r="Z1782" s="26"/>
    </row>
    <row r="1783" customHeight="1" spans="1:26">
      <c r="A1783" s="27"/>
      <c r="B1783" s="27"/>
      <c r="C1783" s="27"/>
      <c r="D1783" s="27"/>
      <c r="E1783" s="27"/>
      <c r="F1783" s="27"/>
      <c r="G1783" s="27"/>
      <c r="H1783" s="27"/>
      <c r="I1783" s="27"/>
      <c r="J1783" s="27"/>
      <c r="K1783" s="27"/>
      <c r="L1783" s="27"/>
      <c r="M1783" s="27"/>
      <c r="N1783" s="27"/>
      <c r="O1783" s="27"/>
      <c r="P1783" s="27"/>
      <c r="Q1783" s="27"/>
      <c r="R1783" s="27"/>
      <c r="S1783" s="27"/>
      <c r="T1783" s="27"/>
      <c r="U1783" s="27"/>
      <c r="V1783" s="27"/>
      <c r="W1783" s="27"/>
      <c r="X1783" s="27"/>
      <c r="Y1783" s="27"/>
      <c r="Z1783" s="27"/>
    </row>
    <row r="1784" customHeight="1" spans="1:26">
      <c r="A1784" s="26"/>
      <c r="B1784" s="26"/>
      <c r="C1784" s="26"/>
      <c r="D1784" s="26"/>
      <c r="E1784" s="26"/>
      <c r="F1784" s="26"/>
      <c r="G1784" s="26"/>
      <c r="H1784" s="26"/>
      <c r="I1784" s="26"/>
      <c r="J1784" s="26"/>
      <c r="K1784" s="26"/>
      <c r="L1784" s="26"/>
      <c r="M1784" s="26"/>
      <c r="N1784" s="26"/>
      <c r="O1784" s="26"/>
      <c r="P1784" s="26"/>
      <c r="Q1784" s="26"/>
      <c r="R1784" s="26"/>
      <c r="S1784" s="26"/>
      <c r="T1784" s="26"/>
      <c r="U1784" s="26"/>
      <c r="V1784" s="26"/>
      <c r="W1784" s="26"/>
      <c r="X1784" s="26"/>
      <c r="Y1784" s="26"/>
      <c r="Z1784" s="26"/>
    </row>
    <row r="1785" customHeight="1" spans="1:26">
      <c r="A1785" s="27"/>
      <c r="B1785" s="27"/>
      <c r="C1785" s="27"/>
      <c r="D1785" s="27"/>
      <c r="E1785" s="27"/>
      <c r="F1785" s="27"/>
      <c r="G1785" s="27"/>
      <c r="H1785" s="27"/>
      <c r="I1785" s="27"/>
      <c r="J1785" s="27"/>
      <c r="K1785" s="27"/>
      <c r="L1785" s="27"/>
      <c r="M1785" s="27"/>
      <c r="N1785" s="27"/>
      <c r="O1785" s="27"/>
      <c r="P1785" s="27"/>
      <c r="Q1785" s="27"/>
      <c r="R1785" s="27"/>
      <c r="S1785" s="27"/>
      <c r="T1785" s="27"/>
      <c r="U1785" s="27"/>
      <c r="V1785" s="27"/>
      <c r="W1785" s="27"/>
      <c r="X1785" s="27"/>
      <c r="Y1785" s="27"/>
      <c r="Z1785" s="27"/>
    </row>
    <row r="1786" customHeight="1" spans="1:26">
      <c r="A1786" s="26"/>
      <c r="B1786" s="26"/>
      <c r="C1786" s="26"/>
      <c r="D1786" s="26"/>
      <c r="E1786" s="26"/>
      <c r="F1786" s="26"/>
      <c r="G1786" s="26"/>
      <c r="H1786" s="26"/>
      <c r="I1786" s="26"/>
      <c r="J1786" s="26"/>
      <c r="K1786" s="26"/>
      <c r="L1786" s="26"/>
      <c r="M1786" s="26"/>
      <c r="N1786" s="26"/>
      <c r="O1786" s="26"/>
      <c r="P1786" s="26"/>
      <c r="Q1786" s="26"/>
      <c r="R1786" s="26"/>
      <c r="S1786" s="26"/>
      <c r="T1786" s="26"/>
      <c r="U1786" s="26"/>
      <c r="V1786" s="26"/>
      <c r="W1786" s="26"/>
      <c r="X1786" s="26"/>
      <c r="Y1786" s="26"/>
      <c r="Z1786" s="26"/>
    </row>
    <row r="1787" customHeight="1" spans="1:26">
      <c r="A1787" s="27"/>
      <c r="B1787" s="27"/>
      <c r="C1787" s="27"/>
      <c r="D1787" s="27"/>
      <c r="E1787" s="27"/>
      <c r="F1787" s="27"/>
      <c r="G1787" s="27"/>
      <c r="H1787" s="27"/>
      <c r="I1787" s="27"/>
      <c r="J1787" s="27"/>
      <c r="K1787" s="27"/>
      <c r="L1787" s="27"/>
      <c r="M1787" s="27"/>
      <c r="N1787" s="27"/>
      <c r="O1787" s="27"/>
      <c r="P1787" s="27"/>
      <c r="Q1787" s="27"/>
      <c r="R1787" s="27"/>
      <c r="S1787" s="27"/>
      <c r="T1787" s="27"/>
      <c r="U1787" s="27"/>
      <c r="V1787" s="27"/>
      <c r="W1787" s="27"/>
      <c r="X1787" s="27"/>
      <c r="Y1787" s="27"/>
      <c r="Z1787" s="27"/>
    </row>
    <row r="1788" customHeight="1" spans="1:26">
      <c r="A1788" s="26"/>
      <c r="B1788" s="26"/>
      <c r="C1788" s="26"/>
      <c r="D1788" s="26"/>
      <c r="E1788" s="26"/>
      <c r="F1788" s="26"/>
      <c r="G1788" s="26"/>
      <c r="H1788" s="26"/>
      <c r="I1788" s="26"/>
      <c r="J1788" s="26"/>
      <c r="K1788" s="26"/>
      <c r="L1788" s="26"/>
      <c r="M1788" s="26"/>
      <c r="N1788" s="26"/>
      <c r="O1788" s="26"/>
      <c r="P1788" s="26"/>
      <c r="Q1788" s="26"/>
      <c r="R1788" s="26"/>
      <c r="S1788" s="26"/>
      <c r="T1788" s="26"/>
      <c r="U1788" s="26"/>
      <c r="V1788" s="26"/>
      <c r="W1788" s="26"/>
      <c r="X1788" s="26"/>
      <c r="Y1788" s="26"/>
      <c r="Z1788" s="26"/>
    </row>
    <row r="1789" customHeight="1" spans="1:26">
      <c r="A1789" s="27"/>
      <c r="B1789" s="27"/>
      <c r="C1789" s="27"/>
      <c r="D1789" s="27"/>
      <c r="E1789" s="27"/>
      <c r="F1789" s="27"/>
      <c r="G1789" s="27"/>
      <c r="H1789" s="27"/>
      <c r="I1789" s="27"/>
      <c r="J1789" s="27"/>
      <c r="K1789" s="27"/>
      <c r="L1789" s="27"/>
      <c r="M1789" s="27"/>
      <c r="N1789" s="27"/>
      <c r="O1789" s="27"/>
      <c r="P1789" s="27"/>
      <c r="Q1789" s="27"/>
      <c r="R1789" s="27"/>
      <c r="S1789" s="27"/>
      <c r="T1789" s="27"/>
      <c r="U1789" s="27"/>
      <c r="V1789" s="27"/>
      <c r="W1789" s="27"/>
      <c r="X1789" s="27"/>
      <c r="Y1789" s="27"/>
      <c r="Z1789" s="27"/>
    </row>
    <row r="1790" customHeight="1" spans="1:26">
      <c r="A1790" s="26"/>
      <c r="B1790" s="26"/>
      <c r="C1790" s="26"/>
      <c r="D1790" s="26"/>
      <c r="E1790" s="26"/>
      <c r="F1790" s="26"/>
      <c r="G1790" s="26"/>
      <c r="H1790" s="26"/>
      <c r="I1790" s="26"/>
      <c r="J1790" s="26"/>
      <c r="K1790" s="26"/>
      <c r="L1790" s="26"/>
      <c r="M1790" s="26"/>
      <c r="N1790" s="26"/>
      <c r="O1790" s="26"/>
      <c r="P1790" s="26"/>
      <c r="Q1790" s="26"/>
      <c r="R1790" s="26"/>
      <c r="S1790" s="26"/>
      <c r="T1790" s="26"/>
      <c r="U1790" s="26"/>
      <c r="V1790" s="26"/>
      <c r="W1790" s="26"/>
      <c r="X1790" s="26"/>
      <c r="Y1790" s="26"/>
      <c r="Z1790" s="26"/>
    </row>
    <row r="1791" customHeight="1" spans="1:26">
      <c r="A1791" s="27"/>
      <c r="B1791" s="27"/>
      <c r="C1791" s="27"/>
      <c r="D1791" s="27"/>
      <c r="E1791" s="27"/>
      <c r="F1791" s="27"/>
      <c r="G1791" s="27"/>
      <c r="H1791" s="27"/>
      <c r="I1791" s="27"/>
      <c r="J1791" s="27"/>
      <c r="K1791" s="27"/>
      <c r="L1791" s="27"/>
      <c r="M1791" s="27"/>
      <c r="N1791" s="27"/>
      <c r="O1791" s="27"/>
      <c r="P1791" s="27"/>
      <c r="Q1791" s="27"/>
      <c r="R1791" s="27"/>
      <c r="S1791" s="27"/>
      <c r="T1791" s="27"/>
      <c r="U1791" s="27"/>
      <c r="V1791" s="27"/>
      <c r="W1791" s="27"/>
      <c r="X1791" s="27"/>
      <c r="Y1791" s="27"/>
      <c r="Z1791" s="27"/>
    </row>
    <row r="1792" customHeight="1" spans="1:26">
      <c r="A1792" s="26"/>
      <c r="B1792" s="26"/>
      <c r="C1792" s="26"/>
      <c r="D1792" s="26"/>
      <c r="E1792" s="26"/>
      <c r="F1792" s="26"/>
      <c r="G1792" s="26"/>
      <c r="H1792" s="26"/>
      <c r="I1792" s="26"/>
      <c r="J1792" s="26"/>
      <c r="K1792" s="26"/>
      <c r="L1792" s="26"/>
      <c r="M1792" s="26"/>
      <c r="N1792" s="26"/>
      <c r="O1792" s="26"/>
      <c r="P1792" s="26"/>
      <c r="Q1792" s="26"/>
      <c r="R1792" s="26"/>
      <c r="S1792" s="26"/>
      <c r="T1792" s="26"/>
      <c r="U1792" s="26"/>
      <c r="V1792" s="26"/>
      <c r="W1792" s="26"/>
      <c r="X1792" s="26"/>
      <c r="Y1792" s="26"/>
      <c r="Z1792" s="26"/>
    </row>
    <row r="1793" customHeight="1" spans="1:26">
      <c r="A1793" s="27"/>
      <c r="B1793" s="27"/>
      <c r="C1793" s="27"/>
      <c r="D1793" s="27"/>
      <c r="E1793" s="27"/>
      <c r="F1793" s="27"/>
      <c r="G1793" s="27"/>
      <c r="H1793" s="27"/>
      <c r="I1793" s="27"/>
      <c r="J1793" s="27"/>
      <c r="K1793" s="27"/>
      <c r="L1793" s="27"/>
      <c r="M1793" s="27"/>
      <c r="N1793" s="27"/>
      <c r="O1793" s="27"/>
      <c r="P1793" s="27"/>
      <c r="Q1793" s="27"/>
      <c r="R1793" s="27"/>
      <c r="S1793" s="27"/>
      <c r="T1793" s="27"/>
      <c r="U1793" s="27"/>
      <c r="V1793" s="27"/>
      <c r="W1793" s="27"/>
      <c r="X1793" s="27"/>
      <c r="Y1793" s="27"/>
      <c r="Z1793" s="27"/>
    </row>
    <row r="1794" customHeight="1" spans="1:26">
      <c r="A1794" s="26"/>
      <c r="B1794" s="26"/>
      <c r="C1794" s="26"/>
      <c r="D1794" s="26"/>
      <c r="E1794" s="26"/>
      <c r="F1794" s="26"/>
      <c r="G1794" s="26"/>
      <c r="H1794" s="26"/>
      <c r="I1794" s="26"/>
      <c r="J1794" s="26"/>
      <c r="K1794" s="26"/>
      <c r="L1794" s="26"/>
      <c r="M1794" s="26"/>
      <c r="N1794" s="26"/>
      <c r="O1794" s="26"/>
      <c r="P1794" s="26"/>
      <c r="Q1794" s="26"/>
      <c r="R1794" s="26"/>
      <c r="S1794" s="26"/>
      <c r="T1794" s="26"/>
      <c r="U1794" s="26"/>
      <c r="V1794" s="26"/>
      <c r="W1794" s="26"/>
      <c r="X1794" s="26"/>
      <c r="Y1794" s="26"/>
      <c r="Z1794" s="26"/>
    </row>
    <row r="1795" customHeight="1" spans="1:26">
      <c r="A1795" s="27"/>
      <c r="B1795" s="27"/>
      <c r="C1795" s="27"/>
      <c r="D1795" s="27"/>
      <c r="E1795" s="27"/>
      <c r="F1795" s="27"/>
      <c r="G1795" s="27"/>
      <c r="H1795" s="27"/>
      <c r="I1795" s="27"/>
      <c r="J1795" s="27"/>
      <c r="K1795" s="27"/>
      <c r="L1795" s="27"/>
      <c r="M1795" s="27"/>
      <c r="N1795" s="27"/>
      <c r="O1795" s="27"/>
      <c r="P1795" s="27"/>
      <c r="Q1795" s="27"/>
      <c r="R1795" s="27"/>
      <c r="S1795" s="27"/>
      <c r="T1795" s="27"/>
      <c r="U1795" s="27"/>
      <c r="V1795" s="27"/>
      <c r="W1795" s="27"/>
      <c r="X1795" s="27"/>
      <c r="Y1795" s="27"/>
      <c r="Z1795" s="27"/>
    </row>
    <row r="1796" customHeight="1" spans="1:26">
      <c r="A1796" s="26"/>
      <c r="B1796" s="26"/>
      <c r="C1796" s="26"/>
      <c r="D1796" s="26"/>
      <c r="E1796" s="26"/>
      <c r="F1796" s="26"/>
      <c r="G1796" s="26"/>
      <c r="H1796" s="26"/>
      <c r="I1796" s="26"/>
      <c r="J1796" s="26"/>
      <c r="K1796" s="26"/>
      <c r="L1796" s="26"/>
      <c r="M1796" s="26"/>
      <c r="N1796" s="26"/>
      <c r="O1796" s="26"/>
      <c r="P1796" s="26"/>
      <c r="Q1796" s="26"/>
      <c r="R1796" s="26"/>
      <c r="S1796" s="26"/>
      <c r="T1796" s="26"/>
      <c r="U1796" s="26"/>
      <c r="V1796" s="26"/>
      <c r="W1796" s="26"/>
      <c r="X1796" s="26"/>
      <c r="Y1796" s="26"/>
      <c r="Z1796" s="26"/>
    </row>
    <row r="1797" customHeight="1" spans="1:26">
      <c r="A1797" s="27"/>
      <c r="B1797" s="27"/>
      <c r="C1797" s="27"/>
      <c r="D1797" s="27"/>
      <c r="E1797" s="27"/>
      <c r="F1797" s="27"/>
      <c r="G1797" s="27"/>
      <c r="H1797" s="27"/>
      <c r="I1797" s="27"/>
      <c r="J1797" s="27"/>
      <c r="K1797" s="27"/>
      <c r="L1797" s="27"/>
      <c r="M1797" s="27"/>
      <c r="N1797" s="27"/>
      <c r="O1797" s="27"/>
      <c r="P1797" s="27"/>
      <c r="Q1797" s="27"/>
      <c r="R1797" s="27"/>
      <c r="S1797" s="27"/>
      <c r="T1797" s="27"/>
      <c r="U1797" s="27"/>
      <c r="V1797" s="27"/>
      <c r="W1797" s="27"/>
      <c r="X1797" s="27"/>
      <c r="Y1797" s="27"/>
      <c r="Z1797" s="27"/>
    </row>
    <row r="1798" customHeight="1" spans="1:26">
      <c r="A1798" s="26"/>
      <c r="B1798" s="26"/>
      <c r="C1798" s="26"/>
      <c r="D1798" s="26"/>
      <c r="E1798" s="26"/>
      <c r="F1798" s="26"/>
      <c r="G1798" s="26"/>
      <c r="H1798" s="26"/>
      <c r="I1798" s="26"/>
      <c r="J1798" s="26"/>
      <c r="K1798" s="26"/>
      <c r="L1798" s="26"/>
      <c r="M1798" s="26"/>
      <c r="N1798" s="26"/>
      <c r="O1798" s="26"/>
      <c r="P1798" s="26"/>
      <c r="Q1798" s="26"/>
      <c r="R1798" s="26"/>
      <c r="S1798" s="26"/>
      <c r="T1798" s="26"/>
      <c r="U1798" s="26"/>
      <c r="V1798" s="26"/>
      <c r="W1798" s="26"/>
      <c r="X1798" s="26"/>
      <c r="Y1798" s="26"/>
      <c r="Z1798" s="26"/>
    </row>
    <row r="1799" customHeight="1" spans="1:26">
      <c r="A1799" s="27"/>
      <c r="B1799" s="27"/>
      <c r="C1799" s="27"/>
      <c r="D1799" s="27"/>
      <c r="E1799" s="27"/>
      <c r="F1799" s="27"/>
      <c r="G1799" s="27"/>
      <c r="H1799" s="27"/>
      <c r="I1799" s="27"/>
      <c r="J1799" s="27"/>
      <c r="K1799" s="27"/>
      <c r="L1799" s="27"/>
      <c r="M1799" s="27"/>
      <c r="N1799" s="27"/>
      <c r="O1799" s="27"/>
      <c r="P1799" s="27"/>
      <c r="Q1799" s="27"/>
      <c r="R1799" s="27"/>
      <c r="S1799" s="27"/>
      <c r="T1799" s="27"/>
      <c r="U1799" s="27"/>
      <c r="V1799" s="27"/>
      <c r="W1799" s="27"/>
      <c r="X1799" s="27"/>
      <c r="Y1799" s="27"/>
      <c r="Z1799" s="27"/>
    </row>
    <row r="1800" customHeight="1" spans="1:26">
      <c r="A1800" s="26"/>
      <c r="B1800" s="26"/>
      <c r="C1800" s="26"/>
      <c r="D1800" s="26"/>
      <c r="E1800" s="26"/>
      <c r="F1800" s="26"/>
      <c r="G1800" s="26"/>
      <c r="H1800" s="26"/>
      <c r="I1800" s="26"/>
      <c r="J1800" s="26"/>
      <c r="K1800" s="26"/>
      <c r="L1800" s="26"/>
      <c r="M1800" s="26"/>
      <c r="N1800" s="26"/>
      <c r="O1800" s="26"/>
      <c r="P1800" s="26"/>
      <c r="Q1800" s="26"/>
      <c r="R1800" s="26"/>
      <c r="S1800" s="26"/>
      <c r="T1800" s="26"/>
      <c r="U1800" s="26"/>
      <c r="V1800" s="26"/>
      <c r="W1800" s="26"/>
      <c r="X1800" s="26"/>
      <c r="Y1800" s="26"/>
      <c r="Z1800" s="26"/>
    </row>
    <row r="1801" customHeight="1" spans="1:26">
      <c r="A1801" s="27"/>
      <c r="B1801" s="27"/>
      <c r="C1801" s="27"/>
      <c r="D1801" s="27"/>
      <c r="E1801" s="27"/>
      <c r="F1801" s="27"/>
      <c r="G1801" s="27"/>
      <c r="H1801" s="27"/>
      <c r="I1801" s="27"/>
      <c r="J1801" s="27"/>
      <c r="K1801" s="27"/>
      <c r="L1801" s="27"/>
      <c r="M1801" s="27"/>
      <c r="N1801" s="27"/>
      <c r="O1801" s="27"/>
      <c r="P1801" s="27"/>
      <c r="Q1801" s="27"/>
      <c r="R1801" s="27"/>
      <c r="S1801" s="27"/>
      <c r="T1801" s="27"/>
      <c r="U1801" s="27"/>
      <c r="V1801" s="27"/>
      <c r="W1801" s="27"/>
      <c r="X1801" s="27"/>
      <c r="Y1801" s="27"/>
      <c r="Z1801" s="27"/>
    </row>
    <row r="1802" customHeight="1" spans="1:26">
      <c r="A1802" s="26"/>
      <c r="B1802" s="26"/>
      <c r="C1802" s="26"/>
      <c r="D1802" s="26"/>
      <c r="E1802" s="26"/>
      <c r="F1802" s="26"/>
      <c r="G1802" s="26"/>
      <c r="H1802" s="26"/>
      <c r="I1802" s="26"/>
      <c r="J1802" s="26"/>
      <c r="K1802" s="26"/>
      <c r="L1802" s="26"/>
      <c r="M1802" s="26"/>
      <c r="N1802" s="26"/>
      <c r="O1802" s="26"/>
      <c r="P1802" s="26"/>
      <c r="Q1802" s="26"/>
      <c r="R1802" s="26"/>
      <c r="S1802" s="26"/>
      <c r="T1802" s="26"/>
      <c r="U1802" s="26"/>
      <c r="V1802" s="26"/>
      <c r="W1802" s="26"/>
      <c r="X1802" s="26"/>
      <c r="Y1802" s="26"/>
      <c r="Z1802" s="26"/>
    </row>
    <row r="1803" customHeight="1" spans="1:26">
      <c r="A1803" s="27"/>
      <c r="B1803" s="27"/>
      <c r="C1803" s="27"/>
      <c r="D1803" s="27"/>
      <c r="E1803" s="27"/>
      <c r="F1803" s="27"/>
      <c r="G1803" s="27"/>
      <c r="H1803" s="27"/>
      <c r="I1803" s="27"/>
      <c r="J1803" s="27"/>
      <c r="K1803" s="27"/>
      <c r="L1803" s="27"/>
      <c r="M1803" s="27"/>
      <c r="N1803" s="27"/>
      <c r="O1803" s="27"/>
      <c r="P1803" s="27"/>
      <c r="Q1803" s="27"/>
      <c r="R1803" s="27"/>
      <c r="S1803" s="27"/>
      <c r="T1803" s="27"/>
      <c r="U1803" s="27"/>
      <c r="V1803" s="27"/>
      <c r="W1803" s="27"/>
      <c r="X1803" s="27"/>
      <c r="Y1803" s="27"/>
      <c r="Z1803" s="27"/>
    </row>
    <row r="1804" customHeight="1" spans="1:26">
      <c r="A1804" s="26"/>
      <c r="B1804" s="26"/>
      <c r="C1804" s="26"/>
      <c r="D1804" s="26"/>
      <c r="E1804" s="26"/>
      <c r="F1804" s="26"/>
      <c r="G1804" s="26"/>
      <c r="H1804" s="26"/>
      <c r="I1804" s="26"/>
      <c r="J1804" s="26"/>
      <c r="K1804" s="26"/>
      <c r="L1804" s="26"/>
      <c r="M1804" s="26"/>
      <c r="N1804" s="26"/>
      <c r="O1804" s="26"/>
      <c r="P1804" s="26"/>
      <c r="Q1804" s="26"/>
      <c r="R1804" s="26"/>
      <c r="S1804" s="26"/>
      <c r="T1804" s="26"/>
      <c r="U1804" s="26"/>
      <c r="V1804" s="26"/>
      <c r="W1804" s="26"/>
      <c r="X1804" s="26"/>
      <c r="Y1804" s="26"/>
      <c r="Z1804" s="26"/>
    </row>
    <row r="1805" customHeight="1" spans="1:26">
      <c r="A1805" s="27"/>
      <c r="B1805" s="27"/>
      <c r="C1805" s="27"/>
      <c r="D1805" s="27"/>
      <c r="E1805" s="27"/>
      <c r="F1805" s="27"/>
      <c r="G1805" s="27"/>
      <c r="H1805" s="27"/>
      <c r="I1805" s="27"/>
      <c r="J1805" s="27"/>
      <c r="K1805" s="27"/>
      <c r="L1805" s="27"/>
      <c r="M1805" s="27"/>
      <c r="N1805" s="27"/>
      <c r="O1805" s="27"/>
      <c r="P1805" s="27"/>
      <c r="Q1805" s="27"/>
      <c r="R1805" s="27"/>
      <c r="S1805" s="27"/>
      <c r="T1805" s="27"/>
      <c r="U1805" s="27"/>
      <c r="V1805" s="27"/>
      <c r="W1805" s="27"/>
      <c r="X1805" s="27"/>
      <c r="Y1805" s="27"/>
      <c r="Z1805" s="27"/>
    </row>
    <row r="1806" customHeight="1" spans="1:26">
      <c r="A1806" s="26"/>
      <c r="B1806" s="26"/>
      <c r="C1806" s="26"/>
      <c r="D1806" s="26"/>
      <c r="E1806" s="26"/>
      <c r="F1806" s="26"/>
      <c r="G1806" s="26"/>
      <c r="H1806" s="26"/>
      <c r="I1806" s="26"/>
      <c r="J1806" s="26"/>
      <c r="K1806" s="26"/>
      <c r="L1806" s="26"/>
      <c r="M1806" s="26"/>
      <c r="N1806" s="26"/>
      <c r="O1806" s="26"/>
      <c r="P1806" s="26"/>
      <c r="Q1806" s="26"/>
      <c r="R1806" s="26"/>
      <c r="S1806" s="26"/>
      <c r="T1806" s="26"/>
      <c r="U1806" s="26"/>
      <c r="V1806" s="26"/>
      <c r="W1806" s="26"/>
      <c r="X1806" s="26"/>
      <c r="Y1806" s="26"/>
      <c r="Z1806" s="26"/>
    </row>
    <row r="1807" customHeight="1" spans="1:26">
      <c r="A1807" s="27"/>
      <c r="B1807" s="27"/>
      <c r="C1807" s="27"/>
      <c r="D1807" s="27"/>
      <c r="E1807" s="27"/>
      <c r="F1807" s="27"/>
      <c r="G1807" s="27"/>
      <c r="H1807" s="27"/>
      <c r="I1807" s="27"/>
      <c r="J1807" s="27"/>
      <c r="K1807" s="27"/>
      <c r="L1807" s="27"/>
      <c r="M1807" s="27"/>
      <c r="N1807" s="27"/>
      <c r="O1807" s="27"/>
      <c r="P1807" s="27"/>
      <c r="Q1807" s="27"/>
      <c r="R1807" s="27"/>
      <c r="S1807" s="27"/>
      <c r="T1807" s="27"/>
      <c r="U1807" s="27"/>
      <c r="V1807" s="27"/>
      <c r="W1807" s="27"/>
      <c r="X1807" s="27"/>
      <c r="Y1807" s="27"/>
      <c r="Z1807" s="27"/>
    </row>
    <row r="1808" customHeight="1" spans="1:26">
      <c r="A1808" s="26"/>
      <c r="B1808" s="26"/>
      <c r="C1808" s="26"/>
      <c r="D1808" s="26"/>
      <c r="E1808" s="26"/>
      <c r="F1808" s="26"/>
      <c r="G1808" s="26"/>
      <c r="H1808" s="26"/>
      <c r="I1808" s="26"/>
      <c r="J1808" s="26"/>
      <c r="K1808" s="26"/>
      <c r="L1808" s="26"/>
      <c r="M1808" s="26"/>
      <c r="N1808" s="26"/>
      <c r="O1808" s="26"/>
      <c r="P1808" s="26"/>
      <c r="Q1808" s="26"/>
      <c r="R1808" s="26"/>
      <c r="S1808" s="26"/>
      <c r="T1808" s="26"/>
      <c r="U1808" s="26"/>
      <c r="V1808" s="26"/>
      <c r="W1808" s="26"/>
      <c r="X1808" s="26"/>
      <c r="Y1808" s="26"/>
      <c r="Z1808" s="26"/>
    </row>
    <row r="1809" customHeight="1" spans="1:26">
      <c r="A1809" s="27"/>
      <c r="B1809" s="27"/>
      <c r="C1809" s="27"/>
      <c r="D1809" s="27"/>
      <c r="E1809" s="27"/>
      <c r="F1809" s="27"/>
      <c r="G1809" s="27"/>
      <c r="H1809" s="27"/>
      <c r="I1809" s="27"/>
      <c r="J1809" s="27"/>
      <c r="K1809" s="27"/>
      <c r="L1809" s="27"/>
      <c r="M1809" s="27"/>
      <c r="N1809" s="27"/>
      <c r="O1809" s="27"/>
      <c r="P1809" s="27"/>
      <c r="Q1809" s="27"/>
      <c r="R1809" s="27"/>
      <c r="S1809" s="27"/>
      <c r="T1809" s="27"/>
      <c r="U1809" s="27"/>
      <c r="V1809" s="27"/>
      <c r="W1809" s="27"/>
      <c r="X1809" s="27"/>
      <c r="Y1809" s="27"/>
      <c r="Z1809" s="27"/>
    </row>
    <row r="1810" customHeight="1" spans="1:26">
      <c r="A1810" s="26"/>
      <c r="B1810" s="26"/>
      <c r="C1810" s="26"/>
      <c r="D1810" s="26"/>
      <c r="E1810" s="26"/>
      <c r="F1810" s="26"/>
      <c r="G1810" s="26"/>
      <c r="H1810" s="26"/>
      <c r="I1810" s="26"/>
      <c r="J1810" s="26"/>
      <c r="K1810" s="26"/>
      <c r="L1810" s="26"/>
      <c r="M1810" s="26"/>
      <c r="N1810" s="26"/>
      <c r="O1810" s="26"/>
      <c r="P1810" s="26"/>
      <c r="Q1810" s="26"/>
      <c r="R1810" s="26"/>
      <c r="S1810" s="26"/>
      <c r="T1810" s="26"/>
      <c r="U1810" s="26"/>
      <c r="V1810" s="26"/>
      <c r="W1810" s="26"/>
      <c r="X1810" s="26"/>
      <c r="Y1810" s="26"/>
      <c r="Z1810" s="26"/>
    </row>
    <row r="1811" customHeight="1" spans="1:26">
      <c r="A1811" s="27"/>
      <c r="B1811" s="27"/>
      <c r="C1811" s="27"/>
      <c r="D1811" s="27"/>
      <c r="E1811" s="27"/>
      <c r="F1811" s="27"/>
      <c r="G1811" s="27"/>
      <c r="H1811" s="27"/>
      <c r="I1811" s="27"/>
      <c r="J1811" s="27"/>
      <c r="K1811" s="27"/>
      <c r="L1811" s="27"/>
      <c r="M1811" s="27"/>
      <c r="N1811" s="27"/>
      <c r="O1811" s="27"/>
      <c r="P1811" s="27"/>
      <c r="Q1811" s="27"/>
      <c r="R1811" s="27"/>
      <c r="S1811" s="27"/>
      <c r="T1811" s="27"/>
      <c r="U1811" s="27"/>
      <c r="V1811" s="27"/>
      <c r="W1811" s="27"/>
      <c r="X1811" s="27"/>
      <c r="Y1811" s="27"/>
      <c r="Z1811" s="27"/>
    </row>
    <row r="1812" customHeight="1" spans="1:26">
      <c r="A1812" s="26"/>
      <c r="B1812" s="26"/>
      <c r="C1812" s="26"/>
      <c r="D1812" s="26"/>
      <c r="E1812" s="26"/>
      <c r="F1812" s="26"/>
      <c r="G1812" s="26"/>
      <c r="H1812" s="26"/>
      <c r="I1812" s="26"/>
      <c r="J1812" s="26"/>
      <c r="K1812" s="26"/>
      <c r="L1812" s="26"/>
      <c r="M1812" s="26"/>
      <c r="N1812" s="26"/>
      <c r="O1812" s="26"/>
      <c r="P1812" s="26"/>
      <c r="Q1812" s="26"/>
      <c r="R1812" s="26"/>
      <c r="S1812" s="26"/>
      <c r="T1812" s="26"/>
      <c r="U1812" s="26"/>
      <c r="V1812" s="26"/>
      <c r="W1812" s="26"/>
      <c r="X1812" s="26"/>
      <c r="Y1812" s="26"/>
      <c r="Z1812" s="26"/>
    </row>
    <row r="1813" customHeight="1" spans="1:26">
      <c r="A1813" s="27"/>
      <c r="B1813" s="27"/>
      <c r="C1813" s="27"/>
      <c r="D1813" s="27"/>
      <c r="E1813" s="27"/>
      <c r="F1813" s="27"/>
      <c r="G1813" s="27"/>
      <c r="H1813" s="27"/>
      <c r="I1813" s="27"/>
      <c r="J1813" s="27"/>
      <c r="K1813" s="27"/>
      <c r="L1813" s="27"/>
      <c r="M1813" s="27"/>
      <c r="N1813" s="27"/>
      <c r="O1813" s="27"/>
      <c r="P1813" s="27"/>
      <c r="Q1813" s="27"/>
      <c r="R1813" s="27"/>
      <c r="S1813" s="27"/>
      <c r="T1813" s="27"/>
      <c r="U1813" s="27"/>
      <c r="V1813" s="27"/>
      <c r="W1813" s="27"/>
      <c r="X1813" s="27"/>
      <c r="Y1813" s="27"/>
      <c r="Z1813" s="27"/>
    </row>
    <row r="1814" customHeight="1" spans="1:26">
      <c r="A1814" s="26"/>
      <c r="B1814" s="26"/>
      <c r="C1814" s="26"/>
      <c r="D1814" s="26"/>
      <c r="E1814" s="26"/>
      <c r="F1814" s="26"/>
      <c r="G1814" s="26"/>
      <c r="H1814" s="26"/>
      <c r="I1814" s="26"/>
      <c r="J1814" s="26"/>
      <c r="K1814" s="26"/>
      <c r="L1814" s="26"/>
      <c r="M1814" s="26"/>
      <c r="N1814" s="26"/>
      <c r="O1814" s="26"/>
      <c r="P1814" s="26"/>
      <c r="Q1814" s="26"/>
      <c r="R1814" s="26"/>
      <c r="S1814" s="26"/>
      <c r="T1814" s="26"/>
      <c r="U1814" s="26"/>
      <c r="V1814" s="26"/>
      <c r="W1814" s="26"/>
      <c r="X1814" s="26"/>
      <c r="Y1814" s="26"/>
      <c r="Z1814" s="26"/>
    </row>
    <row r="1815" customHeight="1" spans="1:26">
      <c r="A1815" s="27"/>
      <c r="B1815" s="27"/>
      <c r="C1815" s="27"/>
      <c r="D1815" s="27"/>
      <c r="E1815" s="27"/>
      <c r="F1815" s="27"/>
      <c r="G1815" s="27"/>
      <c r="H1815" s="27"/>
      <c r="I1815" s="27"/>
      <c r="J1815" s="27"/>
      <c r="K1815" s="27"/>
      <c r="L1815" s="27"/>
      <c r="M1815" s="27"/>
      <c r="N1815" s="27"/>
      <c r="O1815" s="27"/>
      <c r="P1815" s="27"/>
      <c r="Q1815" s="27"/>
      <c r="R1815" s="27"/>
      <c r="S1815" s="27"/>
      <c r="T1815" s="27"/>
      <c r="U1815" s="27"/>
      <c r="V1815" s="27"/>
      <c r="W1815" s="27"/>
      <c r="X1815" s="27"/>
      <c r="Y1815" s="27"/>
      <c r="Z1815" s="27"/>
    </row>
    <row r="1816" customHeight="1" spans="1:26">
      <c r="A1816" s="26"/>
      <c r="B1816" s="26"/>
      <c r="C1816" s="26"/>
      <c r="D1816" s="26"/>
      <c r="E1816" s="26"/>
      <c r="F1816" s="26"/>
      <c r="G1816" s="26"/>
      <c r="H1816" s="26"/>
      <c r="I1816" s="26"/>
      <c r="J1816" s="26"/>
      <c r="K1816" s="26"/>
      <c r="L1816" s="26"/>
      <c r="M1816" s="26"/>
      <c r="N1816" s="26"/>
      <c r="O1816" s="26"/>
      <c r="P1816" s="26"/>
      <c r="Q1816" s="26"/>
      <c r="R1816" s="26"/>
      <c r="S1816" s="26"/>
      <c r="T1816" s="26"/>
      <c r="U1816" s="26"/>
      <c r="V1816" s="26"/>
      <c r="W1816" s="26"/>
      <c r="X1816" s="26"/>
      <c r="Y1816" s="26"/>
      <c r="Z1816" s="26"/>
    </row>
    <row r="1817" customHeight="1" spans="1:26">
      <c r="A1817" s="27"/>
      <c r="B1817" s="27"/>
      <c r="C1817" s="27"/>
      <c r="D1817" s="27"/>
      <c r="E1817" s="27"/>
      <c r="F1817" s="27"/>
      <c r="G1817" s="27"/>
      <c r="H1817" s="27"/>
      <c r="I1817" s="27"/>
      <c r="J1817" s="27"/>
      <c r="K1817" s="27"/>
      <c r="L1817" s="27"/>
      <c r="M1817" s="27"/>
      <c r="N1817" s="27"/>
      <c r="O1817" s="27"/>
      <c r="P1817" s="27"/>
      <c r="Q1817" s="27"/>
      <c r="R1817" s="27"/>
      <c r="S1817" s="27"/>
      <c r="T1817" s="27"/>
      <c r="U1817" s="27"/>
      <c r="V1817" s="27"/>
      <c r="W1817" s="27"/>
      <c r="X1817" s="27"/>
      <c r="Y1817" s="27"/>
      <c r="Z1817" s="27"/>
    </row>
    <row r="1818" customHeight="1" spans="1:26">
      <c r="A1818" s="26"/>
      <c r="B1818" s="26"/>
      <c r="C1818" s="26"/>
      <c r="D1818" s="26"/>
      <c r="E1818" s="26"/>
      <c r="F1818" s="26"/>
      <c r="G1818" s="26"/>
      <c r="H1818" s="26"/>
      <c r="I1818" s="26"/>
      <c r="J1818" s="26"/>
      <c r="K1818" s="26"/>
      <c r="L1818" s="26"/>
      <c r="M1818" s="26"/>
      <c r="N1818" s="26"/>
      <c r="O1818" s="26"/>
      <c r="P1818" s="26"/>
      <c r="Q1818" s="26"/>
      <c r="R1818" s="26"/>
      <c r="S1818" s="26"/>
      <c r="T1818" s="26"/>
      <c r="U1818" s="26"/>
      <c r="V1818" s="26"/>
      <c r="W1818" s="26"/>
      <c r="X1818" s="26"/>
      <c r="Y1818" s="26"/>
      <c r="Z1818" s="26"/>
    </row>
    <row r="1819" customHeight="1" spans="1:26">
      <c r="A1819" s="27"/>
      <c r="B1819" s="27"/>
      <c r="C1819" s="27"/>
      <c r="D1819" s="27"/>
      <c r="E1819" s="27"/>
      <c r="F1819" s="27"/>
      <c r="G1819" s="27"/>
      <c r="H1819" s="27"/>
      <c r="I1819" s="27"/>
      <c r="J1819" s="27"/>
      <c r="K1819" s="27"/>
      <c r="L1819" s="27"/>
      <c r="M1819" s="27"/>
      <c r="N1819" s="27"/>
      <c r="O1819" s="27"/>
      <c r="P1819" s="27"/>
      <c r="Q1819" s="27"/>
      <c r="R1819" s="27"/>
      <c r="S1819" s="27"/>
      <c r="T1819" s="27"/>
      <c r="U1819" s="27"/>
      <c r="V1819" s="27"/>
      <c r="W1819" s="27"/>
      <c r="X1819" s="27"/>
      <c r="Y1819" s="27"/>
      <c r="Z1819" s="27"/>
    </row>
    <row r="1820" customHeight="1" spans="1:26">
      <c r="A1820" s="26"/>
      <c r="B1820" s="26"/>
      <c r="C1820" s="26"/>
      <c r="D1820" s="26"/>
      <c r="E1820" s="26"/>
      <c r="F1820" s="26"/>
      <c r="G1820" s="26"/>
      <c r="H1820" s="26"/>
      <c r="I1820" s="26"/>
      <c r="J1820" s="26"/>
      <c r="K1820" s="26"/>
      <c r="L1820" s="26"/>
      <c r="M1820" s="26"/>
      <c r="N1820" s="26"/>
      <c r="O1820" s="26"/>
      <c r="P1820" s="26"/>
      <c r="Q1820" s="26"/>
      <c r="R1820" s="26"/>
      <c r="S1820" s="26"/>
      <c r="T1820" s="26"/>
      <c r="U1820" s="26"/>
      <c r="V1820" s="26"/>
      <c r="W1820" s="26"/>
      <c r="X1820" s="26"/>
      <c r="Y1820" s="26"/>
      <c r="Z1820" s="26"/>
    </row>
    <row r="1821" customHeight="1" spans="1:26">
      <c r="A1821" s="27"/>
      <c r="B1821" s="27"/>
      <c r="C1821" s="27"/>
      <c r="D1821" s="27"/>
      <c r="E1821" s="27"/>
      <c r="F1821" s="27"/>
      <c r="G1821" s="27"/>
      <c r="H1821" s="27"/>
      <c r="I1821" s="27"/>
      <c r="J1821" s="27"/>
      <c r="K1821" s="27"/>
      <c r="L1821" s="27"/>
      <c r="M1821" s="27"/>
      <c r="N1821" s="27"/>
      <c r="O1821" s="27"/>
      <c r="P1821" s="27"/>
      <c r="Q1821" s="27"/>
      <c r="R1821" s="27"/>
      <c r="S1821" s="27"/>
      <c r="T1821" s="27"/>
      <c r="U1821" s="27"/>
      <c r="V1821" s="27"/>
      <c r="W1821" s="27"/>
      <c r="X1821" s="27"/>
      <c r="Y1821" s="27"/>
      <c r="Z1821" s="27"/>
    </row>
    <row r="1822" customHeight="1" spans="1:26">
      <c r="A1822" s="26"/>
      <c r="B1822" s="26"/>
      <c r="C1822" s="26"/>
      <c r="D1822" s="26"/>
      <c r="E1822" s="26"/>
      <c r="F1822" s="26"/>
      <c r="G1822" s="26"/>
      <c r="H1822" s="26"/>
      <c r="I1822" s="26"/>
      <c r="J1822" s="26"/>
      <c r="K1822" s="26"/>
      <c r="L1822" s="26"/>
      <c r="M1822" s="26"/>
      <c r="N1822" s="26"/>
      <c r="O1822" s="26"/>
      <c r="P1822" s="26"/>
      <c r="Q1822" s="26"/>
      <c r="R1822" s="26"/>
      <c r="S1822" s="26"/>
      <c r="T1822" s="26"/>
      <c r="U1822" s="26"/>
      <c r="V1822" s="26"/>
      <c r="W1822" s="26"/>
      <c r="X1822" s="26"/>
      <c r="Y1822" s="26"/>
      <c r="Z1822" s="26"/>
    </row>
    <row r="1823" customHeight="1" spans="1:26">
      <c r="A1823" s="27"/>
      <c r="B1823" s="27"/>
      <c r="C1823" s="27"/>
      <c r="D1823" s="27"/>
      <c r="E1823" s="27"/>
      <c r="F1823" s="27"/>
      <c r="G1823" s="27"/>
      <c r="H1823" s="27"/>
      <c r="I1823" s="27"/>
      <c r="J1823" s="27"/>
      <c r="K1823" s="27"/>
      <c r="L1823" s="27"/>
      <c r="M1823" s="27"/>
      <c r="N1823" s="27"/>
      <c r="O1823" s="27"/>
      <c r="P1823" s="27"/>
      <c r="Q1823" s="27"/>
      <c r="R1823" s="27"/>
      <c r="S1823" s="27"/>
      <c r="T1823" s="27"/>
      <c r="U1823" s="27"/>
      <c r="V1823" s="27"/>
      <c r="W1823" s="27"/>
      <c r="X1823" s="27"/>
      <c r="Y1823" s="27"/>
      <c r="Z1823" s="27"/>
    </row>
    <row r="1824" customHeight="1" spans="1:26">
      <c r="A1824" s="26"/>
      <c r="B1824" s="26"/>
      <c r="C1824" s="26"/>
      <c r="D1824" s="26"/>
      <c r="E1824" s="26"/>
      <c r="F1824" s="26"/>
      <c r="G1824" s="26"/>
      <c r="H1824" s="26"/>
      <c r="I1824" s="26"/>
      <c r="J1824" s="26"/>
      <c r="K1824" s="26"/>
      <c r="L1824" s="26"/>
      <c r="M1824" s="26"/>
      <c r="N1824" s="26"/>
      <c r="O1824" s="26"/>
      <c r="P1824" s="26"/>
      <c r="Q1824" s="26"/>
      <c r="R1824" s="26"/>
      <c r="S1824" s="26"/>
      <c r="T1824" s="26"/>
      <c r="U1824" s="26"/>
      <c r="V1824" s="26"/>
      <c r="W1824" s="26"/>
      <c r="X1824" s="26"/>
      <c r="Y1824" s="26"/>
      <c r="Z1824" s="26"/>
    </row>
    <row r="1825" customHeight="1" spans="1:26">
      <c r="A1825" s="27"/>
      <c r="B1825" s="27"/>
      <c r="C1825" s="27"/>
      <c r="D1825" s="27"/>
      <c r="E1825" s="27"/>
      <c r="F1825" s="27"/>
      <c r="G1825" s="27"/>
      <c r="H1825" s="27"/>
      <c r="I1825" s="27"/>
      <c r="J1825" s="27"/>
      <c r="K1825" s="27"/>
      <c r="L1825" s="27"/>
      <c r="M1825" s="27"/>
      <c r="N1825" s="27"/>
      <c r="O1825" s="27"/>
      <c r="P1825" s="27"/>
      <c r="Q1825" s="27"/>
      <c r="R1825" s="27"/>
      <c r="S1825" s="27"/>
      <c r="T1825" s="27"/>
      <c r="U1825" s="27"/>
      <c r="V1825" s="27"/>
      <c r="W1825" s="27"/>
      <c r="X1825" s="27"/>
      <c r="Y1825" s="27"/>
      <c r="Z1825" s="27"/>
    </row>
    <row r="1826" customHeight="1" spans="1:26">
      <c r="A1826" s="26"/>
      <c r="B1826" s="26"/>
      <c r="C1826" s="26"/>
      <c r="D1826" s="26"/>
      <c r="E1826" s="26"/>
      <c r="F1826" s="26"/>
      <c r="G1826" s="26"/>
      <c r="H1826" s="26"/>
      <c r="I1826" s="26"/>
      <c r="J1826" s="26"/>
      <c r="K1826" s="26"/>
      <c r="L1826" s="26"/>
      <c r="M1826" s="26"/>
      <c r="N1826" s="26"/>
      <c r="O1826" s="26"/>
      <c r="P1826" s="26"/>
      <c r="Q1826" s="26"/>
      <c r="R1826" s="26"/>
      <c r="S1826" s="26"/>
      <c r="T1826" s="26"/>
      <c r="U1826" s="26"/>
      <c r="V1826" s="26"/>
      <c r="W1826" s="26"/>
      <c r="X1826" s="26"/>
      <c r="Y1826" s="26"/>
      <c r="Z1826" s="26"/>
    </row>
    <row r="1827" customHeight="1" spans="1:26">
      <c r="A1827" s="27"/>
      <c r="B1827" s="27"/>
      <c r="C1827" s="27"/>
      <c r="D1827" s="27"/>
      <c r="E1827" s="27"/>
      <c r="F1827" s="27"/>
      <c r="G1827" s="27"/>
      <c r="H1827" s="27"/>
      <c r="I1827" s="27"/>
      <c r="J1827" s="27"/>
      <c r="K1827" s="27"/>
      <c r="L1827" s="27"/>
      <c r="M1827" s="27"/>
      <c r="N1827" s="27"/>
      <c r="O1827" s="27"/>
      <c r="P1827" s="27"/>
      <c r="Q1827" s="27"/>
      <c r="R1827" s="27"/>
      <c r="S1827" s="27"/>
      <c r="T1827" s="27"/>
      <c r="U1827" s="27"/>
      <c r="V1827" s="27"/>
      <c r="W1827" s="27"/>
      <c r="X1827" s="27"/>
      <c r="Y1827" s="27"/>
      <c r="Z1827" s="27"/>
    </row>
    <row r="1828" customHeight="1" spans="1:26">
      <c r="A1828" s="26"/>
      <c r="B1828" s="26"/>
      <c r="C1828" s="26"/>
      <c r="D1828" s="26"/>
      <c r="E1828" s="26"/>
      <c r="F1828" s="26"/>
      <c r="G1828" s="26"/>
      <c r="H1828" s="26"/>
      <c r="I1828" s="26"/>
      <c r="J1828" s="26"/>
      <c r="K1828" s="26"/>
      <c r="L1828" s="26"/>
      <c r="M1828" s="26"/>
      <c r="N1828" s="26"/>
      <c r="O1828" s="26"/>
      <c r="P1828" s="26"/>
      <c r="Q1828" s="26"/>
      <c r="R1828" s="26"/>
      <c r="S1828" s="26"/>
      <c r="T1828" s="26"/>
      <c r="U1828" s="26"/>
      <c r="V1828" s="26"/>
      <c r="W1828" s="26"/>
      <c r="X1828" s="26"/>
      <c r="Y1828" s="26"/>
      <c r="Z1828" s="26"/>
    </row>
    <row r="1829" customHeight="1" spans="1:26">
      <c r="A1829" s="27"/>
      <c r="B1829" s="27"/>
      <c r="C1829" s="27"/>
      <c r="D1829" s="27"/>
      <c r="E1829" s="27"/>
      <c r="F1829" s="27"/>
      <c r="G1829" s="27"/>
      <c r="H1829" s="27"/>
      <c r="I1829" s="27"/>
      <c r="J1829" s="27"/>
      <c r="K1829" s="27"/>
      <c r="L1829" s="27"/>
      <c r="M1829" s="27"/>
      <c r="N1829" s="27"/>
      <c r="O1829" s="27"/>
      <c r="P1829" s="27"/>
      <c r="Q1829" s="27"/>
      <c r="R1829" s="27"/>
      <c r="S1829" s="27"/>
      <c r="T1829" s="27"/>
      <c r="U1829" s="27"/>
      <c r="V1829" s="27"/>
      <c r="W1829" s="27"/>
      <c r="X1829" s="27"/>
      <c r="Y1829" s="27"/>
      <c r="Z1829" s="27"/>
    </row>
    <row r="1830" customHeight="1" spans="1:26">
      <c r="A1830" s="26"/>
      <c r="B1830" s="26"/>
      <c r="C1830" s="26"/>
      <c r="D1830" s="26"/>
      <c r="E1830" s="26"/>
      <c r="F1830" s="26"/>
      <c r="G1830" s="26"/>
      <c r="H1830" s="26"/>
      <c r="I1830" s="26"/>
      <c r="J1830" s="26"/>
      <c r="K1830" s="26"/>
      <c r="L1830" s="26"/>
      <c r="M1830" s="26"/>
      <c r="N1830" s="26"/>
      <c r="O1830" s="26"/>
      <c r="P1830" s="26"/>
      <c r="Q1830" s="26"/>
      <c r="R1830" s="26"/>
      <c r="S1830" s="26"/>
      <c r="T1830" s="26"/>
      <c r="U1830" s="26"/>
      <c r="V1830" s="26"/>
      <c r="W1830" s="26"/>
      <c r="X1830" s="26"/>
      <c r="Y1830" s="26"/>
      <c r="Z1830" s="26"/>
    </row>
    <row r="1831" customHeight="1" spans="1:26">
      <c r="A1831" s="27"/>
      <c r="B1831" s="27"/>
      <c r="C1831" s="27"/>
      <c r="D1831" s="27"/>
      <c r="E1831" s="27"/>
      <c r="F1831" s="27"/>
      <c r="G1831" s="27"/>
      <c r="H1831" s="27"/>
      <c r="I1831" s="27"/>
      <c r="J1831" s="27"/>
      <c r="K1831" s="27"/>
      <c r="L1831" s="27"/>
      <c r="M1831" s="27"/>
      <c r="N1831" s="27"/>
      <c r="O1831" s="27"/>
      <c r="P1831" s="27"/>
      <c r="Q1831" s="27"/>
      <c r="R1831" s="27"/>
      <c r="S1831" s="27"/>
      <c r="T1831" s="27"/>
      <c r="U1831" s="27"/>
      <c r="V1831" s="27"/>
      <c r="W1831" s="27"/>
      <c r="X1831" s="27"/>
      <c r="Y1831" s="27"/>
      <c r="Z1831" s="27"/>
    </row>
    <row r="1832" customHeight="1" spans="1:26">
      <c r="A1832" s="26"/>
      <c r="B1832" s="26"/>
      <c r="C1832" s="26"/>
      <c r="D1832" s="26"/>
      <c r="E1832" s="26"/>
      <c r="F1832" s="26"/>
      <c r="G1832" s="26"/>
      <c r="H1832" s="26"/>
      <c r="I1832" s="26"/>
      <c r="J1832" s="26"/>
      <c r="K1832" s="26"/>
      <c r="L1832" s="26"/>
      <c r="M1832" s="26"/>
      <c r="N1832" s="26"/>
      <c r="O1832" s="26"/>
      <c r="P1832" s="26"/>
      <c r="Q1832" s="26"/>
      <c r="R1832" s="26"/>
      <c r="S1832" s="26"/>
      <c r="T1832" s="26"/>
      <c r="U1832" s="26"/>
      <c r="V1832" s="26"/>
      <c r="W1832" s="26"/>
      <c r="X1832" s="26"/>
      <c r="Y1832" s="26"/>
      <c r="Z1832" s="26"/>
    </row>
    <row r="1833" customHeight="1" spans="1:26">
      <c r="A1833" s="27"/>
      <c r="B1833" s="27"/>
      <c r="C1833" s="27"/>
      <c r="D1833" s="27"/>
      <c r="E1833" s="27"/>
      <c r="F1833" s="27"/>
      <c r="G1833" s="27"/>
      <c r="H1833" s="27"/>
      <c r="I1833" s="27"/>
      <c r="J1833" s="27"/>
      <c r="K1833" s="27"/>
      <c r="L1833" s="27"/>
      <c r="M1833" s="27"/>
      <c r="N1833" s="27"/>
      <c r="O1833" s="27"/>
      <c r="P1833" s="27"/>
      <c r="Q1833" s="27"/>
      <c r="R1833" s="27"/>
      <c r="S1833" s="27"/>
      <c r="T1833" s="27"/>
      <c r="U1833" s="27"/>
      <c r="V1833" s="27"/>
      <c r="W1833" s="27"/>
      <c r="X1833" s="27"/>
      <c r="Y1833" s="27"/>
      <c r="Z1833" s="27"/>
    </row>
    <row r="1834" customHeight="1" spans="1:26">
      <c r="A1834" s="26"/>
      <c r="B1834" s="26"/>
      <c r="C1834" s="26"/>
      <c r="D1834" s="26"/>
      <c r="E1834" s="26"/>
      <c r="F1834" s="26"/>
      <c r="G1834" s="26"/>
      <c r="H1834" s="26"/>
      <c r="I1834" s="26"/>
      <c r="J1834" s="26"/>
      <c r="K1834" s="26"/>
      <c r="L1834" s="26"/>
      <c r="M1834" s="26"/>
      <c r="N1834" s="26"/>
      <c r="O1834" s="26"/>
      <c r="P1834" s="26"/>
      <c r="Q1834" s="26"/>
      <c r="R1834" s="26"/>
      <c r="S1834" s="26"/>
      <c r="T1834" s="26"/>
      <c r="U1834" s="26"/>
      <c r="V1834" s="26"/>
      <c r="W1834" s="26"/>
      <c r="X1834" s="26"/>
      <c r="Y1834" s="26"/>
      <c r="Z1834" s="26"/>
    </row>
    <row r="1835" customHeight="1" spans="1:26">
      <c r="A1835" s="27"/>
      <c r="B1835" s="27"/>
      <c r="C1835" s="27"/>
      <c r="D1835" s="27"/>
      <c r="E1835" s="27"/>
      <c r="F1835" s="27"/>
      <c r="G1835" s="27"/>
      <c r="H1835" s="27"/>
      <c r="I1835" s="27"/>
      <c r="J1835" s="27"/>
      <c r="K1835" s="27"/>
      <c r="L1835" s="27"/>
      <c r="M1835" s="27"/>
      <c r="N1835" s="27"/>
      <c r="O1835" s="27"/>
      <c r="P1835" s="27"/>
      <c r="Q1835" s="27"/>
      <c r="R1835" s="27"/>
      <c r="S1835" s="27"/>
      <c r="T1835" s="27"/>
      <c r="U1835" s="27"/>
      <c r="V1835" s="27"/>
      <c r="W1835" s="27"/>
      <c r="X1835" s="27"/>
      <c r="Y1835" s="27"/>
      <c r="Z1835" s="27"/>
    </row>
    <row r="1836" customHeight="1" spans="1:26">
      <c r="A1836" s="26"/>
      <c r="B1836" s="26"/>
      <c r="C1836" s="26"/>
      <c r="D1836" s="26"/>
      <c r="E1836" s="26"/>
      <c r="F1836" s="26"/>
      <c r="G1836" s="26"/>
      <c r="H1836" s="26"/>
      <c r="I1836" s="26"/>
      <c r="J1836" s="26"/>
      <c r="K1836" s="26"/>
      <c r="L1836" s="26"/>
      <c r="M1836" s="26"/>
      <c r="N1836" s="26"/>
      <c r="O1836" s="26"/>
      <c r="P1836" s="26"/>
      <c r="Q1836" s="26"/>
      <c r="R1836" s="26"/>
      <c r="S1836" s="26"/>
      <c r="T1836" s="26"/>
      <c r="U1836" s="26"/>
      <c r="V1836" s="26"/>
      <c r="W1836" s="26"/>
      <c r="X1836" s="26"/>
      <c r="Y1836" s="26"/>
      <c r="Z1836" s="26"/>
    </row>
    <row r="1837" customHeight="1" spans="1:26">
      <c r="A1837" s="27"/>
      <c r="B1837" s="2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c r="Z1837" s="27"/>
    </row>
    <row r="1838" customHeight="1" spans="1:26">
      <c r="A1838" s="26"/>
      <c r="B1838" s="26"/>
      <c r="C1838" s="26"/>
      <c r="D1838" s="26"/>
      <c r="E1838" s="26"/>
      <c r="F1838" s="26"/>
      <c r="G1838" s="26"/>
      <c r="H1838" s="26"/>
      <c r="I1838" s="26"/>
      <c r="J1838" s="26"/>
      <c r="K1838" s="26"/>
      <c r="L1838" s="26"/>
      <c r="M1838" s="26"/>
      <c r="N1838" s="26"/>
      <c r="O1838" s="26"/>
      <c r="P1838" s="26"/>
      <c r="Q1838" s="26"/>
      <c r="R1838" s="26"/>
      <c r="S1838" s="26"/>
      <c r="T1838" s="26"/>
      <c r="U1838" s="26"/>
      <c r="V1838" s="26"/>
      <c r="W1838" s="26"/>
      <c r="X1838" s="26"/>
      <c r="Y1838" s="26"/>
      <c r="Z1838" s="26"/>
    </row>
    <row r="1839" customHeight="1" spans="1:26">
      <c r="A1839" s="27"/>
      <c r="B1839" s="27"/>
      <c r="C1839" s="27"/>
      <c r="D1839" s="27"/>
      <c r="E1839" s="27"/>
      <c r="F1839" s="27"/>
      <c r="G1839" s="27"/>
      <c r="H1839" s="27"/>
      <c r="I1839" s="27"/>
      <c r="J1839" s="27"/>
      <c r="K1839" s="27"/>
      <c r="L1839" s="27"/>
      <c r="M1839" s="27"/>
      <c r="N1839" s="27"/>
      <c r="O1839" s="27"/>
      <c r="P1839" s="27"/>
      <c r="Q1839" s="27"/>
      <c r="R1839" s="27"/>
      <c r="S1839" s="27"/>
      <c r="T1839" s="27"/>
      <c r="U1839" s="27"/>
      <c r="V1839" s="27"/>
      <c r="W1839" s="27"/>
      <c r="X1839" s="27"/>
      <c r="Y1839" s="27"/>
      <c r="Z1839" s="27"/>
    </row>
    <row r="1840" customHeight="1" spans="1:26">
      <c r="A1840" s="26"/>
      <c r="B1840" s="26"/>
      <c r="C1840" s="26"/>
      <c r="D1840" s="26"/>
      <c r="E1840" s="26"/>
      <c r="F1840" s="26"/>
      <c r="G1840" s="26"/>
      <c r="H1840" s="26"/>
      <c r="I1840" s="26"/>
      <c r="J1840" s="26"/>
      <c r="K1840" s="26"/>
      <c r="L1840" s="26"/>
      <c r="M1840" s="26"/>
      <c r="N1840" s="26"/>
      <c r="O1840" s="26"/>
      <c r="P1840" s="26"/>
      <c r="Q1840" s="26"/>
      <c r="R1840" s="26"/>
      <c r="S1840" s="26"/>
      <c r="T1840" s="26"/>
      <c r="U1840" s="26"/>
      <c r="V1840" s="26"/>
      <c r="W1840" s="26"/>
      <c r="X1840" s="26"/>
      <c r="Y1840" s="26"/>
      <c r="Z1840" s="26"/>
    </row>
    <row r="1841" customHeight="1" spans="1:26">
      <c r="A1841" s="27"/>
      <c r="B1841" s="27"/>
      <c r="C1841" s="27"/>
      <c r="D1841" s="27"/>
      <c r="E1841" s="27"/>
      <c r="F1841" s="27"/>
      <c r="G1841" s="27"/>
      <c r="H1841" s="27"/>
      <c r="I1841" s="27"/>
      <c r="J1841" s="27"/>
      <c r="K1841" s="27"/>
      <c r="L1841" s="27"/>
      <c r="M1841" s="27"/>
      <c r="N1841" s="27"/>
      <c r="O1841" s="27"/>
      <c r="P1841" s="27"/>
      <c r="Q1841" s="27"/>
      <c r="R1841" s="27"/>
      <c r="S1841" s="27"/>
      <c r="T1841" s="27"/>
      <c r="U1841" s="27"/>
      <c r="V1841" s="27"/>
      <c r="W1841" s="27"/>
      <c r="X1841" s="27"/>
      <c r="Y1841" s="27"/>
      <c r="Z1841" s="27"/>
    </row>
    <row r="1842" customHeight="1" spans="1:26">
      <c r="A1842" s="26"/>
      <c r="B1842" s="26"/>
      <c r="C1842" s="26"/>
      <c r="D1842" s="26"/>
      <c r="E1842" s="26"/>
      <c r="F1842" s="26"/>
      <c r="G1842" s="26"/>
      <c r="H1842" s="26"/>
      <c r="I1842" s="26"/>
      <c r="J1842" s="26"/>
      <c r="K1842" s="26"/>
      <c r="L1842" s="26"/>
      <c r="M1842" s="26"/>
      <c r="N1842" s="26"/>
      <c r="O1842" s="26"/>
      <c r="P1842" s="26"/>
      <c r="Q1842" s="26"/>
      <c r="R1842" s="26"/>
      <c r="S1842" s="26"/>
      <c r="T1842" s="26"/>
      <c r="U1842" s="26"/>
      <c r="V1842" s="26"/>
      <c r="W1842" s="26"/>
      <c r="X1842" s="26"/>
      <c r="Y1842" s="26"/>
      <c r="Z1842" s="26"/>
    </row>
    <row r="1843" customHeight="1" spans="1:26">
      <c r="A1843" s="27"/>
      <c r="B1843" s="27"/>
      <c r="C1843" s="27"/>
      <c r="D1843" s="27"/>
      <c r="E1843" s="27"/>
      <c r="F1843" s="27"/>
      <c r="G1843" s="27"/>
      <c r="H1843" s="27"/>
      <c r="I1843" s="27"/>
      <c r="J1843" s="27"/>
      <c r="K1843" s="27"/>
      <c r="L1843" s="27"/>
      <c r="M1843" s="27"/>
      <c r="N1843" s="27"/>
      <c r="O1843" s="27"/>
      <c r="P1843" s="27"/>
      <c r="Q1843" s="27"/>
      <c r="R1843" s="27"/>
      <c r="S1843" s="27"/>
      <c r="T1843" s="27"/>
      <c r="U1843" s="27"/>
      <c r="V1843" s="27"/>
      <c r="W1843" s="27"/>
      <c r="X1843" s="27"/>
      <c r="Y1843" s="27"/>
      <c r="Z1843" s="27"/>
    </row>
    <row r="1844" customHeight="1" spans="1:26">
      <c r="A1844" s="26"/>
      <c r="B1844" s="26"/>
      <c r="C1844" s="26"/>
      <c r="D1844" s="26"/>
      <c r="E1844" s="26"/>
      <c r="F1844" s="26"/>
      <c r="G1844" s="26"/>
      <c r="H1844" s="26"/>
      <c r="I1844" s="26"/>
      <c r="J1844" s="26"/>
      <c r="K1844" s="26"/>
      <c r="L1844" s="26"/>
      <c r="M1844" s="26"/>
      <c r="N1844" s="26"/>
      <c r="O1844" s="26"/>
      <c r="P1844" s="26"/>
      <c r="Q1844" s="26"/>
      <c r="R1844" s="26"/>
      <c r="S1844" s="26"/>
      <c r="T1844" s="26"/>
      <c r="U1844" s="26"/>
      <c r="V1844" s="26"/>
      <c r="W1844" s="26"/>
      <c r="X1844" s="26"/>
      <c r="Y1844" s="26"/>
      <c r="Z1844" s="26"/>
    </row>
    <row r="1845" customHeight="1" spans="1:26">
      <c r="A1845" s="27"/>
      <c r="B1845" s="27"/>
      <c r="C1845" s="27"/>
      <c r="D1845" s="27"/>
      <c r="E1845" s="27"/>
      <c r="F1845" s="27"/>
      <c r="G1845" s="27"/>
      <c r="H1845" s="27"/>
      <c r="I1845" s="27"/>
      <c r="J1845" s="27"/>
      <c r="K1845" s="27"/>
      <c r="L1845" s="27"/>
      <c r="M1845" s="27"/>
      <c r="N1845" s="27"/>
      <c r="O1845" s="27"/>
      <c r="P1845" s="27"/>
      <c r="Q1845" s="27"/>
      <c r="R1845" s="27"/>
      <c r="S1845" s="27"/>
      <c r="T1845" s="27"/>
      <c r="U1845" s="27"/>
      <c r="V1845" s="27"/>
      <c r="W1845" s="27"/>
      <c r="X1845" s="27"/>
      <c r="Y1845" s="27"/>
      <c r="Z1845" s="27"/>
    </row>
    <row r="1846" customHeight="1" spans="1:26">
      <c r="A1846" s="26"/>
      <c r="B1846" s="26"/>
      <c r="C1846" s="26"/>
      <c r="D1846" s="26"/>
      <c r="E1846" s="26"/>
      <c r="F1846" s="26"/>
      <c r="G1846" s="26"/>
      <c r="H1846" s="26"/>
      <c r="I1846" s="26"/>
      <c r="J1846" s="26"/>
      <c r="K1846" s="26"/>
      <c r="L1846" s="26"/>
      <c r="M1846" s="26"/>
      <c r="N1846" s="26"/>
      <c r="O1846" s="26"/>
      <c r="P1846" s="26"/>
      <c r="Q1846" s="26"/>
      <c r="R1846" s="26"/>
      <c r="S1846" s="26"/>
      <c r="T1846" s="26"/>
      <c r="U1846" s="26"/>
      <c r="V1846" s="26"/>
      <c r="W1846" s="26"/>
      <c r="X1846" s="26"/>
      <c r="Y1846" s="26"/>
      <c r="Z1846" s="26"/>
    </row>
    <row r="1847" customHeight="1" spans="1:26">
      <c r="A1847" s="27"/>
      <c r="B1847" s="27"/>
      <c r="C1847" s="27"/>
      <c r="D1847" s="27"/>
      <c r="E1847" s="27"/>
      <c r="F1847" s="27"/>
      <c r="G1847" s="27"/>
      <c r="H1847" s="27"/>
      <c r="I1847" s="27"/>
      <c r="J1847" s="27"/>
      <c r="K1847" s="27"/>
      <c r="L1847" s="27"/>
      <c r="M1847" s="27"/>
      <c r="N1847" s="27"/>
      <c r="O1847" s="27"/>
      <c r="P1847" s="27"/>
      <c r="Q1847" s="27"/>
      <c r="R1847" s="27"/>
      <c r="S1847" s="27"/>
      <c r="T1847" s="27"/>
      <c r="U1847" s="27"/>
      <c r="V1847" s="27"/>
      <c r="W1847" s="27"/>
      <c r="X1847" s="27"/>
      <c r="Y1847" s="27"/>
      <c r="Z1847" s="27"/>
    </row>
    <row r="1848" customHeight="1" spans="1:26">
      <c r="A1848" s="26"/>
      <c r="B1848" s="26"/>
      <c r="C1848" s="26"/>
      <c r="D1848" s="26"/>
      <c r="E1848" s="26"/>
      <c r="F1848" s="26"/>
      <c r="G1848" s="26"/>
      <c r="H1848" s="26"/>
      <c r="I1848" s="26"/>
      <c r="J1848" s="26"/>
      <c r="K1848" s="26"/>
      <c r="L1848" s="26"/>
      <c r="M1848" s="26"/>
      <c r="N1848" s="26"/>
      <c r="O1848" s="26"/>
      <c r="P1848" s="26"/>
      <c r="Q1848" s="26"/>
      <c r="R1848" s="26"/>
      <c r="S1848" s="26"/>
      <c r="T1848" s="26"/>
      <c r="U1848" s="26"/>
      <c r="V1848" s="26"/>
      <c r="W1848" s="26"/>
      <c r="X1848" s="26"/>
      <c r="Y1848" s="26"/>
      <c r="Z1848" s="26"/>
    </row>
    <row r="1849" customHeight="1" spans="1:26">
      <c r="A1849" s="27"/>
      <c r="B1849" s="27"/>
      <c r="C1849" s="27"/>
      <c r="D1849" s="27"/>
      <c r="E1849" s="27"/>
      <c r="F1849" s="27"/>
      <c r="G1849" s="27"/>
      <c r="H1849" s="27"/>
      <c r="I1849" s="27"/>
      <c r="J1849" s="27"/>
      <c r="K1849" s="27"/>
      <c r="L1849" s="27"/>
      <c r="M1849" s="27"/>
      <c r="N1849" s="27"/>
      <c r="O1849" s="27"/>
      <c r="P1849" s="27"/>
      <c r="Q1849" s="27"/>
      <c r="R1849" s="27"/>
      <c r="S1849" s="27"/>
      <c r="T1849" s="27"/>
      <c r="U1849" s="27"/>
      <c r="V1849" s="27"/>
      <c r="W1849" s="27"/>
      <c r="X1849" s="27"/>
      <c r="Y1849" s="27"/>
      <c r="Z1849" s="27"/>
    </row>
    <row r="1850" customHeight="1" spans="1:26">
      <c r="A1850" s="26"/>
      <c r="B1850" s="26"/>
      <c r="C1850" s="26"/>
      <c r="D1850" s="26"/>
      <c r="E1850" s="26"/>
      <c r="F1850" s="26"/>
      <c r="G1850" s="26"/>
      <c r="H1850" s="26"/>
      <c r="I1850" s="26"/>
      <c r="J1850" s="26"/>
      <c r="K1850" s="26"/>
      <c r="L1850" s="26"/>
      <c r="M1850" s="26"/>
      <c r="N1850" s="26"/>
      <c r="O1850" s="26"/>
      <c r="P1850" s="26"/>
      <c r="Q1850" s="26"/>
      <c r="R1850" s="26"/>
      <c r="S1850" s="26"/>
      <c r="T1850" s="26"/>
      <c r="U1850" s="26"/>
      <c r="V1850" s="26"/>
      <c r="W1850" s="26"/>
      <c r="X1850" s="26"/>
      <c r="Y1850" s="26"/>
      <c r="Z1850" s="26"/>
    </row>
    <row r="1851" customHeight="1" spans="1:26">
      <c r="A1851" s="27"/>
      <c r="B1851" s="27"/>
      <c r="C1851" s="27"/>
      <c r="D1851" s="27"/>
      <c r="E1851" s="27"/>
      <c r="F1851" s="27"/>
      <c r="G1851" s="27"/>
      <c r="H1851" s="27"/>
      <c r="I1851" s="27"/>
      <c r="J1851" s="27"/>
      <c r="K1851" s="27"/>
      <c r="L1851" s="27"/>
      <c r="M1851" s="27"/>
      <c r="N1851" s="27"/>
      <c r="O1851" s="27"/>
      <c r="P1851" s="27"/>
      <c r="Q1851" s="27"/>
      <c r="R1851" s="27"/>
      <c r="S1851" s="27"/>
      <c r="T1851" s="27"/>
      <c r="U1851" s="27"/>
      <c r="V1851" s="27"/>
      <c r="W1851" s="27"/>
      <c r="X1851" s="27"/>
      <c r="Y1851" s="27"/>
      <c r="Z1851" s="27"/>
    </row>
    <row r="1852" customHeight="1" spans="1:26">
      <c r="A1852" s="26"/>
      <c r="B1852" s="26"/>
      <c r="C1852" s="26"/>
      <c r="D1852" s="26"/>
      <c r="E1852" s="26"/>
      <c r="F1852" s="26"/>
      <c r="G1852" s="26"/>
      <c r="H1852" s="26"/>
      <c r="I1852" s="26"/>
      <c r="J1852" s="26"/>
      <c r="K1852" s="26"/>
      <c r="L1852" s="26"/>
      <c r="M1852" s="26"/>
      <c r="N1852" s="26"/>
      <c r="O1852" s="26"/>
      <c r="P1852" s="26"/>
      <c r="Q1852" s="26"/>
      <c r="R1852" s="26"/>
      <c r="S1852" s="26"/>
      <c r="T1852" s="26"/>
      <c r="U1852" s="26"/>
      <c r="V1852" s="26"/>
      <c r="W1852" s="26"/>
      <c r="X1852" s="26"/>
      <c r="Y1852" s="26"/>
      <c r="Z1852" s="26"/>
    </row>
    <row r="1853" customHeight="1" spans="1:26">
      <c r="A1853" s="27"/>
      <c r="B1853" s="27"/>
      <c r="C1853" s="27"/>
      <c r="D1853" s="27"/>
      <c r="E1853" s="27"/>
      <c r="F1853" s="27"/>
      <c r="G1853" s="27"/>
      <c r="H1853" s="27"/>
      <c r="I1853" s="27"/>
      <c r="J1853" s="27"/>
      <c r="K1853" s="27"/>
      <c r="L1853" s="27"/>
      <c r="M1853" s="27"/>
      <c r="N1853" s="27"/>
      <c r="O1853" s="27"/>
      <c r="P1853" s="27"/>
      <c r="Q1853" s="27"/>
      <c r="R1853" s="27"/>
      <c r="S1853" s="27"/>
      <c r="T1853" s="27"/>
      <c r="U1853" s="27"/>
      <c r="V1853" s="27"/>
      <c r="W1853" s="27"/>
      <c r="X1853" s="27"/>
      <c r="Y1853" s="27"/>
      <c r="Z1853" s="27"/>
    </row>
    <row r="1854" customHeight="1" spans="1:26">
      <c r="A1854" s="26"/>
      <c r="B1854" s="26"/>
      <c r="C1854" s="26"/>
      <c r="D1854" s="26"/>
      <c r="E1854" s="26"/>
      <c r="F1854" s="26"/>
      <c r="G1854" s="26"/>
      <c r="H1854" s="26"/>
      <c r="I1854" s="26"/>
      <c r="J1854" s="26"/>
      <c r="K1854" s="26"/>
      <c r="L1854" s="26"/>
      <c r="M1854" s="26"/>
      <c r="N1854" s="26"/>
      <c r="O1854" s="26"/>
      <c r="P1854" s="26"/>
      <c r="Q1854" s="26"/>
      <c r="R1854" s="26"/>
      <c r="S1854" s="26"/>
      <c r="T1854" s="26"/>
      <c r="U1854" s="26"/>
      <c r="V1854" s="26"/>
      <c r="W1854" s="26"/>
      <c r="X1854" s="26"/>
      <c r="Y1854" s="26"/>
      <c r="Z1854" s="26"/>
    </row>
    <row r="1855" customHeight="1" spans="1:26">
      <c r="A1855" s="27"/>
      <c r="B1855" s="27"/>
      <c r="C1855" s="27"/>
      <c r="D1855" s="27"/>
      <c r="E1855" s="27"/>
      <c r="F1855" s="27"/>
      <c r="G1855" s="27"/>
      <c r="H1855" s="27"/>
      <c r="I1855" s="27"/>
      <c r="J1855" s="27"/>
      <c r="K1855" s="27"/>
      <c r="L1855" s="27"/>
      <c r="M1855" s="27"/>
      <c r="N1855" s="27"/>
      <c r="O1855" s="27"/>
      <c r="P1855" s="27"/>
      <c r="Q1855" s="27"/>
      <c r="R1855" s="27"/>
      <c r="S1855" s="27"/>
      <c r="T1855" s="27"/>
      <c r="U1855" s="27"/>
      <c r="V1855" s="27"/>
      <c r="W1855" s="27"/>
      <c r="X1855" s="27"/>
      <c r="Y1855" s="27"/>
      <c r="Z1855" s="27"/>
    </row>
    <row r="1856" customHeight="1" spans="1:26">
      <c r="A1856" s="26"/>
      <c r="B1856" s="26"/>
      <c r="C1856" s="26"/>
      <c r="D1856" s="26"/>
      <c r="E1856" s="26"/>
      <c r="F1856" s="26"/>
      <c r="G1856" s="26"/>
      <c r="H1856" s="26"/>
      <c r="I1856" s="26"/>
      <c r="J1856" s="26"/>
      <c r="K1856" s="26"/>
      <c r="L1856" s="26"/>
      <c r="M1856" s="26"/>
      <c r="N1856" s="26"/>
      <c r="O1856" s="26"/>
      <c r="P1856" s="26"/>
      <c r="Q1856" s="26"/>
      <c r="R1856" s="26"/>
      <c r="S1856" s="26"/>
      <c r="T1856" s="26"/>
      <c r="U1856" s="26"/>
      <c r="V1856" s="26"/>
      <c r="W1856" s="26"/>
      <c r="X1856" s="26"/>
      <c r="Y1856" s="26"/>
      <c r="Z1856" s="26"/>
    </row>
    <row r="1857" customHeight="1" spans="1:26">
      <c r="A1857" s="27"/>
      <c r="B1857" s="2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c r="Z1857" s="27"/>
    </row>
    <row r="1858" customHeight="1" spans="1:26">
      <c r="A1858" s="26"/>
      <c r="B1858" s="26"/>
      <c r="C1858" s="26"/>
      <c r="D1858" s="26"/>
      <c r="E1858" s="26"/>
      <c r="F1858" s="26"/>
      <c r="G1858" s="26"/>
      <c r="H1858" s="26"/>
      <c r="I1858" s="26"/>
      <c r="J1858" s="26"/>
      <c r="K1858" s="26"/>
      <c r="L1858" s="26"/>
      <c r="M1858" s="26"/>
      <c r="N1858" s="26"/>
      <c r="O1858" s="26"/>
      <c r="P1858" s="26"/>
      <c r="Q1858" s="26"/>
      <c r="R1858" s="26"/>
      <c r="S1858" s="26"/>
      <c r="T1858" s="26"/>
      <c r="U1858" s="26"/>
      <c r="V1858" s="26"/>
      <c r="W1858" s="26"/>
      <c r="X1858" s="26"/>
      <c r="Y1858" s="26"/>
      <c r="Z1858" s="26"/>
    </row>
    <row r="1859" customHeight="1" spans="1:26">
      <c r="A1859" s="27"/>
      <c r="B1859" s="27"/>
      <c r="C1859" s="27"/>
      <c r="D1859" s="27"/>
      <c r="E1859" s="27"/>
      <c r="F1859" s="27"/>
      <c r="G1859" s="27"/>
      <c r="H1859" s="27"/>
      <c r="I1859" s="27"/>
      <c r="J1859" s="27"/>
      <c r="K1859" s="27"/>
      <c r="L1859" s="27"/>
      <c r="M1859" s="27"/>
      <c r="N1859" s="27"/>
      <c r="O1859" s="27"/>
      <c r="P1859" s="27"/>
      <c r="Q1859" s="27"/>
      <c r="R1859" s="27"/>
      <c r="S1859" s="27"/>
      <c r="T1859" s="27"/>
      <c r="U1859" s="27"/>
      <c r="V1859" s="27"/>
      <c r="W1859" s="27"/>
      <c r="X1859" s="27"/>
      <c r="Y1859" s="27"/>
      <c r="Z1859" s="27"/>
    </row>
    <row r="1860" customHeight="1" spans="1:26">
      <c r="A1860" s="26"/>
      <c r="B1860" s="26"/>
      <c r="C1860" s="26"/>
      <c r="D1860" s="26"/>
      <c r="E1860" s="26"/>
      <c r="F1860" s="26"/>
      <c r="G1860" s="26"/>
      <c r="H1860" s="26"/>
      <c r="I1860" s="26"/>
      <c r="J1860" s="26"/>
      <c r="K1860" s="26"/>
      <c r="L1860" s="26"/>
      <c r="M1860" s="26"/>
      <c r="N1860" s="26"/>
      <c r="O1860" s="26"/>
      <c r="P1860" s="26"/>
      <c r="Q1860" s="26"/>
      <c r="R1860" s="26"/>
      <c r="S1860" s="26"/>
      <c r="T1860" s="26"/>
      <c r="U1860" s="26"/>
      <c r="V1860" s="26"/>
      <c r="W1860" s="26"/>
      <c r="X1860" s="26"/>
      <c r="Y1860" s="26"/>
      <c r="Z1860" s="26"/>
    </row>
    <row r="1861" customHeight="1" spans="1:26">
      <c r="A1861" s="27"/>
      <c r="B1861" s="27"/>
      <c r="C1861" s="27"/>
      <c r="D1861" s="27"/>
      <c r="E1861" s="27"/>
      <c r="F1861" s="27"/>
      <c r="G1861" s="27"/>
      <c r="H1861" s="27"/>
      <c r="I1861" s="27"/>
      <c r="J1861" s="27"/>
      <c r="K1861" s="27"/>
      <c r="L1861" s="27"/>
      <c r="M1861" s="27"/>
      <c r="N1861" s="27"/>
      <c r="O1861" s="27"/>
      <c r="P1861" s="27"/>
      <c r="Q1861" s="27"/>
      <c r="R1861" s="27"/>
      <c r="S1861" s="27"/>
      <c r="T1861" s="27"/>
      <c r="U1861" s="27"/>
      <c r="V1861" s="27"/>
      <c r="W1861" s="27"/>
      <c r="X1861" s="27"/>
      <c r="Y1861" s="27"/>
      <c r="Z1861" s="27"/>
    </row>
    <row r="1862" customHeight="1" spans="1:26">
      <c r="A1862" s="26"/>
      <c r="B1862" s="26"/>
      <c r="C1862" s="26"/>
      <c r="D1862" s="26"/>
      <c r="E1862" s="26"/>
      <c r="F1862" s="26"/>
      <c r="G1862" s="26"/>
      <c r="H1862" s="26"/>
      <c r="I1862" s="26"/>
      <c r="J1862" s="26"/>
      <c r="K1862" s="26"/>
      <c r="L1862" s="26"/>
      <c r="M1862" s="26"/>
      <c r="N1862" s="26"/>
      <c r="O1862" s="26"/>
      <c r="P1862" s="26"/>
      <c r="Q1862" s="26"/>
      <c r="R1862" s="26"/>
      <c r="S1862" s="26"/>
      <c r="T1862" s="26"/>
      <c r="U1862" s="26"/>
      <c r="V1862" s="26"/>
      <c r="W1862" s="26"/>
      <c r="X1862" s="26"/>
      <c r="Y1862" s="26"/>
      <c r="Z1862" s="26"/>
    </row>
    <row r="1863" customHeight="1" spans="1:26">
      <c r="A1863" s="27"/>
      <c r="B1863" s="27"/>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row>
    <row r="1864" customHeight="1" spans="1:26">
      <c r="A1864" s="26"/>
      <c r="B1864" s="26"/>
      <c r="C1864" s="26"/>
      <c r="D1864" s="26"/>
      <c r="E1864" s="26"/>
      <c r="F1864" s="26"/>
      <c r="G1864" s="26"/>
      <c r="H1864" s="26"/>
      <c r="I1864" s="26"/>
      <c r="J1864" s="26"/>
      <c r="K1864" s="26"/>
      <c r="L1864" s="26"/>
      <c r="M1864" s="26"/>
      <c r="N1864" s="26"/>
      <c r="O1864" s="26"/>
      <c r="P1864" s="26"/>
      <c r="Q1864" s="26"/>
      <c r="R1864" s="26"/>
      <c r="S1864" s="26"/>
      <c r="T1864" s="26"/>
      <c r="U1864" s="26"/>
      <c r="V1864" s="26"/>
      <c r="W1864" s="26"/>
      <c r="X1864" s="26"/>
      <c r="Y1864" s="26"/>
      <c r="Z1864" s="26"/>
    </row>
    <row r="1865" customHeight="1" spans="1:26">
      <c r="A1865" s="27"/>
      <c r="B1865" s="27"/>
      <c r="C1865" s="27"/>
      <c r="D1865" s="27"/>
      <c r="E1865" s="27"/>
      <c r="F1865" s="27"/>
      <c r="G1865" s="27"/>
      <c r="H1865" s="27"/>
      <c r="I1865" s="27"/>
      <c r="J1865" s="27"/>
      <c r="K1865" s="27"/>
      <c r="L1865" s="27"/>
      <c r="M1865" s="27"/>
      <c r="N1865" s="27"/>
      <c r="O1865" s="27"/>
      <c r="P1865" s="27"/>
      <c r="Q1865" s="27"/>
      <c r="R1865" s="27"/>
      <c r="S1865" s="27"/>
      <c r="T1865" s="27"/>
      <c r="U1865" s="27"/>
      <c r="V1865" s="27"/>
      <c r="W1865" s="27"/>
      <c r="X1865" s="27"/>
      <c r="Y1865" s="27"/>
      <c r="Z1865" s="27"/>
    </row>
    <row r="1866" customHeight="1" spans="1:26">
      <c r="A1866" s="26"/>
      <c r="B1866" s="26"/>
      <c r="C1866" s="26"/>
      <c r="D1866" s="26"/>
      <c r="E1866" s="26"/>
      <c r="F1866" s="26"/>
      <c r="G1866" s="26"/>
      <c r="H1866" s="26"/>
      <c r="I1866" s="26"/>
      <c r="J1866" s="26"/>
      <c r="K1866" s="26"/>
      <c r="L1866" s="26"/>
      <c r="M1866" s="26"/>
      <c r="N1866" s="26"/>
      <c r="O1866" s="26"/>
      <c r="P1866" s="26"/>
      <c r="Q1866" s="26"/>
      <c r="R1866" s="26"/>
      <c r="S1866" s="26"/>
      <c r="T1866" s="26"/>
      <c r="U1866" s="26"/>
      <c r="V1866" s="26"/>
      <c r="W1866" s="26"/>
      <c r="X1866" s="26"/>
      <c r="Y1866" s="26"/>
      <c r="Z1866" s="26"/>
    </row>
    <row r="1867" customHeight="1" spans="1:26">
      <c r="A1867" s="27"/>
      <c r="B1867" s="2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c r="Z1867" s="27"/>
    </row>
    <row r="1868" customHeight="1" spans="1:26">
      <c r="A1868" s="26"/>
      <c r="B1868" s="26"/>
      <c r="C1868" s="26"/>
      <c r="D1868" s="26"/>
      <c r="E1868" s="26"/>
      <c r="F1868" s="26"/>
      <c r="G1868" s="26"/>
      <c r="H1868" s="26"/>
      <c r="I1868" s="26"/>
      <c r="J1868" s="26"/>
      <c r="K1868" s="26"/>
      <c r="L1868" s="26"/>
      <c r="M1868" s="26"/>
      <c r="N1868" s="26"/>
      <c r="O1868" s="26"/>
      <c r="P1868" s="26"/>
      <c r="Q1868" s="26"/>
      <c r="R1868" s="26"/>
      <c r="S1868" s="26"/>
      <c r="T1868" s="26"/>
      <c r="U1868" s="26"/>
      <c r="V1868" s="26"/>
      <c r="W1868" s="26"/>
      <c r="X1868" s="26"/>
      <c r="Y1868" s="26"/>
      <c r="Z1868" s="26"/>
    </row>
    <row r="1869" customHeight="1" spans="1:26">
      <c r="A1869" s="27"/>
      <c r="B1869" s="27"/>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row>
    <row r="1870" customHeight="1" spans="1:26">
      <c r="A1870" s="26"/>
      <c r="B1870" s="26"/>
      <c r="C1870" s="26"/>
      <c r="D1870" s="26"/>
      <c r="E1870" s="26"/>
      <c r="F1870" s="26"/>
      <c r="G1870" s="26"/>
      <c r="H1870" s="26"/>
      <c r="I1870" s="26"/>
      <c r="J1870" s="26"/>
      <c r="K1870" s="26"/>
      <c r="L1870" s="26"/>
      <c r="M1870" s="26"/>
      <c r="N1870" s="26"/>
      <c r="O1870" s="26"/>
      <c r="P1870" s="26"/>
      <c r="Q1870" s="26"/>
      <c r="R1870" s="26"/>
      <c r="S1870" s="26"/>
      <c r="T1870" s="26"/>
      <c r="U1870" s="26"/>
      <c r="V1870" s="26"/>
      <c r="W1870" s="26"/>
      <c r="X1870" s="26"/>
      <c r="Y1870" s="26"/>
      <c r="Z1870" s="26"/>
    </row>
    <row r="1871" customHeight="1" spans="1:26">
      <c r="A1871" s="27"/>
      <c r="B1871" s="27"/>
      <c r="C1871" s="27"/>
      <c r="D1871" s="27"/>
      <c r="E1871" s="27"/>
      <c r="F1871" s="27"/>
      <c r="G1871" s="27"/>
      <c r="H1871" s="27"/>
      <c r="I1871" s="27"/>
      <c r="J1871" s="27"/>
      <c r="K1871" s="27"/>
      <c r="L1871" s="27"/>
      <c r="M1871" s="27"/>
      <c r="N1871" s="27"/>
      <c r="O1871" s="27"/>
      <c r="P1871" s="27"/>
      <c r="Q1871" s="27"/>
      <c r="R1871" s="27"/>
      <c r="S1871" s="27"/>
      <c r="T1871" s="27"/>
      <c r="U1871" s="27"/>
      <c r="V1871" s="27"/>
      <c r="W1871" s="27"/>
      <c r="X1871" s="27"/>
      <c r="Y1871" s="27"/>
      <c r="Z1871" s="27"/>
    </row>
    <row r="1872" customHeight="1" spans="1:26">
      <c r="A1872" s="26"/>
      <c r="B1872" s="26"/>
      <c r="C1872" s="26"/>
      <c r="D1872" s="26"/>
      <c r="E1872" s="26"/>
      <c r="F1872" s="26"/>
      <c r="G1872" s="26"/>
      <c r="H1872" s="26"/>
      <c r="I1872" s="26"/>
      <c r="J1872" s="26"/>
      <c r="K1872" s="26"/>
      <c r="L1872" s="26"/>
      <c r="M1872" s="26"/>
      <c r="N1872" s="26"/>
      <c r="O1872" s="26"/>
      <c r="P1872" s="26"/>
      <c r="Q1872" s="26"/>
      <c r="R1872" s="26"/>
      <c r="S1872" s="26"/>
      <c r="T1872" s="26"/>
      <c r="U1872" s="26"/>
      <c r="V1872" s="26"/>
      <c r="W1872" s="26"/>
      <c r="X1872" s="26"/>
      <c r="Y1872" s="26"/>
      <c r="Z1872" s="26"/>
    </row>
    <row r="1873" customHeight="1" spans="1:26">
      <c r="A1873" s="27"/>
      <c r="B1873" s="27"/>
      <c r="C1873" s="27"/>
      <c r="D1873" s="27"/>
      <c r="E1873" s="27"/>
      <c r="F1873" s="27"/>
      <c r="G1873" s="27"/>
      <c r="H1873" s="27"/>
      <c r="I1873" s="27"/>
      <c r="J1873" s="27"/>
      <c r="K1873" s="27"/>
      <c r="L1873" s="27"/>
      <c r="M1873" s="27"/>
      <c r="N1873" s="27"/>
      <c r="O1873" s="27"/>
      <c r="P1873" s="27"/>
      <c r="Q1873" s="27"/>
      <c r="R1873" s="27"/>
      <c r="S1873" s="27"/>
      <c r="T1873" s="27"/>
      <c r="U1873" s="27"/>
      <c r="V1873" s="27"/>
      <c r="W1873" s="27"/>
      <c r="X1873" s="27"/>
      <c r="Y1873" s="27"/>
      <c r="Z1873" s="27"/>
    </row>
    <row r="1874" customHeight="1" spans="1:26">
      <c r="A1874" s="26"/>
      <c r="B1874" s="26"/>
      <c r="C1874" s="26"/>
      <c r="D1874" s="26"/>
      <c r="E1874" s="26"/>
      <c r="F1874" s="26"/>
      <c r="G1874" s="26"/>
      <c r="H1874" s="26"/>
      <c r="I1874" s="26"/>
      <c r="J1874" s="26"/>
      <c r="K1874" s="26"/>
      <c r="L1874" s="26"/>
      <c r="M1874" s="26"/>
      <c r="N1874" s="26"/>
      <c r="O1874" s="26"/>
      <c r="P1874" s="26"/>
      <c r="Q1874" s="26"/>
      <c r="R1874" s="26"/>
      <c r="S1874" s="26"/>
      <c r="T1874" s="26"/>
      <c r="U1874" s="26"/>
      <c r="V1874" s="26"/>
      <c r="W1874" s="26"/>
      <c r="X1874" s="26"/>
      <c r="Y1874" s="26"/>
      <c r="Z1874" s="26"/>
    </row>
    <row r="1875" customHeight="1" spans="1:26">
      <c r="A1875" s="27"/>
      <c r="B1875" s="27"/>
      <c r="C1875" s="27"/>
      <c r="D1875" s="27"/>
      <c r="E1875" s="27"/>
      <c r="F1875" s="27"/>
      <c r="G1875" s="27"/>
      <c r="H1875" s="27"/>
      <c r="I1875" s="27"/>
      <c r="J1875" s="27"/>
      <c r="K1875" s="27"/>
      <c r="L1875" s="27"/>
      <c r="M1875" s="27"/>
      <c r="N1875" s="27"/>
      <c r="O1875" s="27"/>
      <c r="P1875" s="27"/>
      <c r="Q1875" s="27"/>
      <c r="R1875" s="27"/>
      <c r="S1875" s="27"/>
      <c r="T1875" s="27"/>
      <c r="U1875" s="27"/>
      <c r="V1875" s="27"/>
      <c r="W1875" s="27"/>
      <c r="X1875" s="27"/>
      <c r="Y1875" s="27"/>
      <c r="Z1875" s="27"/>
    </row>
    <row r="1876" customHeight="1" spans="1:26">
      <c r="A1876" s="26"/>
      <c r="B1876" s="26"/>
      <c r="C1876" s="26"/>
      <c r="D1876" s="26"/>
      <c r="E1876" s="26"/>
      <c r="F1876" s="26"/>
      <c r="G1876" s="26"/>
      <c r="H1876" s="26"/>
      <c r="I1876" s="26"/>
      <c r="J1876" s="26"/>
      <c r="K1876" s="26"/>
      <c r="L1876" s="26"/>
      <c r="M1876" s="26"/>
      <c r="N1876" s="26"/>
      <c r="O1876" s="26"/>
      <c r="P1876" s="26"/>
      <c r="Q1876" s="26"/>
      <c r="R1876" s="26"/>
      <c r="S1876" s="26"/>
      <c r="T1876" s="26"/>
      <c r="U1876" s="26"/>
      <c r="V1876" s="26"/>
      <c r="W1876" s="26"/>
      <c r="X1876" s="26"/>
      <c r="Y1876" s="26"/>
      <c r="Z1876" s="26"/>
    </row>
    <row r="1877" customHeight="1" spans="1:26">
      <c r="A1877" s="27"/>
      <c r="B1877" s="27"/>
      <c r="C1877" s="27"/>
      <c r="D1877" s="27"/>
      <c r="E1877" s="27"/>
      <c r="F1877" s="27"/>
      <c r="G1877" s="27"/>
      <c r="H1877" s="27"/>
      <c r="I1877" s="27"/>
      <c r="J1877" s="27"/>
      <c r="K1877" s="27"/>
      <c r="L1877" s="27"/>
      <c r="M1877" s="27"/>
      <c r="N1877" s="27"/>
      <c r="O1877" s="27"/>
      <c r="P1877" s="27"/>
      <c r="Q1877" s="27"/>
      <c r="R1877" s="27"/>
      <c r="S1877" s="27"/>
      <c r="T1877" s="27"/>
      <c r="U1877" s="27"/>
      <c r="V1877" s="27"/>
      <c r="W1877" s="27"/>
      <c r="X1877" s="27"/>
      <c r="Y1877" s="27"/>
      <c r="Z1877" s="27"/>
    </row>
    <row r="1878" customHeight="1" spans="1:26">
      <c r="A1878" s="26"/>
      <c r="B1878" s="26"/>
      <c r="C1878" s="26"/>
      <c r="D1878" s="26"/>
      <c r="E1878" s="26"/>
      <c r="F1878" s="26"/>
      <c r="G1878" s="26"/>
      <c r="H1878" s="26"/>
      <c r="I1878" s="26"/>
      <c r="J1878" s="26"/>
      <c r="K1878" s="26"/>
      <c r="L1878" s="26"/>
      <c r="M1878" s="26"/>
      <c r="N1878" s="26"/>
      <c r="O1878" s="26"/>
      <c r="P1878" s="26"/>
      <c r="Q1878" s="26"/>
      <c r="R1878" s="26"/>
      <c r="S1878" s="26"/>
      <c r="T1878" s="26"/>
      <c r="U1878" s="26"/>
      <c r="V1878" s="26"/>
      <c r="W1878" s="26"/>
      <c r="X1878" s="26"/>
      <c r="Y1878" s="26"/>
      <c r="Z1878" s="26"/>
    </row>
    <row r="1879" customHeight="1" spans="1:26">
      <c r="A1879" s="27"/>
      <c r="B1879" s="27"/>
      <c r="C1879" s="27"/>
      <c r="D1879" s="27"/>
      <c r="E1879" s="27"/>
      <c r="F1879" s="27"/>
      <c r="G1879" s="27"/>
      <c r="H1879" s="27"/>
      <c r="I1879" s="27"/>
      <c r="J1879" s="27"/>
      <c r="K1879" s="27"/>
      <c r="L1879" s="27"/>
      <c r="M1879" s="27"/>
      <c r="N1879" s="27"/>
      <c r="O1879" s="27"/>
      <c r="P1879" s="27"/>
      <c r="Q1879" s="27"/>
      <c r="R1879" s="27"/>
      <c r="S1879" s="27"/>
      <c r="T1879" s="27"/>
      <c r="U1879" s="27"/>
      <c r="V1879" s="27"/>
      <c r="W1879" s="27"/>
      <c r="X1879" s="27"/>
      <c r="Y1879" s="27"/>
      <c r="Z1879" s="27"/>
    </row>
    <row r="1880" customHeight="1" spans="1:26">
      <c r="A1880" s="26"/>
      <c r="B1880" s="26"/>
      <c r="C1880" s="26"/>
      <c r="D1880" s="26"/>
      <c r="E1880" s="26"/>
      <c r="F1880" s="26"/>
      <c r="G1880" s="26"/>
      <c r="H1880" s="26"/>
      <c r="I1880" s="26"/>
      <c r="J1880" s="26"/>
      <c r="K1880" s="26"/>
      <c r="L1880" s="26"/>
      <c r="M1880" s="26"/>
      <c r="N1880" s="26"/>
      <c r="O1880" s="26"/>
      <c r="P1880" s="26"/>
      <c r="Q1880" s="26"/>
      <c r="R1880" s="26"/>
      <c r="S1880" s="26"/>
      <c r="T1880" s="26"/>
      <c r="U1880" s="26"/>
      <c r="V1880" s="26"/>
      <c r="W1880" s="26"/>
      <c r="X1880" s="26"/>
      <c r="Y1880" s="26"/>
      <c r="Z1880" s="26"/>
    </row>
    <row r="1881" customHeight="1" spans="1:26">
      <c r="A1881" s="27"/>
      <c r="B1881" s="27"/>
      <c r="C1881" s="27"/>
      <c r="D1881" s="27"/>
      <c r="E1881" s="27"/>
      <c r="F1881" s="27"/>
      <c r="G1881" s="27"/>
      <c r="H1881" s="27"/>
      <c r="I1881" s="27"/>
      <c r="J1881" s="27"/>
      <c r="K1881" s="27"/>
      <c r="L1881" s="27"/>
      <c r="M1881" s="27"/>
      <c r="N1881" s="27"/>
      <c r="O1881" s="27"/>
      <c r="P1881" s="27"/>
      <c r="Q1881" s="27"/>
      <c r="R1881" s="27"/>
      <c r="S1881" s="27"/>
      <c r="T1881" s="27"/>
      <c r="U1881" s="27"/>
      <c r="V1881" s="27"/>
      <c r="W1881" s="27"/>
      <c r="X1881" s="27"/>
      <c r="Y1881" s="27"/>
      <c r="Z1881" s="27"/>
    </row>
    <row r="1882" customHeight="1" spans="1:26">
      <c r="A1882" s="26"/>
      <c r="B1882" s="26"/>
      <c r="C1882" s="26"/>
      <c r="D1882" s="26"/>
      <c r="E1882" s="26"/>
      <c r="F1882" s="26"/>
      <c r="G1882" s="26"/>
      <c r="H1882" s="26"/>
      <c r="I1882" s="26"/>
      <c r="J1882" s="26"/>
      <c r="K1882" s="26"/>
      <c r="L1882" s="26"/>
      <c r="M1882" s="26"/>
      <c r="N1882" s="26"/>
      <c r="O1882" s="26"/>
      <c r="P1882" s="26"/>
      <c r="Q1882" s="26"/>
      <c r="R1882" s="26"/>
      <c r="S1882" s="26"/>
      <c r="T1882" s="26"/>
      <c r="U1882" s="26"/>
      <c r="V1882" s="26"/>
      <c r="W1882" s="26"/>
      <c r="X1882" s="26"/>
      <c r="Y1882" s="26"/>
      <c r="Z1882" s="26"/>
    </row>
    <row r="1883" customHeight="1" spans="1:26">
      <c r="A1883" s="27"/>
      <c r="B1883" s="27"/>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27"/>
      <c r="Z1883" s="27"/>
    </row>
    <row r="1884" customHeight="1" spans="1:26">
      <c r="A1884" s="26"/>
      <c r="B1884" s="26"/>
      <c r="C1884" s="26"/>
      <c r="D1884" s="26"/>
      <c r="E1884" s="26"/>
      <c r="F1884" s="26"/>
      <c r="G1884" s="26"/>
      <c r="H1884" s="26"/>
      <c r="I1884" s="26"/>
      <c r="J1884" s="26"/>
      <c r="K1884" s="26"/>
      <c r="L1884" s="26"/>
      <c r="M1884" s="26"/>
      <c r="N1884" s="26"/>
      <c r="O1884" s="26"/>
      <c r="P1884" s="26"/>
      <c r="Q1884" s="26"/>
      <c r="R1884" s="26"/>
      <c r="S1884" s="26"/>
      <c r="T1884" s="26"/>
      <c r="U1884" s="26"/>
      <c r="V1884" s="26"/>
      <c r="W1884" s="26"/>
      <c r="X1884" s="26"/>
      <c r="Y1884" s="26"/>
      <c r="Z1884" s="26"/>
    </row>
    <row r="1885" customHeight="1" spans="1:26">
      <c r="A1885" s="27"/>
      <c r="B1885" s="27"/>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27"/>
      <c r="Z1885" s="27"/>
    </row>
    <row r="1886" customHeight="1" spans="1:26">
      <c r="A1886" s="26"/>
      <c r="B1886" s="26"/>
      <c r="C1886" s="26"/>
      <c r="D1886" s="26"/>
      <c r="E1886" s="26"/>
      <c r="F1886" s="26"/>
      <c r="G1886" s="26"/>
      <c r="H1886" s="26"/>
      <c r="I1886" s="26"/>
      <c r="J1886" s="26"/>
      <c r="K1886" s="26"/>
      <c r="L1886" s="26"/>
      <c r="M1886" s="26"/>
      <c r="N1886" s="26"/>
      <c r="O1886" s="26"/>
      <c r="P1886" s="26"/>
      <c r="Q1886" s="26"/>
      <c r="R1886" s="26"/>
      <c r="S1886" s="26"/>
      <c r="T1886" s="26"/>
      <c r="U1886" s="26"/>
      <c r="V1886" s="26"/>
      <c r="W1886" s="26"/>
      <c r="X1886" s="26"/>
      <c r="Y1886" s="26"/>
      <c r="Z1886" s="26"/>
    </row>
    <row r="1887" customHeight="1" spans="1:26">
      <c r="A1887" s="27"/>
      <c r="B1887" s="27"/>
      <c r="C1887" s="27"/>
      <c r="D1887" s="27"/>
      <c r="E1887" s="27"/>
      <c r="F1887" s="27"/>
      <c r="G1887" s="27"/>
      <c r="H1887" s="27"/>
      <c r="I1887" s="27"/>
      <c r="J1887" s="27"/>
      <c r="K1887" s="27"/>
      <c r="L1887" s="27"/>
      <c r="M1887" s="27"/>
      <c r="N1887" s="27"/>
      <c r="O1887" s="27"/>
      <c r="P1887" s="27"/>
      <c r="Q1887" s="27"/>
      <c r="R1887" s="27"/>
      <c r="S1887" s="27"/>
      <c r="T1887" s="27"/>
      <c r="U1887" s="27"/>
      <c r="V1887" s="27"/>
      <c r="W1887" s="27"/>
      <c r="X1887" s="27"/>
      <c r="Y1887" s="27"/>
      <c r="Z1887" s="27"/>
    </row>
    <row r="1888" customHeight="1" spans="1:26">
      <c r="A1888" s="26"/>
      <c r="B1888" s="26"/>
      <c r="C1888" s="26"/>
      <c r="D1888" s="26"/>
      <c r="E1888" s="26"/>
      <c r="F1888" s="26"/>
      <c r="G1888" s="26"/>
      <c r="H1888" s="26"/>
      <c r="I1888" s="26"/>
      <c r="J1888" s="26"/>
      <c r="K1888" s="26"/>
      <c r="L1888" s="26"/>
      <c r="M1888" s="26"/>
      <c r="N1888" s="26"/>
      <c r="O1888" s="26"/>
      <c r="P1888" s="26"/>
      <c r="Q1888" s="26"/>
      <c r="R1888" s="26"/>
      <c r="S1888" s="26"/>
      <c r="T1888" s="26"/>
      <c r="U1888" s="26"/>
      <c r="V1888" s="26"/>
      <c r="W1888" s="26"/>
      <c r="X1888" s="26"/>
      <c r="Y1888" s="26"/>
      <c r="Z1888" s="26"/>
    </row>
    <row r="1889" customHeight="1" spans="1:26">
      <c r="A1889" s="27"/>
      <c r="B1889" s="27"/>
      <c r="C1889" s="27"/>
      <c r="D1889" s="27"/>
      <c r="E1889" s="27"/>
      <c r="F1889" s="27"/>
      <c r="G1889" s="27"/>
      <c r="H1889" s="27"/>
      <c r="I1889" s="27"/>
      <c r="J1889" s="27"/>
      <c r="K1889" s="27"/>
      <c r="L1889" s="27"/>
      <c r="M1889" s="27"/>
      <c r="N1889" s="27"/>
      <c r="O1889" s="27"/>
      <c r="P1889" s="27"/>
      <c r="Q1889" s="27"/>
      <c r="R1889" s="27"/>
      <c r="S1889" s="27"/>
      <c r="T1889" s="27"/>
      <c r="U1889" s="27"/>
      <c r="V1889" s="27"/>
      <c r="W1889" s="27"/>
      <c r="X1889" s="27"/>
      <c r="Y1889" s="27"/>
      <c r="Z1889" s="27"/>
    </row>
    <row r="1890" customHeight="1" spans="1:26">
      <c r="A1890" s="26"/>
      <c r="B1890" s="26"/>
      <c r="C1890" s="26"/>
      <c r="D1890" s="26"/>
      <c r="E1890" s="26"/>
      <c r="F1890" s="26"/>
      <c r="G1890" s="26"/>
      <c r="H1890" s="26"/>
      <c r="I1890" s="26"/>
      <c r="J1890" s="26"/>
      <c r="K1890" s="26"/>
      <c r="L1890" s="26"/>
      <c r="M1890" s="26"/>
      <c r="N1890" s="26"/>
      <c r="O1890" s="26"/>
      <c r="P1890" s="26"/>
      <c r="Q1890" s="26"/>
      <c r="R1890" s="26"/>
      <c r="S1890" s="26"/>
      <c r="T1890" s="26"/>
      <c r="U1890" s="26"/>
      <c r="V1890" s="26"/>
      <c r="W1890" s="26"/>
      <c r="X1890" s="26"/>
      <c r="Y1890" s="26"/>
      <c r="Z1890" s="26"/>
    </row>
    <row r="1891" customHeight="1" spans="1:26">
      <c r="A1891" s="27"/>
      <c r="B1891" s="27"/>
      <c r="C1891" s="27"/>
      <c r="D1891" s="27"/>
      <c r="E1891" s="27"/>
      <c r="F1891" s="27"/>
      <c r="G1891" s="27"/>
      <c r="H1891" s="27"/>
      <c r="I1891" s="27"/>
      <c r="J1891" s="27"/>
      <c r="K1891" s="27"/>
      <c r="L1891" s="27"/>
      <c r="M1891" s="27"/>
      <c r="N1891" s="27"/>
      <c r="O1891" s="27"/>
      <c r="P1891" s="27"/>
      <c r="Q1891" s="27"/>
      <c r="R1891" s="27"/>
      <c r="S1891" s="27"/>
      <c r="T1891" s="27"/>
      <c r="U1891" s="27"/>
      <c r="V1891" s="27"/>
      <c r="W1891" s="27"/>
      <c r="X1891" s="27"/>
      <c r="Y1891" s="27"/>
      <c r="Z1891" s="27"/>
    </row>
    <row r="1892" customHeight="1" spans="1:26">
      <c r="A1892" s="26"/>
      <c r="B1892" s="26"/>
      <c r="C1892" s="26"/>
      <c r="D1892" s="26"/>
      <c r="E1892" s="26"/>
      <c r="F1892" s="26"/>
      <c r="G1892" s="26"/>
      <c r="H1892" s="26"/>
      <c r="I1892" s="26"/>
      <c r="J1892" s="26"/>
      <c r="K1892" s="26"/>
      <c r="L1892" s="26"/>
      <c r="M1892" s="26"/>
      <c r="N1892" s="26"/>
      <c r="O1892" s="26"/>
      <c r="P1892" s="26"/>
      <c r="Q1892" s="26"/>
      <c r="R1892" s="26"/>
      <c r="S1892" s="26"/>
      <c r="T1892" s="26"/>
      <c r="U1892" s="26"/>
      <c r="V1892" s="26"/>
      <c r="W1892" s="26"/>
      <c r="X1892" s="26"/>
      <c r="Y1892" s="26"/>
      <c r="Z1892" s="26"/>
    </row>
    <row r="1893" customHeight="1" spans="1:26">
      <c r="A1893" s="27"/>
      <c r="B1893" s="27"/>
      <c r="C1893" s="27"/>
      <c r="D1893" s="27"/>
      <c r="E1893" s="27"/>
      <c r="F1893" s="27"/>
      <c r="G1893" s="27"/>
      <c r="H1893" s="27"/>
      <c r="I1893" s="27"/>
      <c r="J1893" s="27"/>
      <c r="K1893" s="27"/>
      <c r="L1893" s="27"/>
      <c r="M1893" s="27"/>
      <c r="N1893" s="27"/>
      <c r="O1893" s="27"/>
      <c r="P1893" s="27"/>
      <c r="Q1893" s="27"/>
      <c r="R1893" s="27"/>
      <c r="S1893" s="27"/>
      <c r="T1893" s="27"/>
      <c r="U1893" s="27"/>
      <c r="V1893" s="27"/>
      <c r="W1893" s="27"/>
      <c r="X1893" s="27"/>
      <c r="Y1893" s="27"/>
      <c r="Z1893" s="27"/>
    </row>
    <row r="1894" customHeight="1" spans="1:26">
      <c r="A1894" s="26"/>
      <c r="B1894" s="26"/>
      <c r="C1894" s="26"/>
      <c r="D1894" s="26"/>
      <c r="E1894" s="26"/>
      <c r="F1894" s="26"/>
      <c r="G1894" s="26"/>
      <c r="H1894" s="26"/>
      <c r="I1894" s="26"/>
      <c r="J1894" s="26"/>
      <c r="K1894" s="26"/>
      <c r="L1894" s="26"/>
      <c r="M1894" s="26"/>
      <c r="N1894" s="26"/>
      <c r="O1894" s="26"/>
      <c r="P1894" s="26"/>
      <c r="Q1894" s="26"/>
      <c r="R1894" s="26"/>
      <c r="S1894" s="26"/>
      <c r="T1894" s="26"/>
      <c r="U1894" s="26"/>
      <c r="V1894" s="26"/>
      <c r="W1894" s="26"/>
      <c r="X1894" s="26"/>
      <c r="Y1894" s="26"/>
      <c r="Z1894" s="26"/>
    </row>
    <row r="1895" customHeight="1" spans="1:26">
      <c r="A1895" s="27"/>
      <c r="B1895" s="27"/>
      <c r="C1895" s="27"/>
      <c r="D1895" s="27"/>
      <c r="E1895" s="27"/>
      <c r="F1895" s="27"/>
      <c r="G1895" s="27"/>
      <c r="H1895" s="27"/>
      <c r="I1895" s="27"/>
      <c r="J1895" s="27"/>
      <c r="K1895" s="27"/>
      <c r="L1895" s="27"/>
      <c r="M1895" s="27"/>
      <c r="N1895" s="27"/>
      <c r="O1895" s="27"/>
      <c r="P1895" s="27"/>
      <c r="Q1895" s="27"/>
      <c r="R1895" s="27"/>
      <c r="S1895" s="27"/>
      <c r="T1895" s="27"/>
      <c r="U1895" s="27"/>
      <c r="V1895" s="27"/>
      <c r="W1895" s="27"/>
      <c r="X1895" s="27"/>
      <c r="Y1895" s="27"/>
      <c r="Z1895" s="27"/>
    </row>
    <row r="1896" customHeight="1" spans="1:26">
      <c r="A1896" s="26"/>
      <c r="B1896" s="26"/>
      <c r="C1896" s="26"/>
      <c r="D1896" s="26"/>
      <c r="E1896" s="26"/>
      <c r="F1896" s="26"/>
      <c r="G1896" s="26"/>
      <c r="H1896" s="26"/>
      <c r="I1896" s="26"/>
      <c r="J1896" s="26"/>
      <c r="K1896" s="26"/>
      <c r="L1896" s="26"/>
      <c r="M1896" s="26"/>
      <c r="N1896" s="26"/>
      <c r="O1896" s="26"/>
      <c r="P1896" s="26"/>
      <c r="Q1896" s="26"/>
      <c r="R1896" s="26"/>
      <c r="S1896" s="26"/>
      <c r="T1896" s="26"/>
      <c r="U1896" s="26"/>
      <c r="V1896" s="26"/>
      <c r="W1896" s="26"/>
      <c r="X1896" s="26"/>
      <c r="Y1896" s="26"/>
      <c r="Z1896" s="26"/>
    </row>
    <row r="1897" customHeight="1" spans="1:26">
      <c r="A1897" s="27"/>
      <c r="B1897" s="2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c r="Z1897" s="27"/>
    </row>
    <row r="1898" customHeight="1" spans="1:26">
      <c r="A1898" s="26"/>
      <c r="B1898" s="26"/>
      <c r="C1898" s="26"/>
      <c r="D1898" s="26"/>
      <c r="E1898" s="26"/>
      <c r="F1898" s="26"/>
      <c r="G1898" s="26"/>
      <c r="H1898" s="26"/>
      <c r="I1898" s="26"/>
      <c r="J1898" s="26"/>
      <c r="K1898" s="26"/>
      <c r="L1898" s="26"/>
      <c r="M1898" s="26"/>
      <c r="N1898" s="26"/>
      <c r="O1898" s="26"/>
      <c r="P1898" s="26"/>
      <c r="Q1898" s="26"/>
      <c r="R1898" s="26"/>
      <c r="S1898" s="26"/>
      <c r="T1898" s="26"/>
      <c r="U1898" s="26"/>
      <c r="V1898" s="26"/>
      <c r="W1898" s="26"/>
      <c r="X1898" s="26"/>
      <c r="Y1898" s="26"/>
      <c r="Z1898" s="26"/>
    </row>
    <row r="1899" customHeight="1" spans="1:26">
      <c r="A1899" s="27"/>
      <c r="B1899" s="27"/>
      <c r="C1899" s="27"/>
      <c r="D1899" s="27"/>
      <c r="E1899" s="27"/>
      <c r="F1899" s="27"/>
      <c r="G1899" s="27"/>
      <c r="H1899" s="27"/>
      <c r="I1899" s="27"/>
      <c r="J1899" s="27"/>
      <c r="K1899" s="27"/>
      <c r="L1899" s="27"/>
      <c r="M1899" s="27"/>
      <c r="N1899" s="27"/>
      <c r="O1899" s="27"/>
      <c r="P1899" s="27"/>
      <c r="Q1899" s="27"/>
      <c r="R1899" s="27"/>
      <c r="S1899" s="27"/>
      <c r="T1899" s="27"/>
      <c r="U1899" s="27"/>
      <c r="V1899" s="27"/>
      <c r="W1899" s="27"/>
      <c r="X1899" s="27"/>
      <c r="Y1899" s="27"/>
      <c r="Z1899" s="27"/>
    </row>
    <row r="1900" customHeight="1" spans="1:26">
      <c r="A1900" s="26"/>
      <c r="B1900" s="26"/>
      <c r="C1900" s="26"/>
      <c r="D1900" s="26"/>
      <c r="E1900" s="26"/>
      <c r="F1900" s="26"/>
      <c r="G1900" s="26"/>
      <c r="H1900" s="26"/>
      <c r="I1900" s="26"/>
      <c r="J1900" s="26"/>
      <c r="K1900" s="26"/>
      <c r="L1900" s="26"/>
      <c r="M1900" s="26"/>
      <c r="N1900" s="26"/>
      <c r="O1900" s="26"/>
      <c r="P1900" s="26"/>
      <c r="Q1900" s="26"/>
      <c r="R1900" s="26"/>
      <c r="S1900" s="26"/>
      <c r="T1900" s="26"/>
      <c r="U1900" s="26"/>
      <c r="V1900" s="26"/>
      <c r="W1900" s="26"/>
      <c r="X1900" s="26"/>
      <c r="Y1900" s="26"/>
      <c r="Z1900" s="26"/>
    </row>
    <row r="1901" customHeight="1" spans="1:26">
      <c r="A1901" s="27"/>
      <c r="B1901" s="27"/>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row>
    <row r="1902" customHeight="1" spans="1:26">
      <c r="A1902" s="26"/>
      <c r="B1902" s="26"/>
      <c r="C1902" s="26"/>
      <c r="D1902" s="26"/>
      <c r="E1902" s="26"/>
      <c r="F1902" s="26"/>
      <c r="G1902" s="26"/>
      <c r="H1902" s="26"/>
      <c r="I1902" s="26"/>
      <c r="J1902" s="26"/>
      <c r="K1902" s="26"/>
      <c r="L1902" s="26"/>
      <c r="M1902" s="26"/>
      <c r="N1902" s="26"/>
      <c r="O1902" s="26"/>
      <c r="P1902" s="26"/>
      <c r="Q1902" s="26"/>
      <c r="R1902" s="26"/>
      <c r="S1902" s="26"/>
      <c r="T1902" s="26"/>
      <c r="U1902" s="26"/>
      <c r="V1902" s="26"/>
      <c r="W1902" s="26"/>
      <c r="X1902" s="26"/>
      <c r="Y1902" s="26"/>
      <c r="Z1902" s="26"/>
    </row>
    <row r="1903" customHeight="1" spans="1:26">
      <c r="A1903" s="27"/>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row>
    <row r="1904" customHeight="1" spans="1:26">
      <c r="A1904" s="26"/>
      <c r="B1904" s="26"/>
      <c r="C1904" s="26"/>
      <c r="D1904" s="26"/>
      <c r="E1904" s="26"/>
      <c r="F1904" s="26"/>
      <c r="G1904" s="26"/>
      <c r="H1904" s="26"/>
      <c r="I1904" s="26"/>
      <c r="J1904" s="26"/>
      <c r="K1904" s="26"/>
      <c r="L1904" s="26"/>
      <c r="M1904" s="26"/>
      <c r="N1904" s="26"/>
      <c r="O1904" s="26"/>
      <c r="P1904" s="26"/>
      <c r="Q1904" s="26"/>
      <c r="R1904" s="26"/>
      <c r="S1904" s="26"/>
      <c r="T1904" s="26"/>
      <c r="U1904" s="26"/>
      <c r="V1904" s="26"/>
      <c r="W1904" s="26"/>
      <c r="X1904" s="26"/>
      <c r="Y1904" s="26"/>
      <c r="Z1904" s="26"/>
    </row>
    <row r="1905" customHeight="1" spans="1:26">
      <c r="A1905" s="27"/>
      <c r="B1905" s="27"/>
      <c r="C1905" s="27"/>
      <c r="D1905" s="27"/>
      <c r="E1905" s="27"/>
      <c r="F1905" s="27"/>
      <c r="G1905" s="27"/>
      <c r="H1905" s="27"/>
      <c r="I1905" s="27"/>
      <c r="J1905" s="27"/>
      <c r="K1905" s="27"/>
      <c r="L1905" s="27"/>
      <c r="M1905" s="27"/>
      <c r="N1905" s="27"/>
      <c r="O1905" s="27"/>
      <c r="P1905" s="27"/>
      <c r="Q1905" s="27"/>
      <c r="R1905" s="27"/>
      <c r="S1905" s="27"/>
      <c r="T1905" s="27"/>
      <c r="U1905" s="27"/>
      <c r="V1905" s="27"/>
      <c r="W1905" s="27"/>
      <c r="X1905" s="27"/>
      <c r="Y1905" s="27"/>
      <c r="Z1905" s="27"/>
    </row>
    <row r="1906" customHeight="1" spans="1:26">
      <c r="A1906" s="26"/>
      <c r="B1906" s="26"/>
      <c r="C1906" s="26"/>
      <c r="D1906" s="26"/>
      <c r="E1906" s="26"/>
      <c r="F1906" s="26"/>
      <c r="G1906" s="26"/>
      <c r="H1906" s="26"/>
      <c r="I1906" s="26"/>
      <c r="J1906" s="26"/>
      <c r="K1906" s="26"/>
      <c r="L1906" s="26"/>
      <c r="M1906" s="26"/>
      <c r="N1906" s="26"/>
      <c r="O1906" s="26"/>
      <c r="P1906" s="26"/>
      <c r="Q1906" s="26"/>
      <c r="R1906" s="26"/>
      <c r="S1906" s="26"/>
      <c r="T1906" s="26"/>
      <c r="U1906" s="26"/>
      <c r="V1906" s="26"/>
      <c r="W1906" s="26"/>
      <c r="X1906" s="26"/>
      <c r="Y1906" s="26"/>
      <c r="Z1906" s="26"/>
    </row>
    <row r="1907" customHeight="1" spans="1:26">
      <c r="A1907" s="27"/>
      <c r="B1907" s="27"/>
      <c r="C1907" s="27"/>
      <c r="D1907" s="27"/>
      <c r="E1907" s="27"/>
      <c r="F1907" s="27"/>
      <c r="G1907" s="27"/>
      <c r="H1907" s="27"/>
      <c r="I1907" s="27"/>
      <c r="J1907" s="27"/>
      <c r="K1907" s="27"/>
      <c r="L1907" s="27"/>
      <c r="M1907" s="27"/>
      <c r="N1907" s="27"/>
      <c r="O1907" s="27"/>
      <c r="P1907" s="27"/>
      <c r="Q1907" s="27"/>
      <c r="R1907" s="27"/>
      <c r="S1907" s="27"/>
      <c r="T1907" s="27"/>
      <c r="U1907" s="27"/>
      <c r="V1907" s="27"/>
      <c r="W1907" s="27"/>
      <c r="X1907" s="27"/>
      <c r="Y1907" s="27"/>
      <c r="Z1907" s="27"/>
    </row>
    <row r="1908" customHeight="1" spans="1:26">
      <c r="A1908" s="26"/>
      <c r="B1908" s="26"/>
      <c r="C1908" s="26"/>
      <c r="D1908" s="26"/>
      <c r="E1908" s="26"/>
      <c r="F1908" s="26"/>
      <c r="G1908" s="26"/>
      <c r="H1908" s="26"/>
      <c r="I1908" s="26"/>
      <c r="J1908" s="26"/>
      <c r="K1908" s="26"/>
      <c r="L1908" s="26"/>
      <c r="M1908" s="26"/>
      <c r="N1908" s="26"/>
      <c r="O1908" s="26"/>
      <c r="P1908" s="26"/>
      <c r="Q1908" s="26"/>
      <c r="R1908" s="26"/>
      <c r="S1908" s="26"/>
      <c r="T1908" s="26"/>
      <c r="U1908" s="26"/>
      <c r="V1908" s="26"/>
      <c r="W1908" s="26"/>
      <c r="X1908" s="26"/>
      <c r="Y1908" s="26"/>
      <c r="Z1908" s="26"/>
    </row>
    <row r="1909" customHeight="1" spans="1:26">
      <c r="A1909" s="27"/>
      <c r="B1909" s="27"/>
      <c r="C1909" s="27"/>
      <c r="D1909" s="27"/>
      <c r="E1909" s="27"/>
      <c r="F1909" s="27"/>
      <c r="G1909" s="27"/>
      <c r="H1909" s="27"/>
      <c r="I1909" s="27"/>
      <c r="J1909" s="27"/>
      <c r="K1909" s="27"/>
      <c r="L1909" s="27"/>
      <c r="M1909" s="27"/>
      <c r="N1909" s="27"/>
      <c r="O1909" s="27"/>
      <c r="P1909" s="27"/>
      <c r="Q1909" s="27"/>
      <c r="R1909" s="27"/>
      <c r="S1909" s="27"/>
      <c r="T1909" s="27"/>
      <c r="U1909" s="27"/>
      <c r="V1909" s="27"/>
      <c r="W1909" s="27"/>
      <c r="X1909" s="27"/>
      <c r="Y1909" s="27"/>
      <c r="Z1909" s="27"/>
    </row>
    <row r="1910" customHeight="1" spans="1:26">
      <c r="A1910" s="26"/>
      <c r="B1910" s="26"/>
      <c r="C1910" s="26"/>
      <c r="D1910" s="26"/>
      <c r="E1910" s="26"/>
      <c r="F1910" s="26"/>
      <c r="G1910" s="26"/>
      <c r="H1910" s="26"/>
      <c r="I1910" s="26"/>
      <c r="J1910" s="26"/>
      <c r="K1910" s="26"/>
      <c r="L1910" s="26"/>
      <c r="M1910" s="26"/>
      <c r="N1910" s="26"/>
      <c r="O1910" s="26"/>
      <c r="P1910" s="26"/>
      <c r="Q1910" s="26"/>
      <c r="R1910" s="26"/>
      <c r="S1910" s="26"/>
      <c r="T1910" s="26"/>
      <c r="U1910" s="26"/>
      <c r="V1910" s="26"/>
      <c r="W1910" s="26"/>
      <c r="X1910" s="26"/>
      <c r="Y1910" s="26"/>
      <c r="Z1910" s="26"/>
    </row>
    <row r="1911" customHeight="1" spans="1:26">
      <c r="A1911" s="27"/>
      <c r="B1911" s="27"/>
      <c r="C1911" s="27"/>
      <c r="D1911" s="27"/>
      <c r="E1911" s="27"/>
      <c r="F1911" s="27"/>
      <c r="G1911" s="27"/>
      <c r="H1911" s="27"/>
      <c r="I1911" s="27"/>
      <c r="J1911" s="27"/>
      <c r="K1911" s="27"/>
      <c r="L1911" s="27"/>
      <c r="M1911" s="27"/>
      <c r="N1911" s="27"/>
      <c r="O1911" s="27"/>
      <c r="P1911" s="27"/>
      <c r="Q1911" s="27"/>
      <c r="R1911" s="27"/>
      <c r="S1911" s="27"/>
      <c r="T1911" s="27"/>
      <c r="U1911" s="27"/>
      <c r="V1911" s="27"/>
      <c r="W1911" s="27"/>
      <c r="X1911" s="27"/>
      <c r="Y1911" s="27"/>
      <c r="Z1911" s="27"/>
    </row>
    <row r="1912" customHeight="1" spans="1:26">
      <c r="A1912" s="26"/>
      <c r="B1912" s="26"/>
      <c r="C1912" s="26"/>
      <c r="D1912" s="26"/>
      <c r="E1912" s="26"/>
      <c r="F1912" s="26"/>
      <c r="G1912" s="26"/>
      <c r="H1912" s="26"/>
      <c r="I1912" s="26"/>
      <c r="J1912" s="26"/>
      <c r="K1912" s="26"/>
      <c r="L1912" s="26"/>
      <c r="M1912" s="26"/>
      <c r="N1912" s="26"/>
      <c r="O1912" s="26"/>
      <c r="P1912" s="26"/>
      <c r="Q1912" s="26"/>
      <c r="R1912" s="26"/>
      <c r="S1912" s="26"/>
      <c r="T1912" s="26"/>
      <c r="U1912" s="26"/>
      <c r="V1912" s="26"/>
      <c r="W1912" s="26"/>
      <c r="X1912" s="26"/>
      <c r="Y1912" s="26"/>
      <c r="Z1912" s="26"/>
    </row>
    <row r="1913" customHeight="1" spans="1:26">
      <c r="A1913" s="27"/>
      <c r="B1913" s="27"/>
      <c r="C1913" s="27"/>
      <c r="D1913" s="27"/>
      <c r="E1913" s="27"/>
      <c r="F1913" s="27"/>
      <c r="G1913" s="27"/>
      <c r="H1913" s="27"/>
      <c r="I1913" s="27"/>
      <c r="J1913" s="27"/>
      <c r="K1913" s="27"/>
      <c r="L1913" s="27"/>
      <c r="M1913" s="27"/>
      <c r="N1913" s="27"/>
      <c r="O1913" s="27"/>
      <c r="P1913" s="27"/>
      <c r="Q1913" s="27"/>
      <c r="R1913" s="27"/>
      <c r="S1913" s="27"/>
      <c r="T1913" s="27"/>
      <c r="U1913" s="27"/>
      <c r="V1913" s="27"/>
      <c r="W1913" s="27"/>
      <c r="X1913" s="27"/>
      <c r="Y1913" s="27"/>
      <c r="Z1913" s="27"/>
    </row>
    <row r="1914" customHeight="1" spans="1:26">
      <c r="A1914" s="26"/>
      <c r="B1914" s="26"/>
      <c r="C1914" s="26"/>
      <c r="D1914" s="26"/>
      <c r="E1914" s="26"/>
      <c r="F1914" s="26"/>
      <c r="G1914" s="26"/>
      <c r="H1914" s="26"/>
      <c r="I1914" s="26"/>
      <c r="J1914" s="26"/>
      <c r="K1914" s="26"/>
      <c r="L1914" s="26"/>
      <c r="M1914" s="26"/>
      <c r="N1914" s="26"/>
      <c r="O1914" s="26"/>
      <c r="P1914" s="26"/>
      <c r="Q1914" s="26"/>
      <c r="R1914" s="26"/>
      <c r="S1914" s="26"/>
      <c r="T1914" s="26"/>
      <c r="U1914" s="26"/>
      <c r="V1914" s="26"/>
      <c r="W1914" s="26"/>
      <c r="X1914" s="26"/>
      <c r="Y1914" s="26"/>
      <c r="Z1914" s="26"/>
    </row>
    <row r="1915" customHeight="1" spans="1:26">
      <c r="A1915" s="27"/>
      <c r="B1915" s="27"/>
      <c r="C1915" s="27"/>
      <c r="D1915" s="27"/>
      <c r="E1915" s="27"/>
      <c r="F1915" s="27"/>
      <c r="G1915" s="27"/>
      <c r="H1915" s="27"/>
      <c r="I1915" s="27"/>
      <c r="J1915" s="27"/>
      <c r="K1915" s="27"/>
      <c r="L1915" s="27"/>
      <c r="M1915" s="27"/>
      <c r="N1915" s="27"/>
      <c r="O1915" s="27"/>
      <c r="P1915" s="27"/>
      <c r="Q1915" s="27"/>
      <c r="R1915" s="27"/>
      <c r="S1915" s="27"/>
      <c r="T1915" s="27"/>
      <c r="U1915" s="27"/>
      <c r="V1915" s="27"/>
      <c r="W1915" s="27"/>
      <c r="X1915" s="27"/>
      <c r="Y1915" s="27"/>
      <c r="Z1915" s="27"/>
    </row>
    <row r="1916" customHeight="1" spans="1:26">
      <c r="A1916" s="26"/>
      <c r="B1916" s="26"/>
      <c r="C1916" s="26"/>
      <c r="D1916" s="26"/>
      <c r="E1916" s="26"/>
      <c r="F1916" s="26"/>
      <c r="G1916" s="26"/>
      <c r="H1916" s="26"/>
      <c r="I1916" s="26"/>
      <c r="J1916" s="26"/>
      <c r="K1916" s="26"/>
      <c r="L1916" s="26"/>
      <c r="M1916" s="26"/>
      <c r="N1916" s="26"/>
      <c r="O1916" s="26"/>
      <c r="P1916" s="26"/>
      <c r="Q1916" s="26"/>
      <c r="R1916" s="26"/>
      <c r="S1916" s="26"/>
      <c r="T1916" s="26"/>
      <c r="U1916" s="26"/>
      <c r="V1916" s="26"/>
      <c r="W1916" s="26"/>
      <c r="X1916" s="26"/>
      <c r="Y1916" s="26"/>
      <c r="Z1916" s="26"/>
    </row>
    <row r="1917" customHeight="1" spans="1:26">
      <c r="A1917" s="27"/>
      <c r="B1917" s="27"/>
      <c r="C1917" s="27"/>
      <c r="D1917" s="27"/>
      <c r="E1917" s="27"/>
      <c r="F1917" s="27"/>
      <c r="G1917" s="27"/>
      <c r="H1917" s="27"/>
      <c r="I1917" s="27"/>
      <c r="J1917" s="27"/>
      <c r="K1917" s="27"/>
      <c r="L1917" s="27"/>
      <c r="M1917" s="27"/>
      <c r="N1917" s="27"/>
      <c r="O1917" s="27"/>
      <c r="P1917" s="27"/>
      <c r="Q1917" s="27"/>
      <c r="R1917" s="27"/>
      <c r="S1917" s="27"/>
      <c r="T1917" s="27"/>
      <c r="U1917" s="27"/>
      <c r="V1917" s="27"/>
      <c r="W1917" s="27"/>
      <c r="X1917" s="27"/>
      <c r="Y1917" s="27"/>
      <c r="Z1917" s="27"/>
    </row>
    <row r="1918" customHeight="1" spans="1:26">
      <c r="A1918" s="26"/>
      <c r="B1918" s="26"/>
      <c r="C1918" s="26"/>
      <c r="D1918" s="26"/>
      <c r="E1918" s="26"/>
      <c r="F1918" s="26"/>
      <c r="G1918" s="26"/>
      <c r="H1918" s="26"/>
      <c r="I1918" s="26"/>
      <c r="J1918" s="26"/>
      <c r="K1918" s="26"/>
      <c r="L1918" s="26"/>
      <c r="M1918" s="26"/>
      <c r="N1918" s="26"/>
      <c r="O1918" s="26"/>
      <c r="P1918" s="26"/>
      <c r="Q1918" s="26"/>
      <c r="R1918" s="26"/>
      <c r="S1918" s="26"/>
      <c r="T1918" s="26"/>
      <c r="U1918" s="26"/>
      <c r="V1918" s="26"/>
      <c r="W1918" s="26"/>
      <c r="X1918" s="26"/>
      <c r="Y1918" s="26"/>
      <c r="Z1918" s="26"/>
    </row>
    <row r="1919" customHeight="1" spans="1:26">
      <c r="A1919" s="27"/>
      <c r="B1919" s="27"/>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row>
    <row r="1920" customHeight="1" spans="1:26">
      <c r="A1920" s="26"/>
      <c r="B1920" s="26"/>
      <c r="C1920" s="26"/>
      <c r="D1920" s="26"/>
      <c r="E1920" s="26"/>
      <c r="F1920" s="26"/>
      <c r="G1920" s="26"/>
      <c r="H1920" s="26"/>
      <c r="I1920" s="26"/>
      <c r="J1920" s="26"/>
      <c r="K1920" s="26"/>
      <c r="L1920" s="26"/>
      <c r="M1920" s="26"/>
      <c r="N1920" s="26"/>
      <c r="O1920" s="26"/>
      <c r="P1920" s="26"/>
      <c r="Q1920" s="26"/>
      <c r="R1920" s="26"/>
      <c r="S1920" s="26"/>
      <c r="T1920" s="26"/>
      <c r="U1920" s="26"/>
      <c r="V1920" s="26"/>
      <c r="W1920" s="26"/>
      <c r="X1920" s="26"/>
      <c r="Y1920" s="26"/>
      <c r="Z1920" s="26"/>
    </row>
    <row r="1921" customHeight="1" spans="1:26">
      <c r="A1921" s="27"/>
      <c r="B1921" s="27"/>
      <c r="C1921" s="27"/>
      <c r="D1921" s="27"/>
      <c r="E1921" s="27"/>
      <c r="F1921" s="27"/>
      <c r="G1921" s="27"/>
      <c r="H1921" s="27"/>
      <c r="I1921" s="27"/>
      <c r="J1921" s="27"/>
      <c r="K1921" s="27"/>
      <c r="L1921" s="27"/>
      <c r="M1921" s="27"/>
      <c r="N1921" s="27"/>
      <c r="O1921" s="27"/>
      <c r="P1921" s="27"/>
      <c r="Q1921" s="27"/>
      <c r="R1921" s="27"/>
      <c r="S1921" s="27"/>
      <c r="T1921" s="27"/>
      <c r="U1921" s="27"/>
      <c r="V1921" s="27"/>
      <c r="W1921" s="27"/>
      <c r="X1921" s="27"/>
      <c r="Y1921" s="27"/>
      <c r="Z1921" s="27"/>
    </row>
    <row r="1922" customHeight="1" spans="1:26">
      <c r="A1922" s="26"/>
      <c r="B1922" s="26"/>
      <c r="C1922" s="26"/>
      <c r="D1922" s="26"/>
      <c r="E1922" s="26"/>
      <c r="F1922" s="26"/>
      <c r="G1922" s="26"/>
      <c r="H1922" s="26"/>
      <c r="I1922" s="26"/>
      <c r="J1922" s="26"/>
      <c r="K1922" s="26"/>
      <c r="L1922" s="26"/>
      <c r="M1922" s="26"/>
      <c r="N1922" s="26"/>
      <c r="O1922" s="26"/>
      <c r="P1922" s="26"/>
      <c r="Q1922" s="26"/>
      <c r="R1922" s="26"/>
      <c r="S1922" s="26"/>
      <c r="T1922" s="26"/>
      <c r="U1922" s="26"/>
      <c r="V1922" s="26"/>
      <c r="W1922" s="26"/>
      <c r="X1922" s="26"/>
      <c r="Y1922" s="26"/>
      <c r="Z1922" s="26"/>
    </row>
    <row r="1923" customHeight="1" spans="1:26">
      <c r="A1923" s="27"/>
      <c r="B1923" s="27"/>
      <c r="C1923" s="27"/>
      <c r="D1923" s="27"/>
      <c r="E1923" s="27"/>
      <c r="F1923" s="27"/>
      <c r="G1923" s="27"/>
      <c r="H1923" s="27"/>
      <c r="I1923" s="27"/>
      <c r="J1923" s="27"/>
      <c r="K1923" s="27"/>
      <c r="L1923" s="27"/>
      <c r="M1923" s="27"/>
      <c r="N1923" s="27"/>
      <c r="O1923" s="27"/>
      <c r="P1923" s="27"/>
      <c r="Q1923" s="27"/>
      <c r="R1923" s="27"/>
      <c r="S1923" s="27"/>
      <c r="T1923" s="27"/>
      <c r="U1923" s="27"/>
      <c r="V1923" s="27"/>
      <c r="W1923" s="27"/>
      <c r="X1923" s="27"/>
      <c r="Y1923" s="27"/>
      <c r="Z1923" s="27"/>
    </row>
    <row r="1924" customHeight="1" spans="1:26">
      <c r="A1924" s="26"/>
      <c r="B1924" s="26"/>
      <c r="C1924" s="26"/>
      <c r="D1924" s="26"/>
      <c r="E1924" s="26"/>
      <c r="F1924" s="26"/>
      <c r="G1924" s="26"/>
      <c r="H1924" s="26"/>
      <c r="I1924" s="26"/>
      <c r="J1924" s="26"/>
      <c r="K1924" s="26"/>
      <c r="L1924" s="26"/>
      <c r="M1924" s="26"/>
      <c r="N1924" s="26"/>
      <c r="O1924" s="26"/>
      <c r="P1924" s="26"/>
      <c r="Q1924" s="26"/>
      <c r="R1924" s="26"/>
      <c r="S1924" s="26"/>
      <c r="T1924" s="26"/>
      <c r="U1924" s="26"/>
      <c r="V1924" s="26"/>
      <c r="W1924" s="26"/>
      <c r="X1924" s="26"/>
      <c r="Y1924" s="26"/>
      <c r="Z1924" s="26"/>
    </row>
    <row r="1925" customHeight="1" spans="1:26">
      <c r="A1925" s="27"/>
      <c r="B1925" s="27"/>
      <c r="C1925" s="27"/>
      <c r="D1925" s="27"/>
      <c r="E1925" s="27"/>
      <c r="F1925" s="27"/>
      <c r="G1925" s="27"/>
      <c r="H1925" s="27"/>
      <c r="I1925" s="27"/>
      <c r="J1925" s="27"/>
      <c r="K1925" s="27"/>
      <c r="L1925" s="27"/>
      <c r="M1925" s="27"/>
      <c r="N1925" s="27"/>
      <c r="O1925" s="27"/>
      <c r="P1925" s="27"/>
      <c r="Q1925" s="27"/>
      <c r="R1925" s="27"/>
      <c r="S1925" s="27"/>
      <c r="T1925" s="27"/>
      <c r="U1925" s="27"/>
      <c r="V1925" s="27"/>
      <c r="W1925" s="27"/>
      <c r="X1925" s="27"/>
      <c r="Y1925" s="27"/>
      <c r="Z1925" s="27"/>
    </row>
    <row r="1926" customHeight="1" spans="1:26">
      <c r="A1926" s="26"/>
      <c r="B1926" s="26"/>
      <c r="C1926" s="26"/>
      <c r="D1926" s="26"/>
      <c r="E1926" s="26"/>
      <c r="F1926" s="26"/>
      <c r="G1926" s="26"/>
      <c r="H1926" s="26"/>
      <c r="I1926" s="26"/>
      <c r="J1926" s="26"/>
      <c r="K1926" s="26"/>
      <c r="L1926" s="26"/>
      <c r="M1926" s="26"/>
      <c r="N1926" s="26"/>
      <c r="O1926" s="26"/>
      <c r="P1926" s="26"/>
      <c r="Q1926" s="26"/>
      <c r="R1926" s="26"/>
      <c r="S1926" s="26"/>
      <c r="T1926" s="26"/>
      <c r="U1926" s="26"/>
      <c r="V1926" s="26"/>
      <c r="W1926" s="26"/>
      <c r="X1926" s="26"/>
      <c r="Y1926" s="26"/>
      <c r="Z1926" s="26"/>
    </row>
    <row r="1927" customHeight="1" spans="1:26">
      <c r="A1927" s="27"/>
      <c r="B1927" s="27"/>
      <c r="C1927" s="27"/>
      <c r="D1927" s="27"/>
      <c r="E1927" s="27"/>
      <c r="F1927" s="27"/>
      <c r="G1927" s="27"/>
      <c r="H1927" s="27"/>
      <c r="I1927" s="27"/>
      <c r="J1927" s="27"/>
      <c r="K1927" s="27"/>
      <c r="L1927" s="27"/>
      <c r="M1927" s="27"/>
      <c r="N1927" s="27"/>
      <c r="O1927" s="27"/>
      <c r="P1927" s="27"/>
      <c r="Q1927" s="27"/>
      <c r="R1927" s="27"/>
      <c r="S1927" s="27"/>
      <c r="T1927" s="27"/>
      <c r="U1927" s="27"/>
      <c r="V1927" s="27"/>
      <c r="W1927" s="27"/>
      <c r="X1927" s="27"/>
      <c r="Y1927" s="27"/>
      <c r="Z1927" s="27"/>
    </row>
    <row r="1928" customHeight="1" spans="1:26">
      <c r="A1928" s="26"/>
      <c r="B1928" s="26"/>
      <c r="C1928" s="26"/>
      <c r="D1928" s="26"/>
      <c r="E1928" s="26"/>
      <c r="F1928" s="26"/>
      <c r="G1928" s="26"/>
      <c r="H1928" s="26"/>
      <c r="I1928" s="26"/>
      <c r="J1928" s="26"/>
      <c r="K1928" s="26"/>
      <c r="L1928" s="26"/>
      <c r="M1928" s="26"/>
      <c r="N1928" s="26"/>
      <c r="O1928" s="26"/>
      <c r="P1928" s="26"/>
      <c r="Q1928" s="26"/>
      <c r="R1928" s="26"/>
      <c r="S1928" s="26"/>
      <c r="T1928" s="26"/>
      <c r="U1928" s="26"/>
      <c r="V1928" s="26"/>
      <c r="W1928" s="26"/>
      <c r="X1928" s="26"/>
      <c r="Y1928" s="26"/>
      <c r="Z1928" s="26"/>
    </row>
    <row r="1929" customHeight="1" spans="1:26">
      <c r="A1929" s="27"/>
      <c r="B1929" s="27"/>
      <c r="C1929" s="27"/>
      <c r="D1929" s="27"/>
      <c r="E1929" s="27"/>
      <c r="F1929" s="27"/>
      <c r="G1929" s="27"/>
      <c r="H1929" s="27"/>
      <c r="I1929" s="27"/>
      <c r="J1929" s="27"/>
      <c r="K1929" s="27"/>
      <c r="L1929" s="27"/>
      <c r="M1929" s="27"/>
      <c r="N1929" s="27"/>
      <c r="O1929" s="27"/>
      <c r="P1929" s="27"/>
      <c r="Q1929" s="27"/>
      <c r="R1929" s="27"/>
      <c r="S1929" s="27"/>
      <c r="T1929" s="27"/>
      <c r="U1929" s="27"/>
      <c r="V1929" s="27"/>
      <c r="W1929" s="27"/>
      <c r="X1929" s="27"/>
      <c r="Y1929" s="27"/>
      <c r="Z1929" s="27"/>
    </row>
    <row r="1930" customHeight="1" spans="1:26">
      <c r="A1930" s="26"/>
      <c r="B1930" s="26"/>
      <c r="C1930" s="26"/>
      <c r="D1930" s="26"/>
      <c r="E1930" s="26"/>
      <c r="F1930" s="26"/>
      <c r="G1930" s="26"/>
      <c r="H1930" s="26"/>
      <c r="I1930" s="26"/>
      <c r="J1930" s="26"/>
      <c r="K1930" s="26"/>
      <c r="L1930" s="26"/>
      <c r="M1930" s="26"/>
      <c r="N1930" s="26"/>
      <c r="O1930" s="26"/>
      <c r="P1930" s="26"/>
      <c r="Q1930" s="26"/>
      <c r="R1930" s="26"/>
      <c r="S1930" s="26"/>
      <c r="T1930" s="26"/>
      <c r="U1930" s="26"/>
      <c r="V1930" s="26"/>
      <c r="W1930" s="26"/>
      <c r="X1930" s="26"/>
      <c r="Y1930" s="26"/>
      <c r="Z1930" s="26"/>
    </row>
    <row r="1931" customHeight="1" spans="1:26">
      <c r="A1931" s="27"/>
      <c r="B1931" s="27"/>
      <c r="C1931" s="27"/>
      <c r="D1931" s="27"/>
      <c r="E1931" s="27"/>
      <c r="F1931" s="27"/>
      <c r="G1931" s="27"/>
      <c r="H1931" s="27"/>
      <c r="I1931" s="27"/>
      <c r="J1931" s="27"/>
      <c r="K1931" s="27"/>
      <c r="L1931" s="27"/>
      <c r="M1931" s="27"/>
      <c r="N1931" s="27"/>
      <c r="O1931" s="27"/>
      <c r="P1931" s="27"/>
      <c r="Q1931" s="27"/>
      <c r="R1931" s="27"/>
      <c r="S1931" s="27"/>
      <c r="T1931" s="27"/>
      <c r="U1931" s="27"/>
      <c r="V1931" s="27"/>
      <c r="W1931" s="27"/>
      <c r="X1931" s="27"/>
      <c r="Y1931" s="27"/>
      <c r="Z1931" s="27"/>
    </row>
    <row r="1932" customHeight="1" spans="1:26">
      <c r="A1932" s="26"/>
      <c r="B1932" s="26"/>
      <c r="C1932" s="26"/>
      <c r="D1932" s="26"/>
      <c r="E1932" s="26"/>
      <c r="F1932" s="26"/>
      <c r="G1932" s="26"/>
      <c r="H1932" s="26"/>
      <c r="I1932" s="26"/>
      <c r="J1932" s="26"/>
      <c r="K1932" s="26"/>
      <c r="L1932" s="26"/>
      <c r="M1932" s="26"/>
      <c r="N1932" s="26"/>
      <c r="O1932" s="26"/>
      <c r="P1932" s="26"/>
      <c r="Q1932" s="26"/>
      <c r="R1932" s="26"/>
      <c r="S1932" s="26"/>
      <c r="T1932" s="26"/>
      <c r="U1932" s="26"/>
      <c r="V1932" s="26"/>
      <c r="W1932" s="26"/>
      <c r="X1932" s="26"/>
      <c r="Y1932" s="26"/>
      <c r="Z1932" s="26"/>
    </row>
    <row r="1933" customHeight="1" spans="1:26">
      <c r="A1933" s="27"/>
      <c r="B1933" s="27"/>
      <c r="C1933" s="27"/>
      <c r="D1933" s="27"/>
      <c r="E1933" s="27"/>
      <c r="F1933" s="27"/>
      <c r="G1933" s="27"/>
      <c r="H1933" s="27"/>
      <c r="I1933" s="27"/>
      <c r="J1933" s="27"/>
      <c r="K1933" s="27"/>
      <c r="L1933" s="27"/>
      <c r="M1933" s="27"/>
      <c r="N1933" s="27"/>
      <c r="O1933" s="27"/>
      <c r="P1933" s="27"/>
      <c r="Q1933" s="27"/>
      <c r="R1933" s="27"/>
      <c r="S1933" s="27"/>
      <c r="T1933" s="27"/>
      <c r="U1933" s="27"/>
      <c r="V1933" s="27"/>
      <c r="W1933" s="27"/>
      <c r="X1933" s="27"/>
      <c r="Y1933" s="27"/>
      <c r="Z1933" s="27"/>
    </row>
    <row r="1934" customHeight="1" spans="1:26">
      <c r="A1934" s="26"/>
      <c r="B1934" s="26"/>
      <c r="C1934" s="26"/>
      <c r="D1934" s="26"/>
      <c r="E1934" s="26"/>
      <c r="F1934" s="26"/>
      <c r="G1934" s="26"/>
      <c r="H1934" s="26"/>
      <c r="I1934" s="26"/>
      <c r="J1934" s="26"/>
      <c r="K1934" s="26"/>
      <c r="L1934" s="26"/>
      <c r="M1934" s="26"/>
      <c r="N1934" s="26"/>
      <c r="O1934" s="26"/>
      <c r="P1934" s="26"/>
      <c r="Q1934" s="26"/>
      <c r="R1934" s="26"/>
      <c r="S1934" s="26"/>
      <c r="T1934" s="26"/>
      <c r="U1934" s="26"/>
      <c r="V1934" s="26"/>
      <c r="W1934" s="26"/>
      <c r="X1934" s="26"/>
      <c r="Y1934" s="26"/>
      <c r="Z1934" s="26"/>
    </row>
    <row r="1935" customHeight="1" spans="1:26">
      <c r="A1935" s="27"/>
      <c r="B1935" s="27"/>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c r="Z1935" s="27"/>
    </row>
    <row r="1936" customHeight="1" spans="1:26">
      <c r="A1936" s="26"/>
      <c r="B1936" s="26"/>
      <c r="C1936" s="26"/>
      <c r="D1936" s="26"/>
      <c r="E1936" s="26"/>
      <c r="F1936" s="26"/>
      <c r="G1936" s="26"/>
      <c r="H1936" s="26"/>
      <c r="I1936" s="26"/>
      <c r="J1936" s="26"/>
      <c r="K1936" s="26"/>
      <c r="L1936" s="26"/>
      <c r="M1936" s="26"/>
      <c r="N1936" s="26"/>
      <c r="O1936" s="26"/>
      <c r="P1936" s="26"/>
      <c r="Q1936" s="26"/>
      <c r="R1936" s="26"/>
      <c r="S1936" s="26"/>
      <c r="T1936" s="26"/>
      <c r="U1936" s="26"/>
      <c r="V1936" s="26"/>
      <c r="W1936" s="26"/>
      <c r="X1936" s="26"/>
      <c r="Y1936" s="26"/>
      <c r="Z1936" s="26"/>
    </row>
    <row r="1937" customHeight="1" spans="1:26">
      <c r="A1937" s="27"/>
      <c r="B1937" s="27"/>
      <c r="C1937" s="27"/>
      <c r="D1937" s="27"/>
      <c r="E1937" s="27"/>
      <c r="F1937" s="27"/>
      <c r="G1937" s="27"/>
      <c r="H1937" s="27"/>
      <c r="I1937" s="27"/>
      <c r="J1937" s="27"/>
      <c r="K1937" s="27"/>
      <c r="L1937" s="27"/>
      <c r="M1937" s="27"/>
      <c r="N1937" s="27"/>
      <c r="O1937" s="27"/>
      <c r="P1937" s="27"/>
      <c r="Q1937" s="27"/>
      <c r="R1937" s="27"/>
      <c r="S1937" s="27"/>
      <c r="T1937" s="27"/>
      <c r="U1937" s="27"/>
      <c r="V1937" s="27"/>
      <c r="W1937" s="27"/>
      <c r="X1937" s="27"/>
      <c r="Y1937" s="27"/>
      <c r="Z1937" s="27"/>
    </row>
    <row r="1938" customHeight="1" spans="1:26">
      <c r="A1938" s="26"/>
      <c r="B1938" s="26"/>
      <c r="C1938" s="26"/>
      <c r="D1938" s="26"/>
      <c r="E1938" s="26"/>
      <c r="F1938" s="26"/>
      <c r="G1938" s="26"/>
      <c r="H1938" s="26"/>
      <c r="I1938" s="26"/>
      <c r="J1938" s="26"/>
      <c r="K1938" s="26"/>
      <c r="L1938" s="26"/>
      <c r="M1938" s="26"/>
      <c r="N1938" s="26"/>
      <c r="O1938" s="26"/>
      <c r="P1938" s="26"/>
      <c r="Q1938" s="26"/>
      <c r="R1938" s="26"/>
      <c r="S1938" s="26"/>
      <c r="T1938" s="26"/>
      <c r="U1938" s="26"/>
      <c r="V1938" s="26"/>
      <c r="W1938" s="26"/>
      <c r="X1938" s="26"/>
      <c r="Y1938" s="26"/>
      <c r="Z1938" s="26"/>
    </row>
    <row r="1939" customHeight="1" spans="1:26">
      <c r="A1939" s="27"/>
      <c r="B1939" s="27"/>
      <c r="C1939" s="27"/>
      <c r="D1939" s="27"/>
      <c r="E1939" s="27"/>
      <c r="F1939" s="27"/>
      <c r="G1939" s="27"/>
      <c r="H1939" s="27"/>
      <c r="I1939" s="27"/>
      <c r="J1939" s="27"/>
      <c r="K1939" s="27"/>
      <c r="L1939" s="27"/>
      <c r="M1939" s="27"/>
      <c r="N1939" s="27"/>
      <c r="O1939" s="27"/>
      <c r="P1939" s="27"/>
      <c r="Q1939" s="27"/>
      <c r="R1939" s="27"/>
      <c r="S1939" s="27"/>
      <c r="T1939" s="27"/>
      <c r="U1939" s="27"/>
      <c r="V1939" s="27"/>
      <c r="W1939" s="27"/>
      <c r="X1939" s="27"/>
      <c r="Y1939" s="27"/>
      <c r="Z1939" s="27"/>
    </row>
    <row r="1940" customHeight="1" spans="1:26">
      <c r="A1940" s="26"/>
      <c r="B1940" s="26"/>
      <c r="C1940" s="26"/>
      <c r="D1940" s="26"/>
      <c r="E1940" s="26"/>
      <c r="F1940" s="26"/>
      <c r="G1940" s="26"/>
      <c r="H1940" s="26"/>
      <c r="I1940" s="26"/>
      <c r="J1940" s="26"/>
      <c r="K1940" s="26"/>
      <c r="L1940" s="26"/>
      <c r="M1940" s="26"/>
      <c r="N1940" s="26"/>
      <c r="O1940" s="26"/>
      <c r="P1940" s="26"/>
      <c r="Q1940" s="26"/>
      <c r="R1940" s="26"/>
      <c r="S1940" s="26"/>
      <c r="T1940" s="26"/>
      <c r="U1940" s="26"/>
      <c r="V1940" s="26"/>
      <c r="W1940" s="26"/>
      <c r="X1940" s="26"/>
      <c r="Y1940" s="26"/>
      <c r="Z1940" s="26"/>
    </row>
    <row r="1941" customHeight="1" spans="1:26">
      <c r="A1941" s="27"/>
      <c r="B1941" s="27"/>
      <c r="C1941" s="27"/>
      <c r="D1941" s="27"/>
      <c r="E1941" s="27"/>
      <c r="F1941" s="27"/>
      <c r="G1941" s="27"/>
      <c r="H1941" s="27"/>
      <c r="I1941" s="27"/>
      <c r="J1941" s="27"/>
      <c r="K1941" s="27"/>
      <c r="L1941" s="27"/>
      <c r="M1941" s="27"/>
      <c r="N1941" s="27"/>
      <c r="O1941" s="27"/>
      <c r="P1941" s="27"/>
      <c r="Q1941" s="27"/>
      <c r="R1941" s="27"/>
      <c r="S1941" s="27"/>
      <c r="T1941" s="27"/>
      <c r="U1941" s="27"/>
      <c r="V1941" s="27"/>
      <c r="W1941" s="27"/>
      <c r="X1941" s="27"/>
      <c r="Y1941" s="27"/>
      <c r="Z1941" s="27"/>
    </row>
    <row r="1942" customHeight="1" spans="1:26">
      <c r="A1942" s="26"/>
      <c r="B1942" s="26"/>
      <c r="C1942" s="26"/>
      <c r="D1942" s="26"/>
      <c r="E1942" s="26"/>
      <c r="F1942" s="26"/>
      <c r="G1942" s="26"/>
      <c r="H1942" s="26"/>
      <c r="I1942" s="26"/>
      <c r="J1942" s="26"/>
      <c r="K1942" s="26"/>
      <c r="L1942" s="26"/>
      <c r="M1942" s="26"/>
      <c r="N1942" s="26"/>
      <c r="O1942" s="26"/>
      <c r="P1942" s="26"/>
      <c r="Q1942" s="26"/>
      <c r="R1942" s="26"/>
      <c r="S1942" s="26"/>
      <c r="T1942" s="26"/>
      <c r="U1942" s="26"/>
      <c r="V1942" s="26"/>
      <c r="W1942" s="26"/>
      <c r="X1942" s="26"/>
      <c r="Y1942" s="26"/>
      <c r="Z1942" s="26"/>
    </row>
    <row r="1943" customHeight="1" spans="1:26">
      <c r="A1943" s="27"/>
      <c r="B1943" s="27"/>
      <c r="C1943" s="27"/>
      <c r="D1943" s="27"/>
      <c r="E1943" s="27"/>
      <c r="F1943" s="27"/>
      <c r="G1943" s="27"/>
      <c r="H1943" s="27"/>
      <c r="I1943" s="27"/>
      <c r="J1943" s="27"/>
      <c r="K1943" s="27"/>
      <c r="L1943" s="27"/>
      <c r="M1943" s="27"/>
      <c r="N1943" s="27"/>
      <c r="O1943" s="27"/>
      <c r="P1943" s="27"/>
      <c r="Q1943" s="27"/>
      <c r="R1943" s="27"/>
      <c r="S1943" s="27"/>
      <c r="T1943" s="27"/>
      <c r="U1943" s="27"/>
      <c r="V1943" s="27"/>
      <c r="W1943" s="27"/>
      <c r="X1943" s="27"/>
      <c r="Y1943" s="27"/>
      <c r="Z1943" s="27"/>
    </row>
    <row r="1944" customHeight="1" spans="1:26">
      <c r="A1944" s="26"/>
      <c r="B1944" s="26"/>
      <c r="C1944" s="26"/>
      <c r="D1944" s="26"/>
      <c r="E1944" s="26"/>
      <c r="F1944" s="26"/>
      <c r="G1944" s="26"/>
      <c r="H1944" s="26"/>
      <c r="I1944" s="26"/>
      <c r="J1944" s="26"/>
      <c r="K1944" s="26"/>
      <c r="L1944" s="26"/>
      <c r="M1944" s="26"/>
      <c r="N1944" s="26"/>
      <c r="O1944" s="26"/>
      <c r="P1944" s="26"/>
      <c r="Q1944" s="26"/>
      <c r="R1944" s="26"/>
      <c r="S1944" s="26"/>
      <c r="T1944" s="26"/>
      <c r="U1944" s="26"/>
      <c r="V1944" s="26"/>
      <c r="W1944" s="26"/>
      <c r="X1944" s="26"/>
      <c r="Y1944" s="26"/>
      <c r="Z1944" s="26"/>
    </row>
    <row r="1945" customHeight="1" spans="1:26">
      <c r="A1945" s="27"/>
      <c r="B1945" s="27"/>
      <c r="C1945" s="27"/>
      <c r="D1945" s="27"/>
      <c r="E1945" s="27"/>
      <c r="F1945" s="27"/>
      <c r="G1945" s="27"/>
      <c r="H1945" s="27"/>
      <c r="I1945" s="27"/>
      <c r="J1945" s="27"/>
      <c r="K1945" s="27"/>
      <c r="L1945" s="27"/>
      <c r="M1945" s="27"/>
      <c r="N1945" s="27"/>
      <c r="O1945" s="27"/>
      <c r="P1945" s="27"/>
      <c r="Q1945" s="27"/>
      <c r="R1945" s="27"/>
      <c r="S1945" s="27"/>
      <c r="T1945" s="27"/>
      <c r="U1945" s="27"/>
      <c r="V1945" s="27"/>
      <c r="W1945" s="27"/>
      <c r="X1945" s="27"/>
      <c r="Y1945" s="27"/>
      <c r="Z1945" s="27"/>
    </row>
    <row r="1946" customHeight="1" spans="1:26">
      <c r="A1946" s="26"/>
      <c r="B1946" s="26"/>
      <c r="C1946" s="26"/>
      <c r="D1946" s="26"/>
      <c r="E1946" s="26"/>
      <c r="F1946" s="26"/>
      <c r="G1946" s="26"/>
      <c r="H1946" s="26"/>
      <c r="I1946" s="26"/>
      <c r="J1946" s="26"/>
      <c r="K1946" s="26"/>
      <c r="L1946" s="26"/>
      <c r="M1946" s="26"/>
      <c r="N1946" s="26"/>
      <c r="O1946" s="26"/>
      <c r="P1946" s="26"/>
      <c r="Q1946" s="26"/>
      <c r="R1946" s="26"/>
      <c r="S1946" s="26"/>
      <c r="T1946" s="26"/>
      <c r="U1946" s="26"/>
      <c r="V1946" s="26"/>
      <c r="W1946" s="26"/>
      <c r="X1946" s="26"/>
      <c r="Y1946" s="26"/>
      <c r="Z1946" s="26"/>
    </row>
    <row r="1947" customHeight="1" spans="1:26">
      <c r="A1947" s="27"/>
      <c r="B1947" s="27"/>
      <c r="C1947" s="27"/>
      <c r="D1947" s="27"/>
      <c r="E1947" s="27"/>
      <c r="F1947" s="27"/>
      <c r="G1947" s="27"/>
      <c r="H1947" s="27"/>
      <c r="I1947" s="27"/>
      <c r="J1947" s="27"/>
      <c r="K1947" s="27"/>
      <c r="L1947" s="27"/>
      <c r="M1947" s="27"/>
      <c r="N1947" s="27"/>
      <c r="O1947" s="27"/>
      <c r="P1947" s="27"/>
      <c r="Q1947" s="27"/>
      <c r="R1947" s="27"/>
      <c r="S1947" s="27"/>
      <c r="T1947" s="27"/>
      <c r="U1947" s="27"/>
      <c r="V1947" s="27"/>
      <c r="W1947" s="27"/>
      <c r="X1947" s="27"/>
      <c r="Y1947" s="27"/>
      <c r="Z1947" s="27"/>
    </row>
    <row r="1948" customHeight="1" spans="1:26">
      <c r="A1948" s="26"/>
      <c r="B1948" s="26"/>
      <c r="C1948" s="26"/>
      <c r="D1948" s="26"/>
      <c r="E1948" s="26"/>
      <c r="F1948" s="26"/>
      <c r="G1948" s="26"/>
      <c r="H1948" s="26"/>
      <c r="I1948" s="26"/>
      <c r="J1948" s="26"/>
      <c r="K1948" s="26"/>
      <c r="L1948" s="26"/>
      <c r="M1948" s="26"/>
      <c r="N1948" s="26"/>
      <c r="O1948" s="26"/>
      <c r="P1948" s="26"/>
      <c r="Q1948" s="26"/>
      <c r="R1948" s="26"/>
      <c r="S1948" s="26"/>
      <c r="T1948" s="26"/>
      <c r="U1948" s="26"/>
      <c r="V1948" s="26"/>
      <c r="W1948" s="26"/>
      <c r="X1948" s="26"/>
      <c r="Y1948" s="26"/>
      <c r="Z1948" s="26"/>
    </row>
    <row r="1949" customHeight="1" spans="1:26">
      <c r="A1949" s="27"/>
      <c r="B1949" s="27"/>
      <c r="C1949" s="27"/>
      <c r="D1949" s="27"/>
      <c r="E1949" s="27"/>
      <c r="F1949" s="27"/>
      <c r="G1949" s="27"/>
      <c r="H1949" s="27"/>
      <c r="I1949" s="27"/>
      <c r="J1949" s="27"/>
      <c r="K1949" s="27"/>
      <c r="L1949" s="27"/>
      <c r="M1949" s="27"/>
      <c r="N1949" s="27"/>
      <c r="O1949" s="27"/>
      <c r="P1949" s="27"/>
      <c r="Q1949" s="27"/>
      <c r="R1949" s="27"/>
      <c r="S1949" s="27"/>
      <c r="T1949" s="27"/>
      <c r="U1949" s="27"/>
      <c r="V1949" s="27"/>
      <c r="W1949" s="27"/>
      <c r="X1949" s="27"/>
      <c r="Y1949" s="27"/>
      <c r="Z1949" s="27"/>
    </row>
    <row r="1950" customHeight="1" spans="1:26">
      <c r="A1950" s="26"/>
      <c r="B1950" s="26"/>
      <c r="C1950" s="26"/>
      <c r="D1950" s="26"/>
      <c r="E1950" s="26"/>
      <c r="F1950" s="26"/>
      <c r="G1950" s="26"/>
      <c r="H1950" s="26"/>
      <c r="I1950" s="26"/>
      <c r="J1950" s="26"/>
      <c r="K1950" s="26"/>
      <c r="L1950" s="26"/>
      <c r="M1950" s="26"/>
      <c r="N1950" s="26"/>
      <c r="O1950" s="26"/>
      <c r="P1950" s="26"/>
      <c r="Q1950" s="26"/>
      <c r="R1950" s="26"/>
      <c r="S1950" s="26"/>
      <c r="T1950" s="26"/>
      <c r="U1950" s="26"/>
      <c r="V1950" s="26"/>
      <c r="W1950" s="26"/>
      <c r="X1950" s="26"/>
      <c r="Y1950" s="26"/>
      <c r="Z1950" s="26"/>
    </row>
    <row r="1951" customHeight="1" spans="1:26">
      <c r="A1951" s="27"/>
      <c r="B1951" s="27"/>
      <c r="C1951" s="27"/>
      <c r="D1951" s="27"/>
      <c r="E1951" s="27"/>
      <c r="F1951" s="27"/>
      <c r="G1951" s="27"/>
      <c r="H1951" s="27"/>
      <c r="I1951" s="27"/>
      <c r="J1951" s="27"/>
      <c r="K1951" s="27"/>
      <c r="L1951" s="27"/>
      <c r="M1951" s="27"/>
      <c r="N1951" s="27"/>
      <c r="O1951" s="27"/>
      <c r="P1951" s="27"/>
      <c r="Q1951" s="27"/>
      <c r="R1951" s="27"/>
      <c r="S1951" s="27"/>
      <c r="T1951" s="27"/>
      <c r="U1951" s="27"/>
      <c r="V1951" s="27"/>
      <c r="W1951" s="27"/>
      <c r="X1951" s="27"/>
      <c r="Y1951" s="27"/>
      <c r="Z1951" s="27"/>
    </row>
    <row r="1952" customHeight="1" spans="1:26">
      <c r="A1952" s="26"/>
      <c r="B1952" s="26"/>
      <c r="C1952" s="26"/>
      <c r="D1952" s="26"/>
      <c r="E1952" s="26"/>
      <c r="F1952" s="26"/>
      <c r="G1952" s="26"/>
      <c r="H1952" s="26"/>
      <c r="I1952" s="26"/>
      <c r="J1952" s="26"/>
      <c r="K1952" s="26"/>
      <c r="L1952" s="26"/>
      <c r="M1952" s="26"/>
      <c r="N1952" s="26"/>
      <c r="O1952" s="26"/>
      <c r="P1952" s="26"/>
      <c r="Q1952" s="26"/>
      <c r="R1952" s="26"/>
      <c r="S1952" s="26"/>
      <c r="T1952" s="26"/>
      <c r="U1952" s="26"/>
      <c r="V1952" s="26"/>
      <c r="W1952" s="26"/>
      <c r="X1952" s="26"/>
      <c r="Y1952" s="26"/>
      <c r="Z1952" s="26"/>
    </row>
    <row r="1953" customHeight="1" spans="1:26">
      <c r="A1953" s="27"/>
      <c r="B1953" s="27"/>
      <c r="C1953" s="27"/>
      <c r="D1953" s="27"/>
      <c r="E1953" s="27"/>
      <c r="F1953" s="27"/>
      <c r="G1953" s="27"/>
      <c r="H1953" s="27"/>
      <c r="I1953" s="27"/>
      <c r="J1953" s="27"/>
      <c r="K1953" s="27"/>
      <c r="L1953" s="27"/>
      <c r="M1953" s="27"/>
      <c r="N1953" s="27"/>
      <c r="O1953" s="27"/>
      <c r="P1953" s="27"/>
      <c r="Q1953" s="27"/>
      <c r="R1953" s="27"/>
      <c r="S1953" s="27"/>
      <c r="T1953" s="27"/>
      <c r="U1953" s="27"/>
      <c r="V1953" s="27"/>
      <c r="W1953" s="27"/>
      <c r="X1953" s="27"/>
      <c r="Y1953" s="27"/>
      <c r="Z1953" s="27"/>
    </row>
    <row r="1954" customHeight="1" spans="1:26">
      <c r="A1954" s="26"/>
      <c r="B1954" s="26"/>
      <c r="C1954" s="26"/>
      <c r="D1954" s="26"/>
      <c r="E1954" s="26"/>
      <c r="F1954" s="26"/>
      <c r="G1954" s="26"/>
      <c r="H1954" s="26"/>
      <c r="I1954" s="26"/>
      <c r="J1954" s="26"/>
      <c r="K1954" s="26"/>
      <c r="L1954" s="26"/>
      <c r="M1954" s="26"/>
      <c r="N1954" s="26"/>
      <c r="O1954" s="26"/>
      <c r="P1954" s="26"/>
      <c r="Q1954" s="26"/>
      <c r="R1954" s="26"/>
      <c r="S1954" s="26"/>
      <c r="T1954" s="26"/>
      <c r="U1954" s="26"/>
      <c r="V1954" s="26"/>
      <c r="W1954" s="26"/>
      <c r="X1954" s="26"/>
      <c r="Y1954" s="26"/>
      <c r="Z1954" s="26"/>
    </row>
    <row r="1955" customHeight="1" spans="1:26">
      <c r="A1955" s="27"/>
      <c r="B1955" s="27"/>
      <c r="C1955" s="27"/>
      <c r="D1955" s="27"/>
      <c r="E1955" s="27"/>
      <c r="F1955" s="27"/>
      <c r="G1955" s="27"/>
      <c r="H1955" s="27"/>
      <c r="I1955" s="27"/>
      <c r="J1955" s="27"/>
      <c r="K1955" s="27"/>
      <c r="L1955" s="27"/>
      <c r="M1955" s="27"/>
      <c r="N1955" s="27"/>
      <c r="O1955" s="27"/>
      <c r="P1955" s="27"/>
      <c r="Q1955" s="27"/>
      <c r="R1955" s="27"/>
      <c r="S1955" s="27"/>
      <c r="T1955" s="27"/>
      <c r="U1955" s="27"/>
      <c r="V1955" s="27"/>
      <c r="W1955" s="27"/>
      <c r="X1955" s="27"/>
      <c r="Y1955" s="27"/>
      <c r="Z1955" s="27"/>
    </row>
    <row r="1956" customHeight="1" spans="1:26">
      <c r="A1956" s="26"/>
      <c r="B1956" s="26"/>
      <c r="C1956" s="26"/>
      <c r="D1956" s="26"/>
      <c r="E1956" s="26"/>
      <c r="F1956" s="26"/>
      <c r="G1956" s="26"/>
      <c r="H1956" s="26"/>
      <c r="I1956" s="26"/>
      <c r="J1956" s="26"/>
      <c r="K1956" s="26"/>
      <c r="L1956" s="26"/>
      <c r="M1956" s="26"/>
      <c r="N1956" s="26"/>
      <c r="O1956" s="26"/>
      <c r="P1956" s="26"/>
      <c r="Q1956" s="26"/>
      <c r="R1956" s="26"/>
      <c r="S1956" s="26"/>
      <c r="T1956" s="26"/>
      <c r="U1956" s="26"/>
      <c r="V1956" s="26"/>
      <c r="W1956" s="26"/>
      <c r="X1956" s="26"/>
      <c r="Y1956" s="26"/>
      <c r="Z1956" s="26"/>
    </row>
    <row r="1957" customHeight="1" spans="1:26">
      <c r="A1957" s="27"/>
      <c r="B1957" s="27"/>
      <c r="C1957" s="27"/>
      <c r="D1957" s="27"/>
      <c r="E1957" s="27"/>
      <c r="F1957" s="27"/>
      <c r="G1957" s="27"/>
      <c r="H1957" s="27"/>
      <c r="I1957" s="27"/>
      <c r="J1957" s="27"/>
      <c r="K1957" s="27"/>
      <c r="L1957" s="27"/>
      <c r="M1957" s="27"/>
      <c r="N1957" s="27"/>
      <c r="O1957" s="27"/>
      <c r="P1957" s="27"/>
      <c r="Q1957" s="27"/>
      <c r="R1957" s="27"/>
      <c r="S1957" s="27"/>
      <c r="T1957" s="27"/>
      <c r="U1957" s="27"/>
      <c r="V1957" s="27"/>
      <c r="W1957" s="27"/>
      <c r="X1957" s="27"/>
      <c r="Y1957" s="27"/>
      <c r="Z1957" s="27"/>
    </row>
    <row r="1958" customHeight="1" spans="1:26">
      <c r="A1958" s="26"/>
      <c r="B1958" s="26"/>
      <c r="C1958" s="26"/>
      <c r="D1958" s="26"/>
      <c r="E1958" s="26"/>
      <c r="F1958" s="26"/>
      <c r="G1958" s="26"/>
      <c r="H1958" s="26"/>
      <c r="I1958" s="26"/>
      <c r="J1958" s="26"/>
      <c r="K1958" s="26"/>
      <c r="L1958" s="26"/>
      <c r="M1958" s="26"/>
      <c r="N1958" s="26"/>
      <c r="O1958" s="26"/>
      <c r="P1958" s="26"/>
      <c r="Q1958" s="26"/>
      <c r="R1958" s="26"/>
      <c r="S1958" s="26"/>
      <c r="T1958" s="26"/>
      <c r="U1958" s="26"/>
      <c r="V1958" s="26"/>
      <c r="W1958" s="26"/>
      <c r="X1958" s="26"/>
      <c r="Y1958" s="26"/>
      <c r="Z1958" s="26"/>
    </row>
    <row r="1959" customHeight="1" spans="1:26">
      <c r="A1959" s="27"/>
      <c r="B1959" s="27"/>
      <c r="C1959" s="27"/>
      <c r="D1959" s="27"/>
      <c r="E1959" s="27"/>
      <c r="F1959" s="27"/>
      <c r="G1959" s="27"/>
      <c r="H1959" s="27"/>
      <c r="I1959" s="27"/>
      <c r="J1959" s="27"/>
      <c r="K1959" s="27"/>
      <c r="L1959" s="27"/>
      <c r="M1959" s="27"/>
      <c r="N1959" s="27"/>
      <c r="O1959" s="27"/>
      <c r="P1959" s="27"/>
      <c r="Q1959" s="27"/>
      <c r="R1959" s="27"/>
      <c r="S1959" s="27"/>
      <c r="T1959" s="27"/>
      <c r="U1959" s="27"/>
      <c r="V1959" s="27"/>
      <c r="W1959" s="27"/>
      <c r="X1959" s="27"/>
      <c r="Y1959" s="27"/>
      <c r="Z1959" s="27"/>
    </row>
    <row r="1960" customHeight="1" spans="1:26">
      <c r="A1960" s="26"/>
      <c r="B1960" s="26"/>
      <c r="C1960" s="26"/>
      <c r="D1960" s="26"/>
      <c r="E1960" s="26"/>
      <c r="F1960" s="26"/>
      <c r="G1960" s="26"/>
      <c r="H1960" s="26"/>
      <c r="I1960" s="26"/>
      <c r="J1960" s="26"/>
      <c r="K1960" s="26"/>
      <c r="L1960" s="26"/>
      <c r="M1960" s="26"/>
      <c r="N1960" s="26"/>
      <c r="O1960" s="26"/>
      <c r="P1960" s="26"/>
      <c r="Q1960" s="26"/>
      <c r="R1960" s="26"/>
      <c r="S1960" s="26"/>
      <c r="T1960" s="26"/>
      <c r="U1960" s="26"/>
      <c r="V1960" s="26"/>
      <c r="W1960" s="26"/>
      <c r="X1960" s="26"/>
      <c r="Y1960" s="26"/>
      <c r="Z1960" s="26"/>
    </row>
    <row r="1961" customHeight="1" spans="1:26">
      <c r="A1961" s="27"/>
      <c r="B1961" s="27"/>
      <c r="C1961" s="27"/>
      <c r="D1961" s="27"/>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row>
    <row r="1962" customHeight="1" spans="1:26">
      <c r="A1962" s="26"/>
      <c r="B1962" s="26"/>
      <c r="C1962" s="26"/>
      <c r="D1962" s="26"/>
      <c r="E1962" s="26"/>
      <c r="F1962" s="26"/>
      <c r="G1962" s="26"/>
      <c r="H1962" s="26"/>
      <c r="I1962" s="26"/>
      <c r="J1962" s="26"/>
      <c r="K1962" s="26"/>
      <c r="L1962" s="26"/>
      <c r="M1962" s="26"/>
      <c r="N1962" s="26"/>
      <c r="O1962" s="26"/>
      <c r="P1962" s="26"/>
      <c r="Q1962" s="26"/>
      <c r="R1962" s="26"/>
      <c r="S1962" s="26"/>
      <c r="T1962" s="26"/>
      <c r="U1962" s="26"/>
      <c r="V1962" s="26"/>
      <c r="W1962" s="26"/>
      <c r="X1962" s="26"/>
      <c r="Y1962" s="26"/>
      <c r="Z1962" s="26"/>
    </row>
    <row r="1963" customHeight="1" spans="1:26">
      <c r="A1963" s="27"/>
      <c r="B1963" s="27"/>
      <c r="C1963" s="27"/>
      <c r="D1963" s="27"/>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row>
    <row r="1964" customHeight="1" spans="1:26">
      <c r="A1964" s="26"/>
      <c r="B1964" s="26"/>
      <c r="C1964" s="26"/>
      <c r="D1964" s="26"/>
      <c r="E1964" s="26"/>
      <c r="F1964" s="26"/>
      <c r="G1964" s="26"/>
      <c r="H1964" s="26"/>
      <c r="I1964" s="26"/>
      <c r="J1964" s="26"/>
      <c r="K1964" s="26"/>
      <c r="L1964" s="26"/>
      <c r="M1964" s="26"/>
      <c r="N1964" s="26"/>
      <c r="O1964" s="26"/>
      <c r="P1964" s="26"/>
      <c r="Q1964" s="26"/>
      <c r="R1964" s="26"/>
      <c r="S1964" s="26"/>
      <c r="T1964" s="26"/>
      <c r="U1964" s="26"/>
      <c r="V1964" s="26"/>
      <c r="W1964" s="26"/>
      <c r="X1964" s="26"/>
      <c r="Y1964" s="26"/>
      <c r="Z1964" s="26"/>
    </row>
    <row r="1965" customHeight="1" spans="1:26">
      <c r="A1965" s="27"/>
      <c r="B1965" s="27"/>
      <c r="C1965" s="27"/>
      <c r="D1965" s="27"/>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row>
    <row r="1966" customHeight="1" spans="1:26">
      <c r="A1966" s="26"/>
      <c r="B1966" s="26"/>
      <c r="C1966" s="26"/>
      <c r="D1966" s="26"/>
      <c r="E1966" s="26"/>
      <c r="F1966" s="26"/>
      <c r="G1966" s="26"/>
      <c r="H1966" s="26"/>
      <c r="I1966" s="26"/>
      <c r="J1966" s="26"/>
      <c r="K1966" s="26"/>
      <c r="L1966" s="26"/>
      <c r="M1966" s="26"/>
      <c r="N1966" s="26"/>
      <c r="O1966" s="26"/>
      <c r="P1966" s="26"/>
      <c r="Q1966" s="26"/>
      <c r="R1966" s="26"/>
      <c r="S1966" s="26"/>
      <c r="T1966" s="26"/>
      <c r="U1966" s="26"/>
      <c r="V1966" s="26"/>
      <c r="W1966" s="26"/>
      <c r="X1966" s="26"/>
      <c r="Y1966" s="26"/>
      <c r="Z1966" s="26"/>
    </row>
    <row r="1967" customHeight="1" spans="1:26">
      <c r="A1967" s="27"/>
      <c r="B1967" s="27"/>
      <c r="C1967" s="27"/>
      <c r="D1967" s="27"/>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row>
    <row r="1968" customHeight="1" spans="1:26">
      <c r="A1968" s="26"/>
      <c r="B1968" s="26"/>
      <c r="C1968" s="26"/>
      <c r="D1968" s="26"/>
      <c r="E1968" s="26"/>
      <c r="F1968" s="26"/>
      <c r="G1968" s="26"/>
      <c r="H1968" s="26"/>
      <c r="I1968" s="26"/>
      <c r="J1968" s="26"/>
      <c r="K1968" s="26"/>
      <c r="L1968" s="26"/>
      <c r="M1968" s="26"/>
      <c r="N1968" s="26"/>
      <c r="O1968" s="26"/>
      <c r="P1968" s="26"/>
      <c r="Q1968" s="26"/>
      <c r="R1968" s="26"/>
      <c r="S1968" s="26"/>
      <c r="T1968" s="26"/>
      <c r="U1968" s="26"/>
      <c r="V1968" s="26"/>
      <c r="W1968" s="26"/>
      <c r="X1968" s="26"/>
      <c r="Y1968" s="26"/>
      <c r="Z1968" s="26"/>
    </row>
    <row r="1969" customHeight="1" spans="1:26">
      <c r="A1969" s="27"/>
      <c r="B1969" s="27"/>
      <c r="C1969" s="27"/>
      <c r="D1969" s="27"/>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row>
    <row r="1970" customHeight="1" spans="1:26">
      <c r="A1970" s="26"/>
      <c r="B1970" s="26"/>
      <c r="C1970" s="26"/>
      <c r="D1970" s="26"/>
      <c r="E1970" s="26"/>
      <c r="F1970" s="26"/>
      <c r="G1970" s="26"/>
      <c r="H1970" s="26"/>
      <c r="I1970" s="26"/>
      <c r="J1970" s="26"/>
      <c r="K1970" s="26"/>
      <c r="L1970" s="26"/>
      <c r="M1970" s="26"/>
      <c r="N1970" s="26"/>
      <c r="O1970" s="26"/>
      <c r="P1970" s="26"/>
      <c r="Q1970" s="26"/>
      <c r="R1970" s="26"/>
      <c r="S1970" s="26"/>
      <c r="T1970" s="26"/>
      <c r="U1970" s="26"/>
      <c r="V1970" s="26"/>
      <c r="W1970" s="26"/>
      <c r="X1970" s="26"/>
      <c r="Y1970" s="26"/>
      <c r="Z1970" s="26"/>
    </row>
    <row r="1971" customHeight="1" spans="1:26">
      <c r="A1971" s="27"/>
      <c r="B1971" s="27"/>
      <c r="C1971" s="27"/>
      <c r="D1971" s="27"/>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row>
    <row r="1972" customHeight="1" spans="1:26">
      <c r="A1972" s="26"/>
      <c r="B1972" s="26"/>
      <c r="C1972" s="26"/>
      <c r="D1972" s="26"/>
      <c r="E1972" s="26"/>
      <c r="F1972" s="26"/>
      <c r="G1972" s="26"/>
      <c r="H1972" s="26"/>
      <c r="I1972" s="26"/>
      <c r="J1972" s="26"/>
      <c r="K1972" s="26"/>
      <c r="L1972" s="26"/>
      <c r="M1972" s="26"/>
      <c r="N1972" s="26"/>
      <c r="O1972" s="26"/>
      <c r="P1972" s="26"/>
      <c r="Q1972" s="26"/>
      <c r="R1972" s="26"/>
      <c r="S1972" s="26"/>
      <c r="T1972" s="26"/>
      <c r="U1972" s="26"/>
      <c r="V1972" s="26"/>
      <c r="W1972" s="26"/>
      <c r="X1972" s="26"/>
      <c r="Y1972" s="26"/>
      <c r="Z1972" s="26"/>
    </row>
    <row r="1973" customHeight="1" spans="1:26">
      <c r="A1973" s="27"/>
      <c r="B1973" s="27"/>
      <c r="C1973" s="27"/>
      <c r="D1973" s="27"/>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row>
    <row r="1974" customHeight="1" spans="1:26">
      <c r="A1974" s="26"/>
      <c r="B1974" s="26"/>
      <c r="C1974" s="26"/>
      <c r="D1974" s="26"/>
      <c r="E1974" s="26"/>
      <c r="F1974" s="26"/>
      <c r="G1974" s="26"/>
      <c r="H1974" s="26"/>
      <c r="I1974" s="26"/>
      <c r="J1974" s="26"/>
      <c r="K1974" s="26"/>
      <c r="L1974" s="26"/>
      <c r="M1974" s="26"/>
      <c r="N1974" s="26"/>
      <c r="O1974" s="26"/>
      <c r="P1974" s="26"/>
      <c r="Q1974" s="26"/>
      <c r="R1974" s="26"/>
      <c r="S1974" s="26"/>
      <c r="T1974" s="26"/>
      <c r="U1974" s="26"/>
      <c r="V1974" s="26"/>
      <c r="W1974" s="26"/>
      <c r="X1974" s="26"/>
      <c r="Y1974" s="26"/>
      <c r="Z1974" s="26"/>
    </row>
    <row r="1975" customHeight="1" spans="1:26">
      <c r="A1975" s="27"/>
      <c r="B1975" s="27"/>
      <c r="C1975" s="27"/>
      <c r="D1975" s="27"/>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row>
    <row r="1976" customHeight="1" spans="1:26">
      <c r="A1976" s="26"/>
      <c r="B1976" s="26"/>
      <c r="C1976" s="26"/>
      <c r="D1976" s="26"/>
      <c r="E1976" s="26"/>
      <c r="F1976" s="26"/>
      <c r="G1976" s="26"/>
      <c r="H1976" s="26"/>
      <c r="I1976" s="26"/>
      <c r="J1976" s="26"/>
      <c r="K1976" s="26"/>
      <c r="L1976" s="26"/>
      <c r="M1976" s="26"/>
      <c r="N1976" s="26"/>
      <c r="O1976" s="26"/>
      <c r="P1976" s="26"/>
      <c r="Q1976" s="26"/>
      <c r="R1976" s="26"/>
      <c r="S1976" s="26"/>
      <c r="T1976" s="26"/>
      <c r="U1976" s="26"/>
      <c r="V1976" s="26"/>
      <c r="W1976" s="26"/>
      <c r="X1976" s="26"/>
      <c r="Y1976" s="26"/>
      <c r="Z1976" s="26"/>
    </row>
    <row r="1977" customHeight="1" spans="1:26">
      <c r="A1977" s="27"/>
      <c r="B1977" s="27"/>
      <c r="C1977" s="27"/>
      <c r="D1977" s="27"/>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row>
    <row r="1978" customHeight="1" spans="1:26">
      <c r="A1978" s="26"/>
      <c r="B1978" s="26"/>
      <c r="C1978" s="26"/>
      <c r="D1978" s="26"/>
      <c r="E1978" s="26"/>
      <c r="F1978" s="26"/>
      <c r="G1978" s="26"/>
      <c r="H1978" s="26"/>
      <c r="I1978" s="26"/>
      <c r="J1978" s="26"/>
      <c r="K1978" s="26"/>
      <c r="L1978" s="26"/>
      <c r="M1978" s="26"/>
      <c r="N1978" s="26"/>
      <c r="O1978" s="26"/>
      <c r="P1978" s="26"/>
      <c r="Q1978" s="26"/>
      <c r="R1978" s="26"/>
      <c r="S1978" s="26"/>
      <c r="T1978" s="26"/>
      <c r="U1978" s="26"/>
      <c r="V1978" s="26"/>
      <c r="W1978" s="26"/>
      <c r="X1978" s="26"/>
      <c r="Y1978" s="26"/>
      <c r="Z1978" s="26"/>
    </row>
    <row r="1979" customHeight="1" spans="1:26">
      <c r="A1979" s="27"/>
      <c r="B1979" s="27"/>
      <c r="C1979" s="27"/>
      <c r="D1979" s="27"/>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row>
    <row r="1980" customHeight="1" spans="1:26">
      <c r="A1980" s="26"/>
      <c r="B1980" s="26"/>
      <c r="C1980" s="26"/>
      <c r="D1980" s="26"/>
      <c r="E1980" s="26"/>
      <c r="F1980" s="26"/>
      <c r="G1980" s="26"/>
      <c r="H1980" s="26"/>
      <c r="I1980" s="26"/>
      <c r="J1980" s="26"/>
      <c r="K1980" s="26"/>
      <c r="L1980" s="26"/>
      <c r="M1980" s="26"/>
      <c r="N1980" s="26"/>
      <c r="O1980" s="26"/>
      <c r="P1980" s="26"/>
      <c r="Q1980" s="26"/>
      <c r="R1980" s="26"/>
      <c r="S1980" s="26"/>
      <c r="T1980" s="26"/>
      <c r="U1980" s="26"/>
      <c r="V1980" s="26"/>
      <c r="W1980" s="26"/>
      <c r="X1980" s="26"/>
      <c r="Y1980" s="26"/>
      <c r="Z1980" s="26"/>
    </row>
    <row r="1981" customHeight="1" spans="1:26">
      <c r="A1981" s="27"/>
      <c r="B1981" s="27"/>
      <c r="C1981" s="27"/>
      <c r="D1981" s="27"/>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row>
    <row r="1982" customHeight="1" spans="1:26">
      <c r="A1982" s="26"/>
      <c r="B1982" s="26"/>
      <c r="C1982" s="26"/>
      <c r="D1982" s="26"/>
      <c r="E1982" s="26"/>
      <c r="F1982" s="26"/>
      <c r="G1982" s="26"/>
      <c r="H1982" s="26"/>
      <c r="I1982" s="26"/>
      <c r="J1982" s="26"/>
      <c r="K1982" s="26"/>
      <c r="L1982" s="26"/>
      <c r="M1982" s="26"/>
      <c r="N1982" s="26"/>
      <c r="O1982" s="26"/>
      <c r="P1982" s="26"/>
      <c r="Q1982" s="26"/>
      <c r="R1982" s="26"/>
      <c r="S1982" s="26"/>
      <c r="T1982" s="26"/>
      <c r="U1982" s="26"/>
      <c r="V1982" s="26"/>
      <c r="W1982" s="26"/>
      <c r="X1982" s="26"/>
      <c r="Y1982" s="26"/>
      <c r="Z1982" s="26"/>
    </row>
    <row r="1983" customHeight="1" spans="1:26">
      <c r="A1983" s="27"/>
      <c r="B1983" s="27"/>
      <c r="C1983" s="27"/>
      <c r="D1983" s="27"/>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row>
    <row r="1984" customHeight="1" spans="1:26">
      <c r="A1984" s="26"/>
      <c r="B1984" s="26"/>
      <c r="C1984" s="26"/>
      <c r="D1984" s="26"/>
      <c r="E1984" s="26"/>
      <c r="F1984" s="26"/>
      <c r="G1984" s="26"/>
      <c r="H1984" s="26"/>
      <c r="I1984" s="26"/>
      <c r="J1984" s="26"/>
      <c r="K1984" s="26"/>
      <c r="L1984" s="26"/>
      <c r="M1984" s="26"/>
      <c r="N1984" s="26"/>
      <c r="O1984" s="26"/>
      <c r="P1984" s="26"/>
      <c r="Q1984" s="26"/>
      <c r="R1984" s="26"/>
      <c r="S1984" s="26"/>
      <c r="T1984" s="26"/>
      <c r="U1984" s="26"/>
      <c r="V1984" s="26"/>
      <c r="W1984" s="26"/>
      <c r="X1984" s="26"/>
      <c r="Y1984" s="26"/>
      <c r="Z1984" s="26"/>
    </row>
    <row r="1985" customHeight="1" spans="1:26">
      <c r="A1985" s="27"/>
      <c r="B1985" s="27"/>
      <c r="C1985" s="27"/>
      <c r="D1985" s="27"/>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row>
    <row r="1986" customHeight="1" spans="1:26">
      <c r="A1986" s="26"/>
      <c r="B1986" s="26"/>
      <c r="C1986" s="26"/>
      <c r="D1986" s="26"/>
      <c r="E1986" s="26"/>
      <c r="F1986" s="26"/>
      <c r="G1986" s="26"/>
      <c r="H1986" s="26"/>
      <c r="I1986" s="26"/>
      <c r="J1986" s="26"/>
      <c r="K1986" s="26"/>
      <c r="L1986" s="26"/>
      <c r="M1986" s="26"/>
      <c r="N1986" s="26"/>
      <c r="O1986" s="26"/>
      <c r="P1986" s="26"/>
      <c r="Q1986" s="26"/>
      <c r="R1986" s="26"/>
      <c r="S1986" s="26"/>
      <c r="T1986" s="26"/>
      <c r="U1986" s="26"/>
      <c r="V1986" s="26"/>
      <c r="W1986" s="26"/>
      <c r="X1986" s="26"/>
      <c r="Y1986" s="26"/>
      <c r="Z1986" s="26"/>
    </row>
    <row r="1987" customHeight="1" spans="1:26">
      <c r="A1987" s="27"/>
      <c r="B1987" s="27"/>
      <c r="C1987" s="27"/>
      <c r="D1987" s="27"/>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row>
    <row r="1988" customHeight="1" spans="1:26">
      <c r="A1988" s="26"/>
      <c r="B1988" s="26"/>
      <c r="C1988" s="26"/>
      <c r="D1988" s="26"/>
      <c r="E1988" s="26"/>
      <c r="F1988" s="26"/>
      <c r="G1988" s="26"/>
      <c r="H1988" s="26"/>
      <c r="I1988" s="26"/>
      <c r="J1988" s="26"/>
      <c r="K1988" s="26"/>
      <c r="L1988" s="26"/>
      <c r="M1988" s="26"/>
      <c r="N1988" s="26"/>
      <c r="O1988" s="26"/>
      <c r="P1988" s="26"/>
      <c r="Q1988" s="26"/>
      <c r="R1988" s="26"/>
      <c r="S1988" s="26"/>
      <c r="T1988" s="26"/>
      <c r="U1988" s="26"/>
      <c r="V1988" s="26"/>
      <c r="W1988" s="26"/>
      <c r="X1988" s="26"/>
      <c r="Y1988" s="26"/>
      <c r="Z1988" s="26"/>
    </row>
    <row r="1989" customHeight="1" spans="1:26">
      <c r="A1989" s="27"/>
      <c r="B1989" s="27"/>
      <c r="C1989" s="27"/>
      <c r="D1989" s="27"/>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row>
    <row r="1990" customHeight="1" spans="1:26">
      <c r="A1990" s="26"/>
      <c r="B1990" s="26"/>
      <c r="C1990" s="26"/>
      <c r="D1990" s="26"/>
      <c r="E1990" s="26"/>
      <c r="F1990" s="26"/>
      <c r="G1990" s="26"/>
      <c r="H1990" s="26"/>
      <c r="I1990" s="26"/>
      <c r="J1990" s="26"/>
      <c r="K1990" s="26"/>
      <c r="L1990" s="26"/>
      <c r="M1990" s="26"/>
      <c r="N1990" s="26"/>
      <c r="O1990" s="26"/>
      <c r="P1990" s="26"/>
      <c r="Q1990" s="26"/>
      <c r="R1990" s="26"/>
      <c r="S1990" s="26"/>
      <c r="T1990" s="26"/>
      <c r="U1990" s="26"/>
      <c r="V1990" s="26"/>
      <c r="W1990" s="26"/>
      <c r="X1990" s="26"/>
      <c r="Y1990" s="26"/>
      <c r="Z1990" s="26"/>
    </row>
    <row r="1991" customHeight="1" spans="1:26">
      <c r="A1991" s="27"/>
      <c r="B1991" s="27"/>
      <c r="C1991" s="27"/>
      <c r="D1991" s="27"/>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row>
    <row r="1992" customHeight="1" spans="1:26">
      <c r="A1992" s="26"/>
      <c r="B1992" s="26"/>
      <c r="C1992" s="26"/>
      <c r="D1992" s="26"/>
      <c r="E1992" s="26"/>
      <c r="F1992" s="26"/>
      <c r="G1992" s="26"/>
      <c r="H1992" s="26"/>
      <c r="I1992" s="26"/>
      <c r="J1992" s="26"/>
      <c r="K1992" s="26"/>
      <c r="L1992" s="26"/>
      <c r="M1992" s="26"/>
      <c r="N1992" s="26"/>
      <c r="O1992" s="26"/>
      <c r="P1992" s="26"/>
      <c r="Q1992" s="26"/>
      <c r="R1992" s="26"/>
      <c r="S1992" s="26"/>
      <c r="T1992" s="26"/>
      <c r="U1992" s="26"/>
      <c r="V1992" s="26"/>
      <c r="W1992" s="26"/>
      <c r="X1992" s="26"/>
      <c r="Y1992" s="26"/>
      <c r="Z1992" s="26"/>
    </row>
    <row r="1993" customHeight="1" spans="1:26">
      <c r="A1993" s="27"/>
      <c r="B1993" s="27"/>
      <c r="C1993" s="27"/>
      <c r="D1993" s="27"/>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row>
    <row r="1994" customHeight="1" spans="1:26">
      <c r="A1994" s="26"/>
      <c r="B1994" s="26"/>
      <c r="C1994" s="26"/>
      <c r="D1994" s="26"/>
      <c r="E1994" s="26"/>
      <c r="F1994" s="26"/>
      <c r="G1994" s="26"/>
      <c r="H1994" s="26"/>
      <c r="I1994" s="26"/>
      <c r="J1994" s="26"/>
      <c r="K1994" s="26"/>
      <c r="L1994" s="26"/>
      <c r="M1994" s="26"/>
      <c r="N1994" s="26"/>
      <c r="O1994" s="26"/>
      <c r="P1994" s="26"/>
      <c r="Q1994" s="26"/>
      <c r="R1994" s="26"/>
      <c r="S1994" s="26"/>
      <c r="T1994" s="26"/>
      <c r="U1994" s="26"/>
      <c r="V1994" s="26"/>
      <c r="W1994" s="26"/>
      <c r="X1994" s="26"/>
      <c r="Y1994" s="26"/>
      <c r="Z1994" s="26"/>
    </row>
    <row r="1995" customHeight="1" spans="1:26">
      <c r="A1995" s="27"/>
      <c r="B1995" s="27"/>
      <c r="C1995" s="27"/>
      <c r="D1995" s="27"/>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row>
    <row r="1996" customHeight="1" spans="1:26">
      <c r="A1996" s="26"/>
      <c r="B1996" s="26"/>
      <c r="C1996" s="26"/>
      <c r="D1996" s="26"/>
      <c r="E1996" s="26"/>
      <c r="F1996" s="26"/>
      <c r="G1996" s="26"/>
      <c r="H1996" s="26"/>
      <c r="I1996" s="26"/>
      <c r="J1996" s="26"/>
      <c r="K1996" s="26"/>
      <c r="L1996" s="26"/>
      <c r="M1996" s="26"/>
      <c r="N1996" s="26"/>
      <c r="O1996" s="26"/>
      <c r="P1996" s="26"/>
      <c r="Q1996" s="26"/>
      <c r="R1996" s="26"/>
      <c r="S1996" s="26"/>
      <c r="T1996" s="26"/>
      <c r="U1996" s="26"/>
      <c r="V1996" s="26"/>
      <c r="W1996" s="26"/>
      <c r="X1996" s="26"/>
      <c r="Y1996" s="26"/>
      <c r="Z1996" s="26"/>
    </row>
    <row r="1997" customHeight="1" spans="1:26">
      <c r="A1997" s="27"/>
      <c r="B1997" s="27"/>
      <c r="C1997" s="27"/>
      <c r="D1997" s="27"/>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row>
    <row r="1998" customHeight="1" spans="1:26">
      <c r="A1998" s="26"/>
      <c r="B1998" s="26"/>
      <c r="C1998" s="26"/>
      <c r="D1998" s="26"/>
      <c r="E1998" s="26"/>
      <c r="F1998" s="26"/>
      <c r="G1998" s="26"/>
      <c r="H1998" s="26"/>
      <c r="I1998" s="26"/>
      <c r="J1998" s="26"/>
      <c r="K1998" s="26"/>
      <c r="L1998" s="26"/>
      <c r="M1998" s="26"/>
      <c r="N1998" s="26"/>
      <c r="O1998" s="26"/>
      <c r="P1998" s="26"/>
      <c r="Q1998" s="26"/>
      <c r="R1998" s="26"/>
      <c r="S1998" s="26"/>
      <c r="T1998" s="26"/>
      <c r="U1998" s="26"/>
      <c r="V1998" s="26"/>
      <c r="W1998" s="26"/>
      <c r="X1998" s="26"/>
      <c r="Y1998" s="26"/>
      <c r="Z1998" s="26"/>
    </row>
    <row r="1999" customHeight="1" spans="1:26">
      <c r="A1999" s="27"/>
      <c r="B1999" s="27"/>
      <c r="C1999" s="27"/>
      <c r="D1999" s="27"/>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row>
    <row r="2000" customHeight="1" spans="1:26">
      <c r="A2000" s="26"/>
      <c r="B2000" s="26"/>
      <c r="C2000" s="26"/>
      <c r="D2000" s="26"/>
      <c r="E2000" s="26"/>
      <c r="F2000" s="26"/>
      <c r="G2000" s="26"/>
      <c r="H2000" s="26"/>
      <c r="I2000" s="26"/>
      <c r="J2000" s="26"/>
      <c r="K2000" s="26"/>
      <c r="L2000" s="26"/>
      <c r="M2000" s="26"/>
      <c r="N2000" s="26"/>
      <c r="O2000" s="26"/>
      <c r="P2000" s="26"/>
      <c r="Q2000" s="26"/>
      <c r="R2000" s="26"/>
      <c r="S2000" s="26"/>
      <c r="T2000" s="26"/>
      <c r="U2000" s="26"/>
      <c r="V2000" s="26"/>
      <c r="W2000" s="26"/>
      <c r="X2000" s="26"/>
      <c r="Y2000" s="26"/>
      <c r="Z2000" s="26"/>
    </row>
    <row r="2001" customHeight="1" spans="1:26">
      <c r="A2001" s="27"/>
      <c r="B2001" s="27"/>
      <c r="C2001" s="27"/>
      <c r="D2001" s="27"/>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row>
    <row r="2002" customHeight="1" spans="1:26">
      <c r="A2002" s="26"/>
      <c r="B2002" s="26"/>
      <c r="C2002" s="26"/>
      <c r="D2002" s="26"/>
      <c r="E2002" s="26"/>
      <c r="F2002" s="26"/>
      <c r="G2002" s="26"/>
      <c r="H2002" s="26"/>
      <c r="I2002" s="26"/>
      <c r="J2002" s="26"/>
      <c r="K2002" s="26"/>
      <c r="L2002" s="26"/>
      <c r="M2002" s="26"/>
      <c r="N2002" s="26"/>
      <c r="O2002" s="26"/>
      <c r="P2002" s="26"/>
      <c r="Q2002" s="26"/>
      <c r="R2002" s="26"/>
      <c r="S2002" s="26"/>
      <c r="T2002" s="26"/>
      <c r="U2002" s="26"/>
      <c r="V2002" s="26"/>
      <c r="W2002" s="26"/>
      <c r="X2002" s="26"/>
      <c r="Y2002" s="26"/>
      <c r="Z2002" s="26"/>
    </row>
    <row r="2003" customHeight="1" spans="1:26">
      <c r="A2003" s="27"/>
      <c r="B2003" s="27"/>
      <c r="C2003" s="27"/>
      <c r="D2003" s="27"/>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row>
    <row r="2004" customHeight="1" spans="1:26">
      <c r="A2004" s="26"/>
      <c r="B2004" s="26"/>
      <c r="C2004" s="26"/>
      <c r="D2004" s="26"/>
      <c r="E2004" s="26"/>
      <c r="F2004" s="26"/>
      <c r="G2004" s="26"/>
      <c r="H2004" s="26"/>
      <c r="I2004" s="26"/>
      <c r="J2004" s="26"/>
      <c r="K2004" s="26"/>
      <c r="L2004" s="26"/>
      <c r="M2004" s="26"/>
      <c r="N2004" s="26"/>
      <c r="O2004" s="26"/>
      <c r="P2004" s="26"/>
      <c r="Q2004" s="26"/>
      <c r="R2004" s="26"/>
      <c r="S2004" s="26"/>
      <c r="T2004" s="26"/>
      <c r="U2004" s="26"/>
      <c r="V2004" s="26"/>
      <c r="W2004" s="26"/>
      <c r="X2004" s="26"/>
      <c r="Y2004" s="26"/>
      <c r="Z2004" s="26"/>
    </row>
    <row r="2005" customHeight="1" spans="1:26">
      <c r="A2005" s="27"/>
      <c r="B2005" s="27"/>
      <c r="C2005" s="27"/>
      <c r="D2005" s="27"/>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row>
    <row r="2006" customHeight="1" spans="1:26">
      <c r="A2006" s="26"/>
      <c r="B2006" s="26"/>
      <c r="C2006" s="26"/>
      <c r="D2006" s="26"/>
      <c r="E2006" s="26"/>
      <c r="F2006" s="26"/>
      <c r="G2006" s="26"/>
      <c r="H2006" s="26"/>
      <c r="I2006" s="26"/>
      <c r="J2006" s="26"/>
      <c r="K2006" s="26"/>
      <c r="L2006" s="26"/>
      <c r="M2006" s="26"/>
      <c r="N2006" s="26"/>
      <c r="O2006" s="26"/>
      <c r="P2006" s="26"/>
      <c r="Q2006" s="26"/>
      <c r="R2006" s="26"/>
      <c r="S2006" s="26"/>
      <c r="T2006" s="26"/>
      <c r="U2006" s="26"/>
      <c r="V2006" s="26"/>
      <c r="W2006" s="26"/>
      <c r="X2006" s="26"/>
      <c r="Y2006" s="26"/>
      <c r="Z2006" s="26"/>
    </row>
    <row r="2007" customHeight="1" spans="1:26">
      <c r="A2007" s="27"/>
      <c r="B2007" s="27"/>
      <c r="C2007" s="27"/>
      <c r="D2007" s="27"/>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row>
    <row r="2008" customHeight="1" spans="1:26">
      <c r="A2008" s="26"/>
      <c r="B2008" s="26"/>
      <c r="C2008" s="26"/>
      <c r="D2008" s="26"/>
      <c r="E2008" s="26"/>
      <c r="F2008" s="26"/>
      <c r="G2008" s="26"/>
      <c r="H2008" s="26"/>
      <c r="I2008" s="26"/>
      <c r="J2008" s="26"/>
      <c r="K2008" s="26"/>
      <c r="L2008" s="26"/>
      <c r="M2008" s="26"/>
      <c r="N2008" s="26"/>
      <c r="O2008" s="26"/>
      <c r="P2008" s="26"/>
      <c r="Q2008" s="26"/>
      <c r="R2008" s="26"/>
      <c r="S2008" s="26"/>
      <c r="T2008" s="26"/>
      <c r="U2008" s="26"/>
      <c r="V2008" s="26"/>
      <c r="W2008" s="26"/>
      <c r="X2008" s="26"/>
      <c r="Y2008" s="26"/>
      <c r="Z2008" s="26"/>
    </row>
    <row r="2009" customHeight="1" spans="1:26">
      <c r="A2009" s="27"/>
      <c r="B2009" s="27"/>
      <c r="C2009" s="27"/>
      <c r="D2009" s="27"/>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row>
    <row r="2010" customHeight="1" spans="1:26">
      <c r="A2010" s="26"/>
      <c r="B2010" s="26"/>
      <c r="C2010" s="26"/>
      <c r="D2010" s="26"/>
      <c r="E2010" s="26"/>
      <c r="F2010" s="26"/>
      <c r="G2010" s="26"/>
      <c r="H2010" s="26"/>
      <c r="I2010" s="26"/>
      <c r="J2010" s="26"/>
      <c r="K2010" s="26"/>
      <c r="L2010" s="26"/>
      <c r="M2010" s="26"/>
      <c r="N2010" s="26"/>
      <c r="O2010" s="26"/>
      <c r="P2010" s="26"/>
      <c r="Q2010" s="26"/>
      <c r="R2010" s="26"/>
      <c r="S2010" s="26"/>
      <c r="T2010" s="26"/>
      <c r="U2010" s="26"/>
      <c r="V2010" s="26"/>
      <c r="W2010" s="26"/>
      <c r="X2010" s="26"/>
      <c r="Y2010" s="26"/>
      <c r="Z2010" s="26"/>
    </row>
    <row r="2011" customHeight="1" spans="1:26">
      <c r="A2011" s="27"/>
      <c r="B2011" s="27"/>
      <c r="C2011" s="27"/>
      <c r="D2011" s="27"/>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row>
    <row r="2012" customHeight="1" spans="1:26">
      <c r="A2012" s="26"/>
      <c r="B2012" s="26"/>
      <c r="C2012" s="26"/>
      <c r="D2012" s="26"/>
      <c r="E2012" s="26"/>
      <c r="F2012" s="26"/>
      <c r="G2012" s="26"/>
      <c r="H2012" s="26"/>
      <c r="I2012" s="26"/>
      <c r="J2012" s="26"/>
      <c r="K2012" s="26"/>
      <c r="L2012" s="26"/>
      <c r="M2012" s="26"/>
      <c r="N2012" s="26"/>
      <c r="O2012" s="26"/>
      <c r="P2012" s="26"/>
      <c r="Q2012" s="26"/>
      <c r="R2012" s="26"/>
      <c r="S2012" s="26"/>
      <c r="T2012" s="26"/>
      <c r="U2012" s="26"/>
      <c r="V2012" s="26"/>
      <c r="W2012" s="26"/>
      <c r="X2012" s="26"/>
      <c r="Y2012" s="26"/>
      <c r="Z2012" s="26"/>
    </row>
    <row r="2013" customHeight="1" spans="1:26">
      <c r="A2013" s="27"/>
      <c r="B2013" s="27"/>
      <c r="C2013" s="27"/>
      <c r="D2013" s="27"/>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row>
    <row r="2014" customHeight="1" spans="1:26">
      <c r="A2014" s="26"/>
      <c r="B2014" s="26"/>
      <c r="C2014" s="26"/>
      <c r="D2014" s="26"/>
      <c r="E2014" s="26"/>
      <c r="F2014" s="26"/>
      <c r="G2014" s="26"/>
      <c r="H2014" s="26"/>
      <c r="I2014" s="26"/>
      <c r="J2014" s="26"/>
      <c r="K2014" s="26"/>
      <c r="L2014" s="26"/>
      <c r="M2014" s="26"/>
      <c r="N2014" s="26"/>
      <c r="O2014" s="26"/>
      <c r="P2014" s="26"/>
      <c r="Q2014" s="26"/>
      <c r="R2014" s="26"/>
      <c r="S2014" s="26"/>
      <c r="T2014" s="26"/>
      <c r="U2014" s="26"/>
      <c r="V2014" s="26"/>
      <c r="W2014" s="26"/>
      <c r="X2014" s="26"/>
      <c r="Y2014" s="26"/>
      <c r="Z2014" s="26"/>
    </row>
    <row r="2015" customHeight="1" spans="1:26">
      <c r="A2015" s="27"/>
      <c r="B2015" s="27"/>
      <c r="C2015" s="27"/>
      <c r="D2015" s="27"/>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row>
    <row r="2016" customHeight="1" spans="1:26">
      <c r="A2016" s="26"/>
      <c r="B2016" s="26"/>
      <c r="C2016" s="26"/>
      <c r="D2016" s="26"/>
      <c r="E2016" s="26"/>
      <c r="F2016" s="26"/>
      <c r="G2016" s="26"/>
      <c r="H2016" s="26"/>
      <c r="I2016" s="26"/>
      <c r="J2016" s="26"/>
      <c r="K2016" s="26"/>
      <c r="L2016" s="26"/>
      <c r="M2016" s="26"/>
      <c r="N2016" s="26"/>
      <c r="O2016" s="26"/>
      <c r="P2016" s="26"/>
      <c r="Q2016" s="26"/>
      <c r="R2016" s="26"/>
      <c r="S2016" s="26"/>
      <c r="T2016" s="26"/>
      <c r="U2016" s="26"/>
      <c r="V2016" s="26"/>
      <c r="W2016" s="26"/>
      <c r="X2016" s="26"/>
      <c r="Y2016" s="26"/>
      <c r="Z2016" s="26"/>
    </row>
    <row r="2017" customHeight="1" spans="1:26">
      <c r="A2017" s="27"/>
      <c r="B2017" s="27"/>
      <c r="C2017" s="27"/>
      <c r="D2017" s="27"/>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row>
    <row r="2018" customHeight="1" spans="1:26">
      <c r="A2018" s="26"/>
      <c r="B2018" s="26"/>
      <c r="C2018" s="26"/>
      <c r="D2018" s="26"/>
      <c r="E2018" s="26"/>
      <c r="F2018" s="26"/>
      <c r="G2018" s="26"/>
      <c r="H2018" s="26"/>
      <c r="I2018" s="26"/>
      <c r="J2018" s="26"/>
      <c r="K2018" s="26"/>
      <c r="L2018" s="26"/>
      <c r="M2018" s="26"/>
      <c r="N2018" s="26"/>
      <c r="O2018" s="26"/>
      <c r="P2018" s="26"/>
      <c r="Q2018" s="26"/>
      <c r="R2018" s="26"/>
      <c r="S2018" s="26"/>
      <c r="T2018" s="26"/>
      <c r="U2018" s="26"/>
      <c r="V2018" s="26"/>
      <c r="W2018" s="26"/>
      <c r="X2018" s="26"/>
      <c r="Y2018" s="26"/>
      <c r="Z2018" s="26"/>
    </row>
    <row r="2019" customHeight="1" spans="1:26">
      <c r="A2019" s="27"/>
      <c r="B2019" s="27"/>
      <c r="C2019" s="27"/>
      <c r="D2019" s="27"/>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row>
    <row r="2020" customHeight="1" spans="1:26">
      <c r="A2020" s="26"/>
      <c r="B2020" s="26"/>
      <c r="C2020" s="26"/>
      <c r="D2020" s="26"/>
      <c r="E2020" s="26"/>
      <c r="F2020" s="26"/>
      <c r="G2020" s="26"/>
      <c r="H2020" s="26"/>
      <c r="I2020" s="26"/>
      <c r="J2020" s="26"/>
      <c r="K2020" s="26"/>
      <c r="L2020" s="26"/>
      <c r="M2020" s="26"/>
      <c r="N2020" s="26"/>
      <c r="O2020" s="26"/>
      <c r="P2020" s="26"/>
      <c r="Q2020" s="26"/>
      <c r="R2020" s="26"/>
      <c r="S2020" s="26"/>
      <c r="T2020" s="26"/>
      <c r="U2020" s="26"/>
      <c r="V2020" s="26"/>
      <c r="W2020" s="26"/>
      <c r="X2020" s="26"/>
      <c r="Y2020" s="26"/>
      <c r="Z2020" s="26"/>
    </row>
    <row r="2021" customHeight="1" spans="1:26">
      <c r="A2021" s="27"/>
      <c r="B2021" s="27"/>
      <c r="C2021" s="27"/>
      <c r="D2021" s="27"/>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row>
    <row r="2022" customHeight="1" spans="1:26">
      <c r="A2022" s="26"/>
      <c r="B2022" s="26"/>
      <c r="C2022" s="26"/>
      <c r="D2022" s="26"/>
      <c r="E2022" s="26"/>
      <c r="F2022" s="26"/>
      <c r="G2022" s="26"/>
      <c r="H2022" s="26"/>
      <c r="I2022" s="26"/>
      <c r="J2022" s="26"/>
      <c r="K2022" s="26"/>
      <c r="L2022" s="26"/>
      <c r="M2022" s="26"/>
      <c r="N2022" s="26"/>
      <c r="O2022" s="26"/>
      <c r="P2022" s="26"/>
      <c r="Q2022" s="26"/>
      <c r="R2022" s="26"/>
      <c r="S2022" s="26"/>
      <c r="T2022" s="26"/>
      <c r="U2022" s="26"/>
      <c r="V2022" s="26"/>
      <c r="W2022" s="26"/>
      <c r="X2022" s="26"/>
      <c r="Y2022" s="26"/>
      <c r="Z2022" s="26"/>
    </row>
    <row r="2023" customHeight="1" spans="1:26">
      <c r="A2023" s="27"/>
      <c r="B2023" s="27"/>
      <c r="C2023" s="27"/>
      <c r="D2023" s="27"/>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row>
    <row r="2024" customHeight="1" spans="1:26">
      <c r="A2024" s="26"/>
      <c r="B2024" s="26"/>
      <c r="C2024" s="26"/>
      <c r="D2024" s="26"/>
      <c r="E2024" s="26"/>
      <c r="F2024" s="26"/>
      <c r="G2024" s="26"/>
      <c r="H2024" s="26"/>
      <c r="I2024" s="26"/>
      <c r="J2024" s="26"/>
      <c r="K2024" s="26"/>
      <c r="L2024" s="26"/>
      <c r="M2024" s="26"/>
      <c r="N2024" s="26"/>
      <c r="O2024" s="26"/>
      <c r="P2024" s="26"/>
      <c r="Q2024" s="26"/>
      <c r="R2024" s="26"/>
      <c r="S2024" s="26"/>
      <c r="T2024" s="26"/>
      <c r="U2024" s="26"/>
      <c r="V2024" s="26"/>
      <c r="W2024" s="26"/>
      <c r="X2024" s="26"/>
      <c r="Y2024" s="26"/>
      <c r="Z2024" s="26"/>
    </row>
    <row r="2025" customHeight="1" spans="1:26">
      <c r="A2025" s="27"/>
      <c r="B2025" s="27"/>
      <c r="C2025" s="27"/>
      <c r="D2025" s="27"/>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row>
    <row r="2026" customHeight="1" spans="1:26">
      <c r="A2026" s="26"/>
      <c r="B2026" s="26"/>
      <c r="C2026" s="26"/>
      <c r="D2026" s="26"/>
      <c r="E2026" s="26"/>
      <c r="F2026" s="26"/>
      <c r="G2026" s="26"/>
      <c r="H2026" s="26"/>
      <c r="I2026" s="26"/>
      <c r="J2026" s="26"/>
      <c r="K2026" s="26"/>
      <c r="L2026" s="26"/>
      <c r="M2026" s="26"/>
      <c r="N2026" s="26"/>
      <c r="O2026" s="26"/>
      <c r="P2026" s="26"/>
      <c r="Q2026" s="26"/>
      <c r="R2026" s="26"/>
      <c r="S2026" s="26"/>
      <c r="T2026" s="26"/>
      <c r="U2026" s="26"/>
      <c r="V2026" s="26"/>
      <c r="W2026" s="26"/>
      <c r="X2026" s="26"/>
      <c r="Y2026" s="26"/>
      <c r="Z2026" s="26"/>
    </row>
    <row r="2027" customHeight="1" spans="1:26">
      <c r="A2027" s="27"/>
      <c r="B2027" s="27"/>
      <c r="C2027" s="27"/>
      <c r="D2027" s="27"/>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row>
    <row r="2028" customHeight="1" spans="1:26">
      <c r="A2028" s="26"/>
      <c r="B2028" s="26"/>
      <c r="C2028" s="26"/>
      <c r="D2028" s="26"/>
      <c r="E2028" s="26"/>
      <c r="F2028" s="26"/>
      <c r="G2028" s="26"/>
      <c r="H2028" s="26"/>
      <c r="I2028" s="26"/>
      <c r="J2028" s="26"/>
      <c r="K2028" s="26"/>
      <c r="L2028" s="26"/>
      <c r="M2028" s="26"/>
      <c r="N2028" s="26"/>
      <c r="O2028" s="26"/>
      <c r="P2028" s="26"/>
      <c r="Q2028" s="26"/>
      <c r="R2028" s="26"/>
      <c r="S2028" s="26"/>
      <c r="T2028" s="26"/>
      <c r="U2028" s="26"/>
      <c r="V2028" s="26"/>
      <c r="W2028" s="26"/>
      <c r="X2028" s="26"/>
      <c r="Y2028" s="26"/>
      <c r="Z2028" s="26"/>
    </row>
    <row r="2029" customHeight="1" spans="1:26">
      <c r="A2029" s="27"/>
      <c r="B2029" s="27"/>
      <c r="C2029" s="27"/>
      <c r="D2029" s="27"/>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row>
    <row r="2030" customHeight="1" spans="1:26">
      <c r="A2030" s="26"/>
      <c r="B2030" s="26"/>
      <c r="C2030" s="26"/>
      <c r="D2030" s="26"/>
      <c r="E2030" s="26"/>
      <c r="F2030" s="26"/>
      <c r="G2030" s="26"/>
      <c r="H2030" s="26"/>
      <c r="I2030" s="26"/>
      <c r="J2030" s="26"/>
      <c r="K2030" s="26"/>
      <c r="L2030" s="26"/>
      <c r="M2030" s="26"/>
      <c r="N2030" s="26"/>
      <c r="O2030" s="26"/>
      <c r="P2030" s="26"/>
      <c r="Q2030" s="26"/>
      <c r="R2030" s="26"/>
      <c r="S2030" s="26"/>
      <c r="T2030" s="26"/>
      <c r="U2030" s="26"/>
      <c r="V2030" s="26"/>
      <c r="W2030" s="26"/>
      <c r="X2030" s="26"/>
      <c r="Y2030" s="26"/>
      <c r="Z2030" s="26"/>
    </row>
    <row r="2031" customHeight="1" spans="1:26">
      <c r="A2031" s="27"/>
      <c r="B2031" s="27"/>
      <c r="C2031" s="27"/>
      <c r="D2031" s="27"/>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row>
    <row r="2032" customHeight="1" spans="1:26">
      <c r="A2032" s="26"/>
      <c r="B2032" s="26"/>
      <c r="C2032" s="26"/>
      <c r="D2032" s="26"/>
      <c r="E2032" s="26"/>
      <c r="F2032" s="26"/>
      <c r="G2032" s="26"/>
      <c r="H2032" s="26"/>
      <c r="I2032" s="26"/>
      <c r="J2032" s="26"/>
      <c r="K2032" s="26"/>
      <c r="L2032" s="26"/>
      <c r="M2032" s="26"/>
      <c r="N2032" s="26"/>
      <c r="O2032" s="26"/>
      <c r="P2032" s="26"/>
      <c r="Q2032" s="26"/>
      <c r="R2032" s="26"/>
      <c r="S2032" s="26"/>
      <c r="T2032" s="26"/>
      <c r="U2032" s="26"/>
      <c r="V2032" s="26"/>
      <c r="W2032" s="26"/>
      <c r="X2032" s="26"/>
      <c r="Y2032" s="26"/>
      <c r="Z2032" s="26"/>
    </row>
    <row r="2033" customHeight="1" spans="1:26">
      <c r="A2033" s="27"/>
      <c r="B2033" s="27"/>
      <c r="C2033" s="27"/>
      <c r="D2033" s="27"/>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row>
    <row r="2034" customHeight="1" spans="1:26">
      <c r="A2034" s="26"/>
      <c r="B2034" s="26"/>
      <c r="C2034" s="26"/>
      <c r="D2034" s="26"/>
      <c r="E2034" s="26"/>
      <c r="F2034" s="26"/>
      <c r="G2034" s="26"/>
      <c r="H2034" s="26"/>
      <c r="I2034" s="26"/>
      <c r="J2034" s="26"/>
      <c r="K2034" s="26"/>
      <c r="L2034" s="26"/>
      <c r="M2034" s="26"/>
      <c r="N2034" s="26"/>
      <c r="O2034" s="26"/>
      <c r="P2034" s="26"/>
      <c r="Q2034" s="26"/>
      <c r="R2034" s="26"/>
      <c r="S2034" s="26"/>
      <c r="T2034" s="26"/>
      <c r="U2034" s="26"/>
      <c r="V2034" s="26"/>
      <c r="W2034" s="26"/>
      <c r="X2034" s="26"/>
      <c r="Y2034" s="26"/>
      <c r="Z2034" s="26"/>
    </row>
    <row r="2035" customHeight="1" spans="1:26">
      <c r="A2035" s="27"/>
      <c r="B2035" s="27"/>
      <c r="C2035" s="27"/>
      <c r="D2035" s="27"/>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row>
    <row r="2036" customHeight="1" spans="1:26">
      <c r="A2036" s="26"/>
      <c r="B2036" s="26"/>
      <c r="C2036" s="26"/>
      <c r="D2036" s="26"/>
      <c r="E2036" s="26"/>
      <c r="F2036" s="26"/>
      <c r="G2036" s="26"/>
      <c r="H2036" s="26"/>
      <c r="I2036" s="26"/>
      <c r="J2036" s="26"/>
      <c r="K2036" s="26"/>
      <c r="L2036" s="26"/>
      <c r="M2036" s="26"/>
      <c r="N2036" s="26"/>
      <c r="O2036" s="26"/>
      <c r="P2036" s="26"/>
      <c r="Q2036" s="26"/>
      <c r="R2036" s="26"/>
      <c r="S2036" s="26"/>
      <c r="T2036" s="26"/>
      <c r="U2036" s="26"/>
      <c r="V2036" s="26"/>
      <c r="W2036" s="26"/>
      <c r="X2036" s="26"/>
      <c r="Y2036" s="26"/>
      <c r="Z2036" s="26"/>
    </row>
    <row r="2037" customHeight="1" spans="1:26">
      <c r="A2037" s="27"/>
      <c r="B2037" s="27"/>
      <c r="C2037" s="27"/>
      <c r="D2037" s="27"/>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row>
    <row r="2038" customHeight="1" spans="1:26">
      <c r="A2038" s="26"/>
      <c r="B2038" s="26"/>
      <c r="C2038" s="26"/>
      <c r="D2038" s="26"/>
      <c r="E2038" s="26"/>
      <c r="F2038" s="26"/>
      <c r="G2038" s="26"/>
      <c r="H2038" s="26"/>
      <c r="I2038" s="26"/>
      <c r="J2038" s="26"/>
      <c r="K2038" s="26"/>
      <c r="L2038" s="26"/>
      <c r="M2038" s="26"/>
      <c r="N2038" s="26"/>
      <c r="O2038" s="26"/>
      <c r="P2038" s="26"/>
      <c r="Q2038" s="26"/>
      <c r="R2038" s="26"/>
      <c r="S2038" s="26"/>
      <c r="T2038" s="26"/>
      <c r="U2038" s="26"/>
      <c r="V2038" s="26"/>
      <c r="W2038" s="26"/>
      <c r="X2038" s="26"/>
      <c r="Y2038" s="26"/>
      <c r="Z2038" s="26"/>
    </row>
    <row r="2039" customHeight="1" spans="1:26">
      <c r="A2039" s="27"/>
      <c r="B2039" s="27"/>
      <c r="C2039" s="27"/>
      <c r="D2039" s="27"/>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row>
    <row r="2040" customHeight="1" spans="1:26">
      <c r="A2040" s="26"/>
      <c r="B2040" s="26"/>
      <c r="C2040" s="26"/>
      <c r="D2040" s="26"/>
      <c r="E2040" s="26"/>
      <c r="F2040" s="26"/>
      <c r="G2040" s="26"/>
      <c r="H2040" s="26"/>
      <c r="I2040" s="26"/>
      <c r="J2040" s="26"/>
      <c r="K2040" s="26"/>
      <c r="L2040" s="26"/>
      <c r="M2040" s="26"/>
      <c r="N2040" s="26"/>
      <c r="O2040" s="26"/>
      <c r="P2040" s="26"/>
      <c r="Q2040" s="26"/>
      <c r="R2040" s="26"/>
      <c r="S2040" s="26"/>
      <c r="T2040" s="26"/>
      <c r="U2040" s="26"/>
      <c r="V2040" s="26"/>
      <c r="W2040" s="26"/>
      <c r="X2040" s="26"/>
      <c r="Y2040" s="26"/>
      <c r="Z2040" s="26"/>
    </row>
    <row r="2041" customHeight="1" spans="1:26">
      <c r="A2041" s="27"/>
      <c r="B2041" s="27"/>
      <c r="C2041" s="27"/>
      <c r="D2041" s="27"/>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row>
    <row r="2042" customHeight="1" spans="1:26">
      <c r="A2042" s="26"/>
      <c r="B2042" s="26"/>
      <c r="C2042" s="26"/>
      <c r="D2042" s="26"/>
      <c r="E2042" s="26"/>
      <c r="F2042" s="26"/>
      <c r="G2042" s="26"/>
      <c r="H2042" s="26"/>
      <c r="I2042" s="26"/>
      <c r="J2042" s="26"/>
      <c r="K2042" s="26"/>
      <c r="L2042" s="26"/>
      <c r="M2042" s="26"/>
      <c r="N2042" s="26"/>
      <c r="O2042" s="26"/>
      <c r="P2042" s="26"/>
      <c r="Q2042" s="26"/>
      <c r="R2042" s="26"/>
      <c r="S2042" s="26"/>
      <c r="T2042" s="26"/>
      <c r="U2042" s="26"/>
      <c r="V2042" s="26"/>
      <c r="W2042" s="26"/>
      <c r="X2042" s="26"/>
      <c r="Y2042" s="26"/>
      <c r="Z2042" s="26"/>
    </row>
    <row r="2043" customHeight="1" spans="1:26">
      <c r="A2043" s="27"/>
      <c r="B2043" s="27"/>
      <c r="C2043" s="27"/>
      <c r="D2043" s="27"/>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row>
    <row r="2044" customHeight="1" spans="1:26">
      <c r="A2044" s="26"/>
      <c r="B2044" s="26"/>
      <c r="C2044" s="26"/>
      <c r="D2044" s="26"/>
      <c r="E2044" s="26"/>
      <c r="F2044" s="26"/>
      <c r="G2044" s="26"/>
      <c r="H2044" s="26"/>
      <c r="I2044" s="26"/>
      <c r="J2044" s="26"/>
      <c r="K2044" s="26"/>
      <c r="L2044" s="26"/>
      <c r="M2044" s="26"/>
      <c r="N2044" s="26"/>
      <c r="O2044" s="26"/>
      <c r="P2044" s="26"/>
      <c r="Q2044" s="26"/>
      <c r="R2044" s="26"/>
      <c r="S2044" s="26"/>
      <c r="T2044" s="26"/>
      <c r="U2044" s="26"/>
      <c r="V2044" s="26"/>
      <c r="W2044" s="26"/>
      <c r="X2044" s="26"/>
      <c r="Y2044" s="26"/>
      <c r="Z2044" s="26"/>
    </row>
    <row r="2045" customHeight="1" spans="1:26">
      <c r="A2045" s="27"/>
      <c r="B2045" s="27"/>
      <c r="C2045" s="27"/>
      <c r="D2045" s="27"/>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row>
    <row r="2046" customHeight="1" spans="1:26">
      <c r="A2046" s="26"/>
      <c r="B2046" s="26"/>
      <c r="C2046" s="26"/>
      <c r="D2046" s="26"/>
      <c r="E2046" s="26"/>
      <c r="F2046" s="26"/>
      <c r="G2046" s="26"/>
      <c r="H2046" s="26"/>
      <c r="I2046" s="26"/>
      <c r="J2046" s="26"/>
      <c r="K2046" s="26"/>
      <c r="L2046" s="26"/>
      <c r="M2046" s="26"/>
      <c r="N2046" s="26"/>
      <c r="O2046" s="26"/>
      <c r="P2046" s="26"/>
      <c r="Q2046" s="26"/>
      <c r="R2046" s="26"/>
      <c r="S2046" s="26"/>
      <c r="T2046" s="26"/>
      <c r="U2046" s="26"/>
      <c r="V2046" s="26"/>
      <c r="W2046" s="26"/>
      <c r="X2046" s="26"/>
      <c r="Y2046" s="26"/>
      <c r="Z2046" s="26"/>
    </row>
    <row r="2047" customHeight="1" spans="1:26">
      <c r="A2047" s="27"/>
      <c r="B2047" s="27"/>
      <c r="C2047" s="27"/>
      <c r="D2047" s="27"/>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row>
    <row r="2048" customHeight="1" spans="1:26">
      <c r="A2048" s="26"/>
      <c r="B2048" s="26"/>
      <c r="C2048" s="26"/>
      <c r="D2048" s="26"/>
      <c r="E2048" s="26"/>
      <c r="F2048" s="26"/>
      <c r="G2048" s="26"/>
      <c r="H2048" s="26"/>
      <c r="I2048" s="26"/>
      <c r="J2048" s="26"/>
      <c r="K2048" s="26"/>
      <c r="L2048" s="26"/>
      <c r="M2048" s="26"/>
      <c r="N2048" s="26"/>
      <c r="O2048" s="26"/>
      <c r="P2048" s="26"/>
      <c r="Q2048" s="26"/>
      <c r="R2048" s="26"/>
      <c r="S2048" s="26"/>
      <c r="T2048" s="26"/>
      <c r="U2048" s="26"/>
      <c r="V2048" s="26"/>
      <c r="W2048" s="26"/>
      <c r="X2048" s="26"/>
      <c r="Y2048" s="26"/>
      <c r="Z2048" s="26"/>
    </row>
    <row r="2049" customHeight="1" spans="1:26">
      <c r="A2049" s="27"/>
      <c r="B2049" s="27"/>
      <c r="C2049" s="27"/>
      <c r="D2049" s="27"/>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row>
    <row r="2050" customHeight="1" spans="1:26">
      <c r="A2050" s="26"/>
      <c r="B2050" s="26"/>
      <c r="C2050" s="26"/>
      <c r="D2050" s="26"/>
      <c r="E2050" s="26"/>
      <c r="F2050" s="26"/>
      <c r="G2050" s="26"/>
      <c r="H2050" s="26"/>
      <c r="I2050" s="26"/>
      <c r="J2050" s="26"/>
      <c r="K2050" s="26"/>
      <c r="L2050" s="26"/>
      <c r="M2050" s="26"/>
      <c r="N2050" s="26"/>
      <c r="O2050" s="26"/>
      <c r="P2050" s="26"/>
      <c r="Q2050" s="26"/>
      <c r="R2050" s="26"/>
      <c r="S2050" s="26"/>
      <c r="T2050" s="26"/>
      <c r="U2050" s="26"/>
      <c r="V2050" s="26"/>
      <c r="W2050" s="26"/>
      <c r="X2050" s="26"/>
      <c r="Y2050" s="26"/>
      <c r="Z2050" s="26"/>
    </row>
    <row r="2051" customHeight="1" spans="1:26">
      <c r="A2051" s="27"/>
      <c r="B2051" s="27"/>
      <c r="C2051" s="27"/>
      <c r="D2051" s="27"/>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row>
  </sheetData>
  <autoFilter ref="A1:Z1545">
    <filterColumn colId="7">
      <filters blank="1"/>
    </filterColumn>
    <sortState ref="A1:Z1545">
      <sortCondition ref="B1:B1545"/>
    </sortState>
    <extLst/>
  </autoFilter>
  <hyperlinks>
    <hyperlink ref="H523" r:id="rId1" display="A catastrophe is an unexpected event that causes great suffering or damage."/>
    <hyperlink ref="H978" r:id="rId2" display="Narcissism is the habit of always thinking about yourself and admiring yourself"/>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
  <sheetViews>
    <sheetView tabSelected="1" topLeftCell="A3" workbookViewId="0">
      <selection activeCell="B3" sqref="B3"/>
    </sheetView>
  </sheetViews>
  <sheetFormatPr defaultColWidth="12.6296296296296" defaultRowHeight="15.75" customHeight="1" outlineLevelRow="2"/>
  <cols>
    <col min="2" max="2" width="68.1296296296296" customWidth="1"/>
  </cols>
  <sheetData>
    <row r="1" customHeight="1" spans="1:26">
      <c r="A1" s="1" t="s">
        <v>2878</v>
      </c>
      <c r="B1" s="1" t="s">
        <v>4389</v>
      </c>
      <c r="C1" s="2"/>
      <c r="D1" s="2"/>
      <c r="E1" s="2"/>
      <c r="F1" s="2"/>
      <c r="G1" s="2"/>
      <c r="H1" s="2"/>
      <c r="I1" s="2"/>
      <c r="J1" s="2"/>
      <c r="K1" s="2"/>
      <c r="L1" s="2"/>
      <c r="M1" s="2"/>
      <c r="N1" s="2"/>
      <c r="O1" s="2"/>
      <c r="P1" s="2"/>
      <c r="Q1" s="2"/>
      <c r="R1" s="2"/>
      <c r="S1" s="2"/>
      <c r="T1" s="2"/>
      <c r="U1" s="2"/>
      <c r="V1" s="2"/>
      <c r="W1" s="2"/>
      <c r="X1" s="2"/>
      <c r="Y1" s="2"/>
      <c r="Z1" s="2"/>
    </row>
    <row r="2" ht="409.5" spans="1:2">
      <c r="A2" s="3">
        <v>1</v>
      </c>
      <c r="B2" s="24" t="s">
        <v>4390</v>
      </c>
    </row>
    <row r="3" ht="409.2" spans="1:2">
      <c r="A3">
        <v>2</v>
      </c>
      <c r="B3" s="24" t="s">
        <v>4391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94"/>
  <sheetViews>
    <sheetView showGridLines="0" workbookViewId="0">
      <selection activeCell="A1" sqref="A1"/>
    </sheetView>
  </sheetViews>
  <sheetFormatPr defaultColWidth="12.6296296296296" defaultRowHeight="15.75" customHeight="1"/>
  <cols>
    <col min="1" max="1" width="17.8796296296296" customWidth="1"/>
    <col min="2" max="2" width="28.75" customWidth="1"/>
    <col min="3" max="3" width="17" customWidth="1"/>
    <col min="4" max="4" width="2.25" customWidth="1"/>
    <col min="5" max="5" width="7.62962962962963" customWidth="1"/>
    <col min="6" max="6" width="8.12962962962963" customWidth="1"/>
    <col min="9" max="9" width="13.75" customWidth="1"/>
  </cols>
  <sheetData>
    <row r="1" customHeight="1" spans="1:6">
      <c r="A1" s="4"/>
      <c r="B1" s="4"/>
      <c r="C1" s="5"/>
      <c r="D1" s="11"/>
      <c r="E1" s="12"/>
      <c r="F1" s="3" t="s">
        <v>4392</v>
      </c>
    </row>
    <row r="2" customHeight="1" spans="1:10">
      <c r="A2" s="4" t="s">
        <v>2885</v>
      </c>
      <c r="B2" s="4" t="s">
        <v>4393</v>
      </c>
      <c r="C2" s="9" t="s">
        <v>4394</v>
      </c>
      <c r="D2" s="11"/>
      <c r="E2" s="12"/>
      <c r="I2" s="3" t="s">
        <v>4395</v>
      </c>
      <c r="J2" s="17">
        <f>ROUND(100*J3/(J3+J4),2)</f>
        <v>93.72</v>
      </c>
    </row>
    <row r="3" customHeight="1" spans="1:10">
      <c r="A3" s="4" t="s">
        <v>4396</v>
      </c>
      <c r="B3" s="4">
        <v>141</v>
      </c>
      <c r="C3" s="9">
        <v>141</v>
      </c>
      <c r="D3" s="11"/>
      <c r="E3" s="12">
        <f t="shared" ref="E3:E28" si="0">C3/B3</f>
        <v>1</v>
      </c>
      <c r="F3" s="17">
        <f t="shared" ref="F3:F28" si="1">B3-C3</f>
        <v>0</v>
      </c>
      <c r="I3" s="3" t="s">
        <v>4397</v>
      </c>
      <c r="J3" s="17">
        <f>SUM(C:C)</f>
        <v>1447</v>
      </c>
    </row>
    <row r="4" customHeight="1" spans="1:12">
      <c r="A4" s="14" t="s">
        <v>4398</v>
      </c>
      <c r="B4" s="15">
        <v>52</v>
      </c>
      <c r="C4" s="16">
        <v>52</v>
      </c>
      <c r="D4" s="11"/>
      <c r="E4" s="12">
        <f t="shared" si="0"/>
        <v>1</v>
      </c>
      <c r="F4" s="17">
        <f t="shared" si="1"/>
        <v>0</v>
      </c>
      <c r="I4" s="3" t="s">
        <v>4399</v>
      </c>
      <c r="J4" s="17">
        <f>SUM(B:B)-J3</f>
        <v>97</v>
      </c>
      <c r="L4" s="23" t="str">
        <f>IFERROR(__xludf.DUMMYFUNCTION("FILTER(A:A, E:E=1)"),"X")</f>
        <v>X</v>
      </c>
    </row>
    <row r="5" customHeight="1" spans="1:12">
      <c r="A5" s="14" t="s">
        <v>4400</v>
      </c>
      <c r="B5" s="15">
        <v>148</v>
      </c>
      <c r="C5" s="16">
        <v>148</v>
      </c>
      <c r="D5" s="11"/>
      <c r="E5" s="12">
        <f t="shared" si="0"/>
        <v>1</v>
      </c>
      <c r="F5" s="17">
        <f t="shared" si="1"/>
        <v>0</v>
      </c>
      <c r="L5" s="17" t="str">
        <f>IFERROR(__xludf.DUMMYFUNCTION("""COMPUTED_VALUE"""),"Y")</f>
        <v>Y</v>
      </c>
    </row>
    <row r="6" customHeight="1" spans="1:12">
      <c r="A6" s="14" t="s">
        <v>4401</v>
      </c>
      <c r="B6" s="15">
        <v>123</v>
      </c>
      <c r="C6" s="16">
        <v>110</v>
      </c>
      <c r="D6" s="11"/>
      <c r="E6" s="12">
        <f t="shared" si="0"/>
        <v>0.894308943089431</v>
      </c>
      <c r="F6" s="17">
        <f t="shared" si="1"/>
        <v>13</v>
      </c>
      <c r="L6" s="17" t="str">
        <f>IFERROR(__xludf.DUMMYFUNCTION("""COMPUTED_VALUE"""),"K")</f>
        <v>K</v>
      </c>
    </row>
    <row r="7" customHeight="1" spans="1:12">
      <c r="A7" s="14" t="s">
        <v>4402</v>
      </c>
      <c r="B7" s="15">
        <v>110</v>
      </c>
      <c r="C7" s="16">
        <v>98</v>
      </c>
      <c r="D7" s="11"/>
      <c r="E7" s="12">
        <f t="shared" si="0"/>
        <v>0.890909090909091</v>
      </c>
      <c r="F7" s="17">
        <f t="shared" si="1"/>
        <v>12</v>
      </c>
      <c r="L7" s="17" t="str">
        <f>IFERROR(__xludf.DUMMYFUNCTION("""COMPUTED_VALUE"""),"Z")</f>
        <v>Z</v>
      </c>
    </row>
    <row r="8" customHeight="1" spans="1:12">
      <c r="A8" s="14" t="s">
        <v>4403</v>
      </c>
      <c r="B8" s="15">
        <v>69</v>
      </c>
      <c r="C8" s="16">
        <v>55</v>
      </c>
      <c r="D8" s="11"/>
      <c r="E8" s="12">
        <f t="shared" si="0"/>
        <v>0.797101449275362</v>
      </c>
      <c r="F8" s="17">
        <f t="shared" si="1"/>
        <v>14</v>
      </c>
      <c r="L8" s="17" t="str">
        <f>IFERROR(__xludf.DUMMYFUNCTION("""COMPUTED_VALUE"""),"J")</f>
        <v>J</v>
      </c>
    </row>
    <row r="9" customHeight="1" spans="1:12">
      <c r="A9" s="14" t="s">
        <v>4404</v>
      </c>
      <c r="B9" s="15">
        <v>28</v>
      </c>
      <c r="C9" s="16">
        <v>28</v>
      </c>
      <c r="D9" s="11"/>
      <c r="E9" s="12">
        <f t="shared" si="0"/>
        <v>1</v>
      </c>
      <c r="F9" s="17">
        <f t="shared" si="1"/>
        <v>0</v>
      </c>
      <c r="L9" s="17" t="str">
        <f>IFERROR(__xludf.DUMMYFUNCTION("""COMPUTED_VALUE"""),"Q")</f>
        <v>Q</v>
      </c>
    </row>
    <row r="10" customHeight="1" spans="1:12">
      <c r="A10" s="14" t="s">
        <v>4405</v>
      </c>
      <c r="B10" s="15">
        <v>28</v>
      </c>
      <c r="C10" s="16">
        <v>28</v>
      </c>
      <c r="D10" s="11"/>
      <c r="E10" s="12">
        <f t="shared" si="0"/>
        <v>1</v>
      </c>
      <c r="F10" s="17">
        <f t="shared" si="1"/>
        <v>0</v>
      </c>
      <c r="L10" s="17" t="str">
        <f>IFERROR(__xludf.DUMMYFUNCTION("""COMPUTED_VALUE"""),"W")</f>
        <v>W</v>
      </c>
    </row>
    <row r="11" customHeight="1" spans="1:12">
      <c r="A11" s="14" t="s">
        <v>4406</v>
      </c>
      <c r="B11" s="15">
        <v>137</v>
      </c>
      <c r="C11" s="16">
        <v>110</v>
      </c>
      <c r="D11" s="11"/>
      <c r="E11" s="12">
        <f t="shared" si="0"/>
        <v>0.802919708029197</v>
      </c>
      <c r="F11" s="17">
        <f t="shared" si="1"/>
        <v>27</v>
      </c>
      <c r="L11" s="17" t="str">
        <f>IFERROR(__xludf.DUMMYFUNCTION("""COMPUTED_VALUE"""),"N")</f>
        <v>N</v>
      </c>
    </row>
    <row r="12" customHeight="1" spans="1:12">
      <c r="A12" s="14" t="s">
        <v>4407</v>
      </c>
      <c r="B12" s="15">
        <v>5</v>
      </c>
      <c r="C12" s="16">
        <v>5</v>
      </c>
      <c r="D12" s="11"/>
      <c r="E12" s="12">
        <f t="shared" si="0"/>
        <v>1</v>
      </c>
      <c r="F12" s="17">
        <f t="shared" si="1"/>
        <v>0</v>
      </c>
      <c r="L12" s="17" t="str">
        <f>IFERROR(__xludf.DUMMYFUNCTION("""COMPUTED_VALUE"""),"G")</f>
        <v>G</v>
      </c>
    </row>
    <row r="13" customHeight="1" spans="1:12">
      <c r="A13" s="14" t="s">
        <v>4408</v>
      </c>
      <c r="B13" s="15">
        <v>2</v>
      </c>
      <c r="C13" s="16">
        <v>2</v>
      </c>
      <c r="D13" s="11"/>
      <c r="E13" s="12">
        <f t="shared" si="0"/>
        <v>1</v>
      </c>
      <c r="F13" s="17">
        <f t="shared" si="1"/>
        <v>0</v>
      </c>
      <c r="L13" s="17" t="str">
        <f>IFERROR(__xludf.DUMMYFUNCTION("""COMPUTED_VALUE"""),"H")</f>
        <v>H</v>
      </c>
    </row>
    <row r="14" customHeight="1" spans="1:12">
      <c r="A14" s="14" t="s">
        <v>4409</v>
      </c>
      <c r="B14" s="15">
        <v>34</v>
      </c>
      <c r="C14" s="16">
        <v>34</v>
      </c>
      <c r="D14" s="11"/>
      <c r="E14" s="12">
        <f t="shared" si="0"/>
        <v>1</v>
      </c>
      <c r="F14" s="17">
        <f t="shared" si="1"/>
        <v>0</v>
      </c>
      <c r="L14" s="17" t="str">
        <f>IFERROR(__xludf.DUMMYFUNCTION("""COMPUTED_VALUE"""),"V")</f>
        <v>V</v>
      </c>
    </row>
    <row r="15" customHeight="1" spans="1:12">
      <c r="A15" s="14" t="s">
        <v>4410</v>
      </c>
      <c r="B15" s="15">
        <v>63</v>
      </c>
      <c r="C15" s="16">
        <v>63</v>
      </c>
      <c r="D15" s="11"/>
      <c r="E15" s="12">
        <f t="shared" si="0"/>
        <v>1</v>
      </c>
      <c r="F15" s="17">
        <f t="shared" si="1"/>
        <v>0</v>
      </c>
      <c r="L15" s="17" t="str">
        <f>IFERROR(__xludf.DUMMYFUNCTION("""COMPUTED_VALUE"""),"L")</f>
        <v>L</v>
      </c>
    </row>
    <row r="16" customHeight="1" spans="1:12">
      <c r="A16" s="14" t="s">
        <v>4411</v>
      </c>
      <c r="B16" s="15">
        <v>23</v>
      </c>
      <c r="C16" s="16">
        <v>23</v>
      </c>
      <c r="D16" s="11"/>
      <c r="E16" s="12">
        <f t="shared" si="0"/>
        <v>1</v>
      </c>
      <c r="F16" s="17">
        <f t="shared" si="1"/>
        <v>0</v>
      </c>
      <c r="L16" s="17" t="str">
        <f>IFERROR(__xludf.DUMMYFUNCTION("""COMPUTED_VALUE"""),"O")</f>
        <v>O</v>
      </c>
    </row>
    <row r="17" customHeight="1" spans="1:12">
      <c r="A17" s="14" t="s">
        <v>4412</v>
      </c>
      <c r="B17" s="15">
        <v>43</v>
      </c>
      <c r="C17" s="16">
        <v>43</v>
      </c>
      <c r="D17" s="11"/>
      <c r="E17" s="12">
        <f t="shared" si="0"/>
        <v>1</v>
      </c>
      <c r="F17" s="17">
        <f t="shared" si="1"/>
        <v>0</v>
      </c>
      <c r="L17" s="17" t="str">
        <f>IFERROR(__xludf.DUMMYFUNCTION("""COMPUTED_VALUE"""),"B")</f>
        <v>B</v>
      </c>
    </row>
    <row r="18" customHeight="1" spans="1:12">
      <c r="A18" s="14" t="s">
        <v>4413</v>
      </c>
      <c r="B18" s="15">
        <v>146</v>
      </c>
      <c r="C18" s="16">
        <v>146</v>
      </c>
      <c r="D18" s="11"/>
      <c r="E18" s="12">
        <f t="shared" si="0"/>
        <v>1</v>
      </c>
      <c r="F18" s="17">
        <f t="shared" si="1"/>
        <v>0</v>
      </c>
      <c r="L18" s="17" t="str">
        <f>IFERROR(__xludf.DUMMYFUNCTION("""COMPUTED_VALUE"""),"U")</f>
        <v>U</v>
      </c>
    </row>
    <row r="19" customHeight="1" spans="1:12">
      <c r="A19" s="14" t="s">
        <v>4414</v>
      </c>
      <c r="B19" s="15">
        <v>10</v>
      </c>
      <c r="C19" s="16">
        <v>10</v>
      </c>
      <c r="D19" s="11"/>
      <c r="E19" s="12">
        <f t="shared" si="0"/>
        <v>1</v>
      </c>
      <c r="F19" s="17">
        <f t="shared" si="1"/>
        <v>0</v>
      </c>
      <c r="L19" s="17" t="str">
        <f>IFERROR(__xludf.DUMMYFUNCTION("""COMPUTED_VALUE"""),"T")</f>
        <v>T</v>
      </c>
    </row>
    <row r="20" customHeight="1" spans="1:12">
      <c r="A20" s="14" t="s">
        <v>4415</v>
      </c>
      <c r="B20" s="15">
        <v>79</v>
      </c>
      <c r="C20" s="16">
        <v>66</v>
      </c>
      <c r="D20" s="11"/>
      <c r="E20" s="12">
        <f t="shared" si="0"/>
        <v>0.835443037974684</v>
      </c>
      <c r="F20" s="17">
        <f t="shared" si="1"/>
        <v>13</v>
      </c>
      <c r="L20" s="17" t="str">
        <f>IFERROR(__xludf.DUMMYFUNCTION("""COMPUTED_VALUE"""),"M")</f>
        <v>M</v>
      </c>
    </row>
    <row r="21" customHeight="1" spans="1:12">
      <c r="A21" s="14" t="s">
        <v>4416</v>
      </c>
      <c r="B21" s="15">
        <v>131</v>
      </c>
      <c r="C21" s="16">
        <v>113</v>
      </c>
      <c r="D21" s="11"/>
      <c r="E21" s="12">
        <f t="shared" si="0"/>
        <v>0.862595419847328</v>
      </c>
      <c r="F21" s="17">
        <f t="shared" si="1"/>
        <v>18</v>
      </c>
      <c r="L21" s="17" t="str">
        <f>IFERROR(__xludf.DUMMYFUNCTION("""COMPUTED_VALUE"""),"A")</f>
        <v>A</v>
      </c>
    </row>
    <row r="22" customHeight="1" spans="1:12">
      <c r="A22" s="14" t="s">
        <v>4417</v>
      </c>
      <c r="B22" s="15">
        <v>61</v>
      </c>
      <c r="C22" s="16">
        <v>61</v>
      </c>
      <c r="D22" s="11"/>
      <c r="E22" s="12">
        <f t="shared" si="0"/>
        <v>1</v>
      </c>
      <c r="F22" s="17">
        <f t="shared" si="1"/>
        <v>0</v>
      </c>
      <c r="L22" s="17" t="str">
        <f>IFERROR(__xludf.DUMMYFUNCTION("""COMPUTED_VALUE"""),"P")</f>
        <v>P</v>
      </c>
    </row>
    <row r="23" customHeight="1" spans="1:12">
      <c r="A23" s="14" t="s">
        <v>4418</v>
      </c>
      <c r="B23" s="15">
        <v>56</v>
      </c>
      <c r="C23" s="16">
        <v>56</v>
      </c>
      <c r="D23" s="11"/>
      <c r="E23" s="12">
        <f t="shared" si="0"/>
        <v>1</v>
      </c>
      <c r="F23" s="17">
        <f t="shared" si="1"/>
        <v>0</v>
      </c>
      <c r="L23" s="17" t="str">
        <f>IFERROR(__xludf.DUMMYFUNCTION("""COMPUTED_VALUE"""),"C")</f>
        <v>C</v>
      </c>
    </row>
    <row r="24" customHeight="1" spans="1:6">
      <c r="A24" s="14" t="s">
        <v>4419</v>
      </c>
      <c r="B24" s="15">
        <v>32</v>
      </c>
      <c r="C24" s="16">
        <v>32</v>
      </c>
      <c r="D24" s="11"/>
      <c r="E24" s="12">
        <f t="shared" si="0"/>
        <v>1</v>
      </c>
      <c r="F24" s="17">
        <f t="shared" si="1"/>
        <v>0</v>
      </c>
    </row>
    <row r="25" customHeight="1" spans="1:6">
      <c r="A25" s="14" t="s">
        <v>4420</v>
      </c>
      <c r="B25" s="15">
        <v>17</v>
      </c>
      <c r="C25" s="16">
        <v>17</v>
      </c>
      <c r="D25" s="11"/>
      <c r="E25" s="12">
        <f t="shared" si="0"/>
        <v>1</v>
      </c>
      <c r="F25" s="17">
        <f t="shared" si="1"/>
        <v>0</v>
      </c>
    </row>
    <row r="26" customHeight="1" spans="1:6">
      <c r="A26" s="14" t="s">
        <v>4421</v>
      </c>
      <c r="B26" s="15">
        <v>1</v>
      </c>
      <c r="C26" s="16">
        <v>1</v>
      </c>
      <c r="D26" s="11"/>
      <c r="E26" s="12">
        <f t="shared" si="0"/>
        <v>1</v>
      </c>
      <c r="F26" s="17">
        <f t="shared" si="1"/>
        <v>0</v>
      </c>
    </row>
    <row r="27" customHeight="1" spans="1:6">
      <c r="A27" s="14" t="s">
        <v>4422</v>
      </c>
      <c r="B27" s="15">
        <v>1</v>
      </c>
      <c r="C27" s="16">
        <v>1</v>
      </c>
      <c r="D27" s="11"/>
      <c r="E27" s="12">
        <f t="shared" si="0"/>
        <v>1</v>
      </c>
      <c r="F27" s="17">
        <f t="shared" si="1"/>
        <v>0</v>
      </c>
    </row>
    <row r="28" customHeight="1" spans="1:6">
      <c r="A28" s="14" t="s">
        <v>4423</v>
      </c>
      <c r="B28" s="15">
        <v>4</v>
      </c>
      <c r="C28" s="16">
        <v>4</v>
      </c>
      <c r="D28" s="11"/>
      <c r="E28" s="12">
        <f t="shared" si="0"/>
        <v>1</v>
      </c>
      <c r="F28" s="17">
        <f t="shared" si="1"/>
        <v>0</v>
      </c>
    </row>
    <row r="29" customHeight="1" spans="1:5">
      <c r="A29" s="20" t="s">
        <v>4424</v>
      </c>
      <c r="B29" s="21"/>
      <c r="C29" s="22"/>
      <c r="D29" s="11"/>
      <c r="E29" s="12"/>
    </row>
    <row r="30" customHeight="1" spans="1:5">
      <c r="A30" s="11"/>
      <c r="B30" s="11"/>
      <c r="C30" s="11"/>
      <c r="D30" s="11"/>
      <c r="E30" s="12"/>
    </row>
    <row r="31" customHeight="1" spans="1:5">
      <c r="A31" s="11"/>
      <c r="B31" s="11"/>
      <c r="C31" s="11"/>
      <c r="D31" s="11"/>
      <c r="E31" s="12"/>
    </row>
    <row r="32" customHeight="1" spans="1:5">
      <c r="A32" s="11"/>
      <c r="B32" s="11"/>
      <c r="C32" s="11"/>
      <c r="D32" s="11"/>
      <c r="E32" s="12"/>
    </row>
    <row r="33" customHeight="1" spans="1:5">
      <c r="A33" s="11"/>
      <c r="B33" s="11"/>
      <c r="C33" s="11"/>
      <c r="D33" s="11"/>
      <c r="E33" s="12"/>
    </row>
    <row r="34" customHeight="1" spans="1:5">
      <c r="A34" s="11"/>
      <c r="B34" s="11"/>
      <c r="C34" s="11"/>
      <c r="D34" s="11"/>
      <c r="E34" s="12"/>
    </row>
    <row r="35" customHeight="1" spans="1:5">
      <c r="A35" s="11"/>
      <c r="B35" s="11"/>
      <c r="C35" s="11"/>
      <c r="D35" s="11"/>
      <c r="E35" s="12"/>
    </row>
    <row r="36" customHeight="1" spans="1:5">
      <c r="A36" s="11"/>
      <c r="B36" s="11"/>
      <c r="C36" s="11"/>
      <c r="D36" s="11"/>
      <c r="E36" s="12"/>
    </row>
    <row r="37" customHeight="1" spans="1:5">
      <c r="A37" s="11"/>
      <c r="B37" s="11"/>
      <c r="C37" s="11"/>
      <c r="D37" s="11"/>
      <c r="E37" s="12"/>
    </row>
    <row r="38" customHeight="1" spans="1:5">
      <c r="A38" s="11"/>
      <c r="B38" s="11"/>
      <c r="C38" s="11"/>
      <c r="D38" s="11"/>
      <c r="E38" s="12"/>
    </row>
    <row r="39" customHeight="1" spans="1:5">
      <c r="A39" s="11"/>
      <c r="B39" s="11"/>
      <c r="C39" s="11"/>
      <c r="D39" s="11"/>
      <c r="E39" s="12"/>
    </row>
    <row r="40" customHeight="1" spans="1:5">
      <c r="A40" s="11"/>
      <c r="B40" s="11"/>
      <c r="C40" s="11"/>
      <c r="D40" s="11"/>
      <c r="E40" s="12"/>
    </row>
    <row r="41" customHeight="1" spans="1:5">
      <c r="A41" s="11"/>
      <c r="B41" s="11"/>
      <c r="C41" s="11"/>
      <c r="D41" s="11"/>
      <c r="E41" s="12"/>
    </row>
    <row r="42" customHeight="1" spans="1:5">
      <c r="A42" s="11"/>
      <c r="B42" s="11"/>
      <c r="C42" s="11"/>
      <c r="D42" s="11"/>
      <c r="E42" s="12"/>
    </row>
    <row r="43" customHeight="1" spans="1:5">
      <c r="A43" s="11"/>
      <c r="B43" s="11"/>
      <c r="C43" s="11"/>
      <c r="D43" s="11"/>
      <c r="E43" s="12"/>
    </row>
    <row r="44" customHeight="1" spans="1:5">
      <c r="A44" s="11"/>
      <c r="B44" s="11"/>
      <c r="C44" s="11"/>
      <c r="D44" s="11"/>
      <c r="E44" s="12"/>
    </row>
    <row r="45" customHeight="1" spans="1:5">
      <c r="A45" s="11"/>
      <c r="B45" s="11"/>
      <c r="C45" s="11"/>
      <c r="D45" s="11"/>
      <c r="E45" s="12"/>
    </row>
    <row r="46" customHeight="1" spans="1:5">
      <c r="A46" s="11"/>
      <c r="B46" s="11"/>
      <c r="C46" s="11"/>
      <c r="D46" s="11"/>
      <c r="E46" s="12"/>
    </row>
    <row r="47" customHeight="1" spans="1:5">
      <c r="A47" s="11"/>
      <c r="B47" s="11"/>
      <c r="C47" s="11"/>
      <c r="D47" s="11"/>
      <c r="E47" s="12"/>
    </row>
    <row r="48" customHeight="1" spans="1:5">
      <c r="A48" s="11"/>
      <c r="B48" s="11"/>
      <c r="C48" s="11"/>
      <c r="D48" s="11"/>
      <c r="E48" s="12"/>
    </row>
    <row r="49" customHeight="1" spans="1:5">
      <c r="A49" s="11"/>
      <c r="B49" s="11"/>
      <c r="C49" s="11"/>
      <c r="D49" s="11"/>
      <c r="E49" s="12"/>
    </row>
    <row r="50" customHeight="1" spans="1:5">
      <c r="A50" s="11"/>
      <c r="B50" s="11"/>
      <c r="C50" s="11"/>
      <c r="D50" s="11"/>
      <c r="E50" s="12"/>
    </row>
    <row r="51" customHeight="1" spans="1:5">
      <c r="A51" s="11"/>
      <c r="B51" s="11"/>
      <c r="C51" s="11"/>
      <c r="D51" s="11"/>
      <c r="E51" s="12"/>
    </row>
    <row r="52" customHeight="1" spans="1:5">
      <c r="A52" s="11"/>
      <c r="B52" s="11"/>
      <c r="C52" s="11"/>
      <c r="D52" s="11"/>
      <c r="E52" s="12"/>
    </row>
    <row r="53" customHeight="1" spans="1:5">
      <c r="A53" s="11"/>
      <c r="B53" s="11"/>
      <c r="C53" s="11"/>
      <c r="D53" s="11"/>
      <c r="E53" s="12"/>
    </row>
    <row r="54" customHeight="1" spans="1:5">
      <c r="A54" s="11"/>
      <c r="B54" s="11"/>
      <c r="C54" s="11"/>
      <c r="D54" s="11"/>
      <c r="E54" s="12"/>
    </row>
    <row r="55" customHeight="1" spans="1:5">
      <c r="A55" s="11"/>
      <c r="B55" s="11"/>
      <c r="C55" s="11"/>
      <c r="D55" s="11"/>
      <c r="E55" s="12"/>
    </row>
    <row r="56" customHeight="1" spans="1:5">
      <c r="A56" s="11"/>
      <c r="B56" s="11"/>
      <c r="C56" s="11"/>
      <c r="D56" s="11"/>
      <c r="E56" s="12"/>
    </row>
    <row r="57" customHeight="1" spans="1:5">
      <c r="A57" s="11"/>
      <c r="B57" s="11"/>
      <c r="C57" s="11"/>
      <c r="D57" s="11"/>
      <c r="E57" s="12"/>
    </row>
    <row r="58" customHeight="1" spans="1:5">
      <c r="A58" s="11"/>
      <c r="B58" s="11"/>
      <c r="C58" s="11"/>
      <c r="D58" s="11"/>
      <c r="E58" s="12"/>
    </row>
    <row r="59" customHeight="1" spans="1:5">
      <c r="A59" s="11"/>
      <c r="B59" s="11"/>
      <c r="C59" s="11"/>
      <c r="D59" s="11"/>
      <c r="E59" s="12"/>
    </row>
    <row r="60" customHeight="1" spans="1:5">
      <c r="A60" s="11"/>
      <c r="B60" s="11"/>
      <c r="C60" s="11"/>
      <c r="D60" s="11"/>
      <c r="E60" s="12"/>
    </row>
    <row r="61" customHeight="1" spans="1:5">
      <c r="A61" s="11"/>
      <c r="B61" s="11"/>
      <c r="C61" s="11"/>
      <c r="D61" s="11"/>
      <c r="E61" s="12"/>
    </row>
    <row r="62" customHeight="1" spans="1:5">
      <c r="A62" s="11"/>
      <c r="B62" s="11"/>
      <c r="C62" s="11"/>
      <c r="D62" s="11"/>
      <c r="E62" s="12"/>
    </row>
    <row r="63" customHeight="1" spans="1:5">
      <c r="A63" s="11"/>
      <c r="B63" s="11"/>
      <c r="C63" s="11"/>
      <c r="D63" s="11"/>
      <c r="E63" s="12"/>
    </row>
    <row r="64" customHeight="1" spans="1:5">
      <c r="A64" s="11"/>
      <c r="B64" s="11"/>
      <c r="C64" s="11"/>
      <c r="D64" s="11"/>
      <c r="E64" s="12"/>
    </row>
    <row r="65" customHeight="1" spans="1:5">
      <c r="A65" s="11"/>
      <c r="B65" s="11"/>
      <c r="C65" s="11"/>
      <c r="D65" s="11"/>
      <c r="E65" s="12"/>
    </row>
    <row r="66" customHeight="1" spans="1:5">
      <c r="A66" s="11"/>
      <c r="B66" s="11"/>
      <c r="C66" s="11"/>
      <c r="D66" s="11"/>
      <c r="E66" s="12"/>
    </row>
    <row r="67" customHeight="1" spans="1:5">
      <c r="A67" s="11"/>
      <c r="B67" s="11"/>
      <c r="C67" s="11"/>
      <c r="D67" s="11"/>
      <c r="E67" s="12"/>
    </row>
    <row r="68" customHeight="1" spans="1:5">
      <c r="A68" s="11"/>
      <c r="B68" s="11"/>
      <c r="C68" s="11"/>
      <c r="D68" s="11"/>
      <c r="E68" s="12"/>
    </row>
    <row r="69" customHeight="1" spans="1:5">
      <c r="A69" s="11"/>
      <c r="B69" s="11"/>
      <c r="C69" s="11"/>
      <c r="D69" s="11"/>
      <c r="E69" s="12"/>
    </row>
    <row r="70" customHeight="1" spans="1:5">
      <c r="A70" s="11"/>
      <c r="B70" s="11"/>
      <c r="C70" s="11"/>
      <c r="D70" s="11"/>
      <c r="E70" s="12"/>
    </row>
    <row r="71" customHeight="1" spans="1:5">
      <c r="A71" s="11"/>
      <c r="B71" s="11"/>
      <c r="C71" s="11"/>
      <c r="D71" s="11"/>
      <c r="E71" s="12"/>
    </row>
    <row r="72" customHeight="1" spans="1:5">
      <c r="A72" s="11"/>
      <c r="B72" s="11"/>
      <c r="C72" s="11"/>
      <c r="D72" s="11"/>
      <c r="E72" s="12"/>
    </row>
    <row r="73" customHeight="1" spans="1:5">
      <c r="A73" s="11"/>
      <c r="B73" s="11"/>
      <c r="C73" s="11"/>
      <c r="D73" s="11"/>
      <c r="E73" s="12"/>
    </row>
    <row r="74" customHeight="1" spans="1:5">
      <c r="A74" s="11"/>
      <c r="B74" s="11"/>
      <c r="C74" s="11"/>
      <c r="D74" s="11"/>
      <c r="E74" s="12"/>
    </row>
    <row r="75" customHeight="1" spans="1:5">
      <c r="A75" s="11"/>
      <c r="B75" s="11"/>
      <c r="C75" s="11"/>
      <c r="D75" s="11"/>
      <c r="E75" s="12"/>
    </row>
    <row r="76" customHeight="1" spans="1:5">
      <c r="A76" s="11"/>
      <c r="B76" s="11"/>
      <c r="C76" s="11"/>
      <c r="D76" s="11"/>
      <c r="E76" s="12"/>
    </row>
    <row r="77" customHeight="1" spans="1:5">
      <c r="A77" s="11"/>
      <c r="B77" s="11"/>
      <c r="C77" s="11"/>
      <c r="D77" s="11"/>
      <c r="E77" s="12"/>
    </row>
    <row r="78" customHeight="1" spans="1:5">
      <c r="A78" s="11"/>
      <c r="B78" s="11"/>
      <c r="C78" s="11"/>
      <c r="D78" s="11"/>
      <c r="E78" s="12"/>
    </row>
    <row r="79" customHeight="1" spans="1:5">
      <c r="A79" s="11"/>
      <c r="B79" s="11"/>
      <c r="C79" s="11"/>
      <c r="D79" s="11"/>
      <c r="E79" s="12"/>
    </row>
    <row r="80" customHeight="1" spans="1:5">
      <c r="A80" s="11"/>
      <c r="B80" s="11"/>
      <c r="C80" s="11"/>
      <c r="D80" s="11"/>
      <c r="E80" s="12"/>
    </row>
    <row r="81" customHeight="1" spans="1:5">
      <c r="A81" s="11"/>
      <c r="B81" s="11"/>
      <c r="C81" s="11"/>
      <c r="D81" s="11"/>
      <c r="E81" s="12"/>
    </row>
    <row r="82" customHeight="1" spans="1:5">
      <c r="A82" s="11"/>
      <c r="B82" s="11"/>
      <c r="C82" s="11"/>
      <c r="D82" s="11"/>
      <c r="E82" s="12"/>
    </row>
    <row r="83" customHeight="1" spans="1:5">
      <c r="A83" s="11"/>
      <c r="B83" s="11"/>
      <c r="C83" s="11"/>
      <c r="D83" s="11"/>
      <c r="E83" s="12"/>
    </row>
    <row r="84" customHeight="1" spans="1:5">
      <c r="A84" s="11"/>
      <c r="B84" s="11"/>
      <c r="C84" s="11"/>
      <c r="D84" s="11"/>
      <c r="E84" s="12"/>
    </row>
    <row r="85" customHeight="1" spans="1:5">
      <c r="A85" s="11"/>
      <c r="B85" s="11"/>
      <c r="C85" s="11"/>
      <c r="D85" s="11"/>
      <c r="E85" s="12"/>
    </row>
    <row r="86" customHeight="1" spans="1:5">
      <c r="A86" s="11"/>
      <c r="B86" s="11"/>
      <c r="C86" s="11"/>
      <c r="D86" s="11"/>
      <c r="E86" s="12"/>
    </row>
    <row r="87" customHeight="1" spans="1:5">
      <c r="A87" s="11"/>
      <c r="B87" s="11"/>
      <c r="C87" s="11"/>
      <c r="D87" s="11"/>
      <c r="E87" s="12"/>
    </row>
    <row r="88" customHeight="1" spans="1:5">
      <c r="A88" s="11"/>
      <c r="B88" s="11"/>
      <c r="C88" s="11"/>
      <c r="D88" s="11"/>
      <c r="E88" s="12"/>
    </row>
    <row r="89" customHeight="1" spans="1:5">
      <c r="A89" s="11"/>
      <c r="B89" s="11"/>
      <c r="C89" s="11"/>
      <c r="D89" s="11"/>
      <c r="E89" s="12"/>
    </row>
    <row r="90" customHeight="1" spans="1:5">
      <c r="A90" s="11"/>
      <c r="B90" s="11"/>
      <c r="C90" s="11"/>
      <c r="D90" s="11"/>
      <c r="E90" s="12"/>
    </row>
    <row r="91" customHeight="1" spans="1:5">
      <c r="A91" s="11"/>
      <c r="B91" s="11"/>
      <c r="C91" s="11"/>
      <c r="D91" s="11"/>
      <c r="E91" s="12"/>
    </row>
    <row r="92" customHeight="1" spans="1:5">
      <c r="A92" s="11"/>
      <c r="B92" s="11"/>
      <c r="C92" s="11"/>
      <c r="D92" s="11"/>
      <c r="E92" s="12"/>
    </row>
    <row r="93" customHeight="1" spans="1:5">
      <c r="A93" s="11"/>
      <c r="B93" s="11"/>
      <c r="C93" s="11"/>
      <c r="D93" s="11"/>
      <c r="E93" s="12"/>
    </row>
    <row r="94" customHeight="1" spans="1:5">
      <c r="A94" s="11"/>
      <c r="B94" s="11"/>
      <c r="C94" s="11"/>
      <c r="D94" s="11"/>
      <c r="E94" s="12"/>
    </row>
    <row r="95" customHeight="1" spans="1:5">
      <c r="A95" s="11"/>
      <c r="B95" s="11"/>
      <c r="C95" s="11"/>
      <c r="D95" s="11"/>
      <c r="E95" s="12"/>
    </row>
    <row r="96" customHeight="1" spans="1:5">
      <c r="A96" s="11"/>
      <c r="B96" s="11"/>
      <c r="C96" s="11"/>
      <c r="D96" s="11"/>
      <c r="E96" s="12"/>
    </row>
    <row r="97" customHeight="1" spans="1:5">
      <c r="A97" s="11"/>
      <c r="B97" s="11"/>
      <c r="C97" s="11"/>
      <c r="D97" s="11"/>
      <c r="E97" s="12"/>
    </row>
    <row r="98" customHeight="1" spans="1:5">
      <c r="A98" s="11"/>
      <c r="B98" s="11"/>
      <c r="C98" s="11"/>
      <c r="D98" s="11"/>
      <c r="E98" s="12"/>
    </row>
    <row r="99" customHeight="1" spans="1:5">
      <c r="A99" s="11"/>
      <c r="B99" s="11"/>
      <c r="C99" s="11"/>
      <c r="D99" s="11"/>
      <c r="E99" s="12"/>
    </row>
    <row r="100" customHeight="1" spans="1:5">
      <c r="A100" s="11"/>
      <c r="B100" s="11"/>
      <c r="C100" s="11"/>
      <c r="D100" s="11"/>
      <c r="E100" s="12"/>
    </row>
    <row r="101" customHeight="1" spans="1:5">
      <c r="A101" s="11"/>
      <c r="B101" s="11"/>
      <c r="C101" s="11"/>
      <c r="D101" s="11"/>
      <c r="E101" s="12"/>
    </row>
    <row r="102" customHeight="1" spans="1:5">
      <c r="A102" s="11"/>
      <c r="B102" s="11"/>
      <c r="C102" s="11"/>
      <c r="D102" s="11"/>
      <c r="E102" s="12"/>
    </row>
    <row r="103" customHeight="1" spans="1:5">
      <c r="A103" s="11"/>
      <c r="B103" s="11"/>
      <c r="C103" s="11"/>
      <c r="D103" s="11"/>
      <c r="E103" s="12"/>
    </row>
    <row r="104" customHeight="1" spans="1:5">
      <c r="A104" s="11"/>
      <c r="B104" s="11"/>
      <c r="C104" s="11"/>
      <c r="D104" s="11"/>
      <c r="E104" s="12"/>
    </row>
    <row r="105" customHeight="1" spans="1:5">
      <c r="A105" s="11"/>
      <c r="B105" s="11"/>
      <c r="C105" s="11"/>
      <c r="D105" s="11"/>
      <c r="E105" s="12"/>
    </row>
    <row r="106" customHeight="1" spans="1:5">
      <c r="A106" s="11"/>
      <c r="B106" s="11"/>
      <c r="C106" s="11"/>
      <c r="D106" s="11"/>
      <c r="E106" s="12"/>
    </row>
    <row r="107" customHeight="1" spans="1:5">
      <c r="A107" s="11"/>
      <c r="B107" s="11"/>
      <c r="C107" s="11"/>
      <c r="D107" s="11"/>
      <c r="E107" s="12"/>
    </row>
    <row r="108" customHeight="1" spans="1:5">
      <c r="A108" s="11"/>
      <c r="B108" s="11"/>
      <c r="C108" s="11"/>
      <c r="D108" s="11"/>
      <c r="E108" s="12"/>
    </row>
    <row r="109" customHeight="1" spans="1:5">
      <c r="A109" s="11"/>
      <c r="B109" s="11"/>
      <c r="C109" s="11"/>
      <c r="D109" s="11"/>
      <c r="E109" s="12"/>
    </row>
    <row r="110" customHeight="1" spans="1:5">
      <c r="A110" s="11"/>
      <c r="B110" s="11"/>
      <c r="C110" s="11"/>
      <c r="D110" s="11"/>
      <c r="E110" s="12"/>
    </row>
    <row r="111" customHeight="1" spans="1:5">
      <c r="A111" s="11"/>
      <c r="B111" s="11"/>
      <c r="C111" s="11"/>
      <c r="D111" s="11"/>
      <c r="E111" s="12"/>
    </row>
    <row r="112" customHeight="1" spans="1:5">
      <c r="A112" s="11"/>
      <c r="B112" s="11"/>
      <c r="C112" s="11"/>
      <c r="D112" s="11"/>
      <c r="E112" s="12"/>
    </row>
    <row r="113" customHeight="1" spans="1:5">
      <c r="A113" s="11"/>
      <c r="B113" s="11"/>
      <c r="C113" s="11"/>
      <c r="D113" s="11"/>
      <c r="E113" s="12"/>
    </row>
    <row r="114" customHeight="1" spans="1:5">
      <c r="A114" s="11"/>
      <c r="B114" s="11"/>
      <c r="C114" s="11"/>
      <c r="D114" s="11"/>
      <c r="E114" s="12"/>
    </row>
    <row r="115" customHeight="1" spans="1:5">
      <c r="A115" s="11"/>
      <c r="B115" s="11"/>
      <c r="C115" s="11"/>
      <c r="D115" s="11"/>
      <c r="E115" s="12"/>
    </row>
    <row r="116" customHeight="1" spans="1:5">
      <c r="A116" s="11"/>
      <c r="B116" s="11"/>
      <c r="C116" s="11"/>
      <c r="D116" s="11"/>
      <c r="E116" s="12"/>
    </row>
    <row r="117" customHeight="1" spans="1:5">
      <c r="A117" s="11"/>
      <c r="B117" s="11"/>
      <c r="C117" s="11"/>
      <c r="D117" s="11"/>
      <c r="E117" s="12"/>
    </row>
    <row r="118" customHeight="1" spans="1:5">
      <c r="A118" s="11"/>
      <c r="B118" s="11"/>
      <c r="C118" s="11"/>
      <c r="D118" s="11"/>
      <c r="E118" s="12"/>
    </row>
    <row r="119" customHeight="1" spans="1:5">
      <c r="A119" s="11"/>
      <c r="B119" s="11"/>
      <c r="C119" s="11"/>
      <c r="D119" s="11"/>
      <c r="E119" s="12"/>
    </row>
    <row r="120" customHeight="1" spans="1:5">
      <c r="A120" s="11"/>
      <c r="B120" s="11"/>
      <c r="C120" s="11"/>
      <c r="D120" s="11"/>
      <c r="E120" s="12"/>
    </row>
    <row r="121" customHeight="1" spans="1:5">
      <c r="A121" s="11"/>
      <c r="B121" s="11"/>
      <c r="C121" s="11"/>
      <c r="D121" s="11"/>
      <c r="E121" s="12"/>
    </row>
    <row r="122" customHeight="1" spans="1:5">
      <c r="A122" s="11"/>
      <c r="B122" s="11"/>
      <c r="C122" s="11"/>
      <c r="D122" s="11"/>
      <c r="E122" s="12"/>
    </row>
    <row r="123" customHeight="1" spans="1:5">
      <c r="A123" s="11"/>
      <c r="B123" s="11"/>
      <c r="C123" s="11"/>
      <c r="D123" s="11"/>
      <c r="E123" s="12"/>
    </row>
    <row r="124" customHeight="1" spans="1:5">
      <c r="A124" s="11"/>
      <c r="B124" s="11"/>
      <c r="C124" s="11"/>
      <c r="D124" s="11"/>
      <c r="E124" s="12"/>
    </row>
    <row r="125" customHeight="1" spans="1:5">
      <c r="A125" s="11"/>
      <c r="B125" s="11"/>
      <c r="C125" s="11"/>
      <c r="D125" s="11"/>
      <c r="E125" s="12"/>
    </row>
    <row r="126" customHeight="1" spans="1:5">
      <c r="A126" s="11"/>
      <c r="B126" s="11"/>
      <c r="C126" s="11"/>
      <c r="D126" s="11"/>
      <c r="E126" s="12"/>
    </row>
    <row r="127" customHeight="1" spans="1:5">
      <c r="A127" s="11"/>
      <c r="B127" s="11"/>
      <c r="C127" s="11"/>
      <c r="D127" s="11"/>
      <c r="E127" s="12"/>
    </row>
    <row r="128" customHeight="1" spans="1:5">
      <c r="A128" s="11"/>
      <c r="B128" s="11"/>
      <c r="C128" s="11"/>
      <c r="D128" s="11"/>
      <c r="E128" s="12"/>
    </row>
    <row r="129" customHeight="1" spans="1:5">
      <c r="A129" s="11"/>
      <c r="B129" s="11"/>
      <c r="C129" s="11"/>
      <c r="D129" s="11"/>
      <c r="E129" s="12"/>
    </row>
    <row r="130" customHeight="1" spans="1:5">
      <c r="A130" s="11"/>
      <c r="B130" s="11"/>
      <c r="C130" s="11"/>
      <c r="D130" s="11"/>
      <c r="E130" s="12"/>
    </row>
    <row r="131" customHeight="1" spans="1:5">
      <c r="A131" s="11"/>
      <c r="B131" s="11"/>
      <c r="C131" s="11"/>
      <c r="D131" s="11"/>
      <c r="E131" s="12"/>
    </row>
    <row r="132" customHeight="1" spans="1:5">
      <c r="A132" s="11"/>
      <c r="B132" s="11"/>
      <c r="C132" s="11"/>
      <c r="D132" s="11"/>
      <c r="E132" s="12"/>
    </row>
    <row r="133" customHeight="1" spans="1:5">
      <c r="A133" s="11"/>
      <c r="B133" s="11"/>
      <c r="C133" s="11"/>
      <c r="D133" s="11"/>
      <c r="E133" s="12"/>
    </row>
    <row r="134" customHeight="1" spans="1:5">
      <c r="A134" s="11"/>
      <c r="B134" s="11"/>
      <c r="C134" s="11"/>
      <c r="D134" s="11"/>
      <c r="E134" s="12"/>
    </row>
    <row r="135" customHeight="1" spans="1:5">
      <c r="A135" s="11"/>
      <c r="B135" s="11"/>
      <c r="C135" s="11"/>
      <c r="D135" s="11"/>
      <c r="E135" s="12"/>
    </row>
    <row r="136" customHeight="1" spans="1:5">
      <c r="A136" s="11"/>
      <c r="B136" s="11"/>
      <c r="C136" s="11"/>
      <c r="D136" s="11"/>
      <c r="E136" s="12"/>
    </row>
    <row r="137" customHeight="1" spans="1:5">
      <c r="A137" s="11"/>
      <c r="B137" s="11"/>
      <c r="C137" s="11"/>
      <c r="D137" s="11"/>
      <c r="E137" s="12"/>
    </row>
    <row r="138" customHeight="1" spans="1:5">
      <c r="A138" s="11"/>
      <c r="B138" s="11"/>
      <c r="C138" s="11"/>
      <c r="D138" s="11"/>
      <c r="E138" s="12"/>
    </row>
    <row r="139" customHeight="1" spans="1:5">
      <c r="A139" s="11"/>
      <c r="B139" s="11"/>
      <c r="C139" s="11"/>
      <c r="D139" s="11"/>
      <c r="E139" s="12"/>
    </row>
    <row r="140" customHeight="1" spans="1:5">
      <c r="A140" s="11"/>
      <c r="B140" s="11"/>
      <c r="C140" s="11"/>
      <c r="D140" s="11"/>
      <c r="E140" s="12"/>
    </row>
    <row r="141" customHeight="1" spans="1:5">
      <c r="A141" s="11"/>
      <c r="B141" s="11"/>
      <c r="C141" s="11"/>
      <c r="D141" s="11"/>
      <c r="E141" s="12"/>
    </row>
    <row r="142" customHeight="1" spans="1:5">
      <c r="A142" s="11"/>
      <c r="B142" s="11"/>
      <c r="C142" s="11"/>
      <c r="D142" s="11"/>
      <c r="E142" s="12"/>
    </row>
    <row r="143" customHeight="1" spans="1:5">
      <c r="A143" s="11"/>
      <c r="B143" s="11"/>
      <c r="C143" s="11"/>
      <c r="D143" s="11"/>
      <c r="E143" s="12"/>
    </row>
    <row r="144" customHeight="1" spans="1:5">
      <c r="A144" s="11"/>
      <c r="B144" s="11"/>
      <c r="C144" s="11"/>
      <c r="D144" s="11"/>
      <c r="E144" s="12"/>
    </row>
    <row r="145" customHeight="1" spans="1:5">
      <c r="A145" s="11"/>
      <c r="B145" s="11"/>
      <c r="C145" s="11"/>
      <c r="D145" s="11"/>
      <c r="E145" s="12"/>
    </row>
    <row r="146" customHeight="1" spans="1:5">
      <c r="A146" s="11"/>
      <c r="B146" s="11"/>
      <c r="C146" s="11"/>
      <c r="D146" s="11"/>
      <c r="E146" s="12"/>
    </row>
    <row r="147" customHeight="1" spans="1:5">
      <c r="A147" s="11"/>
      <c r="B147" s="11"/>
      <c r="C147" s="11"/>
      <c r="D147" s="11"/>
      <c r="E147" s="12"/>
    </row>
    <row r="148" customHeight="1" spans="1:5">
      <c r="A148" s="11"/>
      <c r="B148" s="11"/>
      <c r="C148" s="11"/>
      <c r="D148" s="11"/>
      <c r="E148" s="12"/>
    </row>
    <row r="149" customHeight="1" spans="1:5">
      <c r="A149" s="11"/>
      <c r="B149" s="11"/>
      <c r="C149" s="11"/>
      <c r="D149" s="11"/>
      <c r="E149" s="12"/>
    </row>
    <row r="150" customHeight="1" spans="1:5">
      <c r="A150" s="11"/>
      <c r="B150" s="11"/>
      <c r="C150" s="11"/>
      <c r="D150" s="11"/>
      <c r="E150" s="12"/>
    </row>
    <row r="151" customHeight="1" spans="1:5">
      <c r="A151" s="11"/>
      <c r="B151" s="11"/>
      <c r="C151" s="11"/>
      <c r="D151" s="11"/>
      <c r="E151" s="12"/>
    </row>
    <row r="152" customHeight="1" spans="1:5">
      <c r="A152" s="11"/>
      <c r="B152" s="11"/>
      <c r="C152" s="11"/>
      <c r="D152" s="11"/>
      <c r="E152" s="12"/>
    </row>
    <row r="153" customHeight="1" spans="1:5">
      <c r="A153" s="11"/>
      <c r="B153" s="11"/>
      <c r="C153" s="11"/>
      <c r="D153" s="11"/>
      <c r="E153" s="12"/>
    </row>
    <row r="154" customHeight="1" spans="1:5">
      <c r="A154" s="11"/>
      <c r="B154" s="11"/>
      <c r="C154" s="11"/>
      <c r="D154" s="11"/>
      <c r="E154" s="12"/>
    </row>
    <row r="155" customHeight="1" spans="1:5">
      <c r="A155" s="11"/>
      <c r="B155" s="11"/>
      <c r="C155" s="11"/>
      <c r="D155" s="11"/>
      <c r="E155" s="12"/>
    </row>
    <row r="156" customHeight="1" spans="1:5">
      <c r="A156" s="11"/>
      <c r="B156" s="11"/>
      <c r="C156" s="11"/>
      <c r="D156" s="11"/>
      <c r="E156" s="12"/>
    </row>
    <row r="157" customHeight="1" spans="1:5">
      <c r="A157" s="11"/>
      <c r="B157" s="11"/>
      <c r="C157" s="11"/>
      <c r="D157" s="11"/>
      <c r="E157" s="12"/>
    </row>
    <row r="158" customHeight="1" spans="1:5">
      <c r="A158" s="11"/>
      <c r="B158" s="11"/>
      <c r="C158" s="11"/>
      <c r="D158" s="11"/>
      <c r="E158" s="12"/>
    </row>
    <row r="159" customHeight="1" spans="1:5">
      <c r="A159" s="11"/>
      <c r="B159" s="11"/>
      <c r="C159" s="11"/>
      <c r="D159" s="11"/>
      <c r="E159" s="12"/>
    </row>
    <row r="160" customHeight="1" spans="1:5">
      <c r="A160" s="11"/>
      <c r="B160" s="11"/>
      <c r="C160" s="11"/>
      <c r="D160" s="11"/>
      <c r="E160" s="12"/>
    </row>
    <row r="161" customHeight="1" spans="1:5">
      <c r="A161" s="11"/>
      <c r="B161" s="11"/>
      <c r="C161" s="11"/>
      <c r="D161" s="11"/>
      <c r="E161" s="12"/>
    </row>
    <row r="162" customHeight="1" spans="1:5">
      <c r="A162" s="11"/>
      <c r="B162" s="11"/>
      <c r="C162" s="11"/>
      <c r="D162" s="11"/>
      <c r="E162" s="12"/>
    </row>
    <row r="163" customHeight="1" spans="1:5">
      <c r="A163" s="11"/>
      <c r="B163" s="11"/>
      <c r="C163" s="11"/>
      <c r="D163" s="11"/>
      <c r="E163" s="12"/>
    </row>
    <row r="164" customHeight="1" spans="1:5">
      <c r="A164" s="11"/>
      <c r="B164" s="11"/>
      <c r="C164" s="11"/>
      <c r="D164" s="11"/>
      <c r="E164" s="12"/>
    </row>
    <row r="165" customHeight="1" spans="1:5">
      <c r="A165" s="11"/>
      <c r="B165" s="11"/>
      <c r="C165" s="11"/>
      <c r="D165" s="11"/>
      <c r="E165" s="12"/>
    </row>
    <row r="166" customHeight="1" spans="1:5">
      <c r="A166" s="11"/>
      <c r="B166" s="11"/>
      <c r="C166" s="11"/>
      <c r="D166" s="11"/>
      <c r="E166" s="12"/>
    </row>
    <row r="167" customHeight="1" spans="1:5">
      <c r="A167" s="11"/>
      <c r="B167" s="11"/>
      <c r="C167" s="11"/>
      <c r="D167" s="11"/>
      <c r="E167" s="12"/>
    </row>
    <row r="168" customHeight="1" spans="1:5">
      <c r="A168" s="11"/>
      <c r="B168" s="11"/>
      <c r="C168" s="11"/>
      <c r="D168" s="11"/>
      <c r="E168" s="12"/>
    </row>
    <row r="169" customHeight="1" spans="1:5">
      <c r="A169" s="11"/>
      <c r="B169" s="11"/>
      <c r="C169" s="11"/>
      <c r="D169" s="11"/>
      <c r="E169" s="12"/>
    </row>
    <row r="170" customHeight="1" spans="1:5">
      <c r="A170" s="11"/>
      <c r="B170" s="11"/>
      <c r="C170" s="11"/>
      <c r="D170" s="11"/>
      <c r="E170" s="12"/>
    </row>
    <row r="171" customHeight="1" spans="1:5">
      <c r="A171" s="11"/>
      <c r="B171" s="11"/>
      <c r="C171" s="11"/>
      <c r="D171" s="11"/>
      <c r="E171" s="12"/>
    </row>
    <row r="172" customHeight="1" spans="1:5">
      <c r="A172" s="11"/>
      <c r="B172" s="11"/>
      <c r="C172" s="11"/>
      <c r="D172" s="11"/>
      <c r="E172" s="12"/>
    </row>
    <row r="173" customHeight="1" spans="1:5">
      <c r="A173" s="11"/>
      <c r="B173" s="11"/>
      <c r="C173" s="11"/>
      <c r="D173" s="11"/>
      <c r="E173" s="12"/>
    </row>
    <row r="174" customHeight="1" spans="1:5">
      <c r="A174" s="11"/>
      <c r="B174" s="11"/>
      <c r="C174" s="11"/>
      <c r="D174" s="11"/>
      <c r="E174" s="12"/>
    </row>
    <row r="175" customHeight="1" spans="1:5">
      <c r="A175" s="11"/>
      <c r="B175" s="11"/>
      <c r="C175" s="11"/>
      <c r="D175" s="11"/>
      <c r="E175" s="12"/>
    </row>
    <row r="176" customHeight="1" spans="1:5">
      <c r="A176" s="11"/>
      <c r="B176" s="11"/>
      <c r="C176" s="11"/>
      <c r="D176" s="11"/>
      <c r="E176" s="12"/>
    </row>
    <row r="177" customHeight="1" spans="1:5">
      <c r="A177" s="11"/>
      <c r="B177" s="11"/>
      <c r="C177" s="11"/>
      <c r="D177" s="11"/>
      <c r="E177" s="12"/>
    </row>
    <row r="178" customHeight="1" spans="1:5">
      <c r="A178" s="11"/>
      <c r="B178" s="11"/>
      <c r="C178" s="11"/>
      <c r="D178" s="11"/>
      <c r="E178" s="12"/>
    </row>
    <row r="179" customHeight="1" spans="1:5">
      <c r="A179" s="11"/>
      <c r="B179" s="11"/>
      <c r="C179" s="11"/>
      <c r="D179" s="11"/>
      <c r="E179" s="12"/>
    </row>
    <row r="180" customHeight="1" spans="1:5">
      <c r="A180" s="11"/>
      <c r="B180" s="11"/>
      <c r="C180" s="11"/>
      <c r="D180" s="11"/>
      <c r="E180" s="12"/>
    </row>
    <row r="181" customHeight="1" spans="1:5">
      <c r="A181" s="11"/>
      <c r="B181" s="11"/>
      <c r="C181" s="11"/>
      <c r="D181" s="11"/>
      <c r="E181" s="12"/>
    </row>
    <row r="182" customHeight="1" spans="1:5">
      <c r="A182" s="11"/>
      <c r="B182" s="11"/>
      <c r="C182" s="11"/>
      <c r="D182" s="11"/>
      <c r="E182" s="12"/>
    </row>
    <row r="183" customHeight="1" spans="1:5">
      <c r="A183" s="11"/>
      <c r="B183" s="11"/>
      <c r="C183" s="11"/>
      <c r="D183" s="11"/>
      <c r="E183" s="12"/>
    </row>
    <row r="184" customHeight="1" spans="1:5">
      <c r="A184" s="11"/>
      <c r="B184" s="11"/>
      <c r="C184" s="11"/>
      <c r="D184" s="11"/>
      <c r="E184" s="12"/>
    </row>
    <row r="185" customHeight="1" spans="1:5">
      <c r="A185" s="11"/>
      <c r="B185" s="11"/>
      <c r="C185" s="11"/>
      <c r="D185" s="11"/>
      <c r="E185" s="12"/>
    </row>
    <row r="186" customHeight="1" spans="1:5">
      <c r="A186" s="11"/>
      <c r="B186" s="11"/>
      <c r="C186" s="11"/>
      <c r="D186" s="11"/>
      <c r="E186" s="12"/>
    </row>
    <row r="187" customHeight="1" spans="1:5">
      <c r="A187" s="11"/>
      <c r="B187" s="11"/>
      <c r="C187" s="11"/>
      <c r="D187" s="11"/>
      <c r="E187" s="12"/>
    </row>
    <row r="188" customHeight="1" spans="1:5">
      <c r="A188" s="11"/>
      <c r="B188" s="11"/>
      <c r="C188" s="11"/>
      <c r="D188" s="11"/>
      <c r="E188" s="12"/>
    </row>
    <row r="189" customHeight="1" spans="1:5">
      <c r="A189" s="11"/>
      <c r="B189" s="11"/>
      <c r="C189" s="11"/>
      <c r="D189" s="11"/>
      <c r="E189" s="12"/>
    </row>
    <row r="190" customHeight="1" spans="1:5">
      <c r="A190" s="11"/>
      <c r="B190" s="11"/>
      <c r="C190" s="11"/>
      <c r="D190" s="11"/>
      <c r="E190" s="12"/>
    </row>
    <row r="191" customHeight="1" spans="1:5">
      <c r="A191" s="11"/>
      <c r="B191" s="11"/>
      <c r="C191" s="11"/>
      <c r="D191" s="11"/>
      <c r="E191" s="12"/>
    </row>
    <row r="192" customHeight="1" spans="1:5">
      <c r="A192" s="11"/>
      <c r="B192" s="11"/>
      <c r="C192" s="11"/>
      <c r="D192" s="11"/>
      <c r="E192" s="12"/>
    </row>
    <row r="193" customHeight="1" spans="1:5">
      <c r="A193" s="11"/>
      <c r="B193" s="11"/>
      <c r="C193" s="11"/>
      <c r="D193" s="11"/>
      <c r="E193" s="12"/>
    </row>
    <row r="194" customHeight="1" spans="1:5">
      <c r="A194" s="11"/>
      <c r="B194" s="11"/>
      <c r="C194" s="11"/>
      <c r="D194" s="11"/>
      <c r="E194" s="12"/>
    </row>
    <row r="195" customHeight="1" spans="1:5">
      <c r="A195" s="11"/>
      <c r="B195" s="11"/>
      <c r="C195" s="11"/>
      <c r="D195" s="11"/>
      <c r="E195" s="12"/>
    </row>
    <row r="196" customHeight="1" spans="1:5">
      <c r="A196" s="11"/>
      <c r="B196" s="11"/>
      <c r="C196" s="11"/>
      <c r="D196" s="11"/>
      <c r="E196" s="12"/>
    </row>
    <row r="197" customHeight="1" spans="1:5">
      <c r="A197" s="11"/>
      <c r="B197" s="11"/>
      <c r="C197" s="11"/>
      <c r="D197" s="11"/>
      <c r="E197" s="12"/>
    </row>
    <row r="198" customHeight="1" spans="1:5">
      <c r="A198" s="11"/>
      <c r="B198" s="11"/>
      <c r="C198" s="11"/>
      <c r="D198" s="11"/>
      <c r="E198" s="12"/>
    </row>
    <row r="199" customHeight="1" spans="1:5">
      <c r="A199" s="11"/>
      <c r="B199" s="11"/>
      <c r="C199" s="11"/>
      <c r="D199" s="11"/>
      <c r="E199" s="12"/>
    </row>
    <row r="200" customHeight="1" spans="1:5">
      <c r="A200" s="11"/>
      <c r="B200" s="11"/>
      <c r="C200" s="11"/>
      <c r="D200" s="11"/>
      <c r="E200" s="12"/>
    </row>
    <row r="201" customHeight="1" spans="1:5">
      <c r="A201" s="11"/>
      <c r="B201" s="11"/>
      <c r="C201" s="11"/>
      <c r="D201" s="11"/>
      <c r="E201" s="12"/>
    </row>
    <row r="202" customHeight="1" spans="1:5">
      <c r="A202" s="11"/>
      <c r="B202" s="11"/>
      <c r="C202" s="11"/>
      <c r="D202" s="11"/>
      <c r="E202" s="12"/>
    </row>
    <row r="203" customHeight="1" spans="1:5">
      <c r="A203" s="11"/>
      <c r="B203" s="11"/>
      <c r="C203" s="11"/>
      <c r="D203" s="11"/>
      <c r="E203" s="12"/>
    </row>
    <row r="204" customHeight="1" spans="1:5">
      <c r="A204" s="11"/>
      <c r="B204" s="11"/>
      <c r="C204" s="11"/>
      <c r="D204" s="11"/>
      <c r="E204" s="12"/>
    </row>
    <row r="205" customHeight="1" spans="1:5">
      <c r="A205" s="11"/>
      <c r="B205" s="11"/>
      <c r="C205" s="11"/>
      <c r="D205" s="11"/>
      <c r="E205" s="12"/>
    </row>
    <row r="206" customHeight="1" spans="1:5">
      <c r="A206" s="11"/>
      <c r="B206" s="11"/>
      <c r="C206" s="11"/>
      <c r="D206" s="11"/>
      <c r="E206" s="12"/>
    </row>
    <row r="207" customHeight="1" spans="1:5">
      <c r="A207" s="11"/>
      <c r="B207" s="11"/>
      <c r="C207" s="11"/>
      <c r="D207" s="11"/>
      <c r="E207" s="12"/>
    </row>
    <row r="208" customHeight="1" spans="1:5">
      <c r="A208" s="11"/>
      <c r="B208" s="11"/>
      <c r="C208" s="11"/>
      <c r="D208" s="11"/>
      <c r="E208" s="12"/>
    </row>
    <row r="209" customHeight="1" spans="1:5">
      <c r="A209" s="11"/>
      <c r="B209" s="11"/>
      <c r="C209" s="11"/>
      <c r="D209" s="11"/>
      <c r="E209" s="12"/>
    </row>
    <row r="210" customHeight="1" spans="1:5">
      <c r="A210" s="11"/>
      <c r="B210" s="11"/>
      <c r="C210" s="11"/>
      <c r="D210" s="11"/>
      <c r="E210" s="12"/>
    </row>
    <row r="211" customHeight="1" spans="1:5">
      <c r="A211" s="11"/>
      <c r="B211" s="11"/>
      <c r="C211" s="11"/>
      <c r="D211" s="11"/>
      <c r="E211" s="12"/>
    </row>
    <row r="212" customHeight="1" spans="1:5">
      <c r="A212" s="11"/>
      <c r="B212" s="11"/>
      <c r="C212" s="11"/>
      <c r="D212" s="11"/>
      <c r="E212" s="12"/>
    </row>
    <row r="213" customHeight="1" spans="1:5">
      <c r="A213" s="11"/>
      <c r="B213" s="11"/>
      <c r="C213" s="11"/>
      <c r="D213" s="11"/>
      <c r="E213" s="12"/>
    </row>
    <row r="214" customHeight="1" spans="1:5">
      <c r="A214" s="11"/>
      <c r="B214" s="11"/>
      <c r="C214" s="11"/>
      <c r="D214" s="11"/>
      <c r="E214" s="12"/>
    </row>
    <row r="215" customHeight="1" spans="1:5">
      <c r="A215" s="11"/>
      <c r="B215" s="11"/>
      <c r="C215" s="11"/>
      <c r="D215" s="11"/>
      <c r="E215" s="12"/>
    </row>
    <row r="216" customHeight="1" spans="1:5">
      <c r="A216" s="11"/>
      <c r="B216" s="11"/>
      <c r="C216" s="11"/>
      <c r="D216" s="11"/>
      <c r="E216" s="12"/>
    </row>
    <row r="217" customHeight="1" spans="1:5">
      <c r="A217" s="11"/>
      <c r="B217" s="11"/>
      <c r="C217" s="11"/>
      <c r="D217" s="11"/>
      <c r="E217" s="12"/>
    </row>
    <row r="218" customHeight="1" spans="1:5">
      <c r="A218" s="11"/>
      <c r="B218" s="11"/>
      <c r="C218" s="11"/>
      <c r="D218" s="11"/>
      <c r="E218" s="12"/>
    </row>
    <row r="219" customHeight="1" spans="1:5">
      <c r="A219" s="11"/>
      <c r="B219" s="11"/>
      <c r="C219" s="11"/>
      <c r="D219" s="11"/>
      <c r="E219" s="12"/>
    </row>
    <row r="220" customHeight="1" spans="1:5">
      <c r="A220" s="11"/>
      <c r="B220" s="11"/>
      <c r="C220" s="11"/>
      <c r="D220" s="11"/>
      <c r="E220" s="12"/>
    </row>
    <row r="221" customHeight="1" spans="1:5">
      <c r="A221" s="11"/>
      <c r="B221" s="11"/>
      <c r="C221" s="11"/>
      <c r="D221" s="11"/>
      <c r="E221" s="12"/>
    </row>
    <row r="222" customHeight="1" spans="1:5">
      <c r="A222" s="11"/>
      <c r="B222" s="11"/>
      <c r="C222" s="11"/>
      <c r="D222" s="11"/>
      <c r="E222" s="12"/>
    </row>
    <row r="223" customHeight="1" spans="1:5">
      <c r="A223" s="11"/>
      <c r="B223" s="11"/>
      <c r="C223" s="11"/>
      <c r="D223" s="11"/>
      <c r="E223" s="12"/>
    </row>
    <row r="224" customHeight="1" spans="1:5">
      <c r="A224" s="11"/>
      <c r="B224" s="11"/>
      <c r="C224" s="11"/>
      <c r="D224" s="11"/>
      <c r="E224" s="12"/>
    </row>
    <row r="225" customHeight="1" spans="1:5">
      <c r="A225" s="11"/>
      <c r="B225" s="11"/>
      <c r="C225" s="11"/>
      <c r="D225" s="11"/>
      <c r="E225" s="12"/>
    </row>
    <row r="226" customHeight="1" spans="1:5">
      <c r="A226" s="11"/>
      <c r="B226" s="11"/>
      <c r="C226" s="11"/>
      <c r="D226" s="11"/>
      <c r="E226" s="12"/>
    </row>
    <row r="227" customHeight="1" spans="1:5">
      <c r="A227" s="11"/>
      <c r="B227" s="11"/>
      <c r="C227" s="11"/>
      <c r="D227" s="11"/>
      <c r="E227" s="12"/>
    </row>
    <row r="228" customHeight="1" spans="1:5">
      <c r="A228" s="11"/>
      <c r="B228" s="11"/>
      <c r="C228" s="11"/>
      <c r="D228" s="11"/>
      <c r="E228" s="12"/>
    </row>
    <row r="229" customHeight="1" spans="1:5">
      <c r="A229" s="11"/>
      <c r="B229" s="11"/>
      <c r="C229" s="11"/>
      <c r="D229" s="11"/>
      <c r="E229" s="12"/>
    </row>
    <row r="230" customHeight="1" spans="1:5">
      <c r="A230" s="11"/>
      <c r="B230" s="11"/>
      <c r="C230" s="11"/>
      <c r="D230" s="11"/>
      <c r="E230" s="12"/>
    </row>
    <row r="231" customHeight="1" spans="1:5">
      <c r="A231" s="11"/>
      <c r="B231" s="11"/>
      <c r="C231" s="11"/>
      <c r="D231" s="11"/>
      <c r="E231" s="12"/>
    </row>
    <row r="232" customHeight="1" spans="1:5">
      <c r="A232" s="11"/>
      <c r="B232" s="11"/>
      <c r="C232" s="11"/>
      <c r="D232" s="11"/>
      <c r="E232" s="12"/>
    </row>
    <row r="233" customHeight="1" spans="1:5">
      <c r="A233" s="11"/>
      <c r="B233" s="11"/>
      <c r="C233" s="11"/>
      <c r="D233" s="11"/>
      <c r="E233" s="12"/>
    </row>
    <row r="234" customHeight="1" spans="1:5">
      <c r="A234" s="11"/>
      <c r="B234" s="11"/>
      <c r="C234" s="11"/>
      <c r="D234" s="11"/>
      <c r="E234" s="12"/>
    </row>
    <row r="235" customHeight="1" spans="1:5">
      <c r="A235" s="11"/>
      <c r="B235" s="11"/>
      <c r="C235" s="11"/>
      <c r="D235" s="11"/>
      <c r="E235" s="12"/>
    </row>
    <row r="236" customHeight="1" spans="1:5">
      <c r="A236" s="11"/>
      <c r="B236" s="11"/>
      <c r="C236" s="11"/>
      <c r="D236" s="11"/>
      <c r="E236" s="12"/>
    </row>
    <row r="237" customHeight="1" spans="1:5">
      <c r="A237" s="11"/>
      <c r="B237" s="11"/>
      <c r="C237" s="11"/>
      <c r="D237" s="11"/>
      <c r="E237" s="12"/>
    </row>
    <row r="238" customHeight="1" spans="1:5">
      <c r="A238" s="11"/>
      <c r="B238" s="11"/>
      <c r="C238" s="11"/>
      <c r="D238" s="11"/>
      <c r="E238" s="12"/>
    </row>
    <row r="239" customHeight="1" spans="1:5">
      <c r="A239" s="11"/>
      <c r="B239" s="11"/>
      <c r="C239" s="11"/>
      <c r="D239" s="11"/>
      <c r="E239" s="12"/>
    </row>
    <row r="240" customHeight="1" spans="1:5">
      <c r="A240" s="11"/>
      <c r="B240" s="11"/>
      <c r="C240" s="11"/>
      <c r="D240" s="11"/>
      <c r="E240" s="12"/>
    </row>
    <row r="241" customHeight="1" spans="1:5">
      <c r="A241" s="11"/>
      <c r="B241" s="11"/>
      <c r="C241" s="11"/>
      <c r="D241" s="11"/>
      <c r="E241" s="12"/>
    </row>
    <row r="242" customHeight="1" spans="1:5">
      <c r="A242" s="11"/>
      <c r="B242" s="11"/>
      <c r="C242" s="11"/>
      <c r="D242" s="11"/>
      <c r="E242" s="12"/>
    </row>
    <row r="243" customHeight="1" spans="1:5">
      <c r="A243" s="11"/>
      <c r="B243" s="11"/>
      <c r="C243" s="11"/>
      <c r="D243" s="11"/>
      <c r="E243" s="12"/>
    </row>
    <row r="244" customHeight="1" spans="1:5">
      <c r="A244" s="11"/>
      <c r="B244" s="11"/>
      <c r="C244" s="11"/>
      <c r="D244" s="11"/>
      <c r="E244" s="12"/>
    </row>
    <row r="245" customHeight="1" spans="1:5">
      <c r="A245" s="11"/>
      <c r="B245" s="11"/>
      <c r="C245" s="11"/>
      <c r="D245" s="11"/>
      <c r="E245" s="12"/>
    </row>
    <row r="246" customHeight="1" spans="1:5">
      <c r="A246" s="11"/>
      <c r="B246" s="11"/>
      <c r="C246" s="11"/>
      <c r="D246" s="11"/>
      <c r="E246" s="12"/>
    </row>
    <row r="247" customHeight="1" spans="1:5">
      <c r="A247" s="11"/>
      <c r="B247" s="11"/>
      <c r="C247" s="11"/>
      <c r="D247" s="11"/>
      <c r="E247" s="12"/>
    </row>
    <row r="248" customHeight="1" spans="1:5">
      <c r="A248" s="11"/>
      <c r="B248" s="11"/>
      <c r="C248" s="11"/>
      <c r="D248" s="11"/>
      <c r="E248" s="12"/>
    </row>
    <row r="249" customHeight="1" spans="1:5">
      <c r="A249" s="11"/>
      <c r="B249" s="11"/>
      <c r="C249" s="11"/>
      <c r="D249" s="11"/>
      <c r="E249" s="12"/>
    </row>
    <row r="250" customHeight="1" spans="1:5">
      <c r="A250" s="11"/>
      <c r="B250" s="11"/>
      <c r="C250" s="11"/>
      <c r="D250" s="11"/>
      <c r="E250" s="12"/>
    </row>
    <row r="251" customHeight="1" spans="1:5">
      <c r="A251" s="11"/>
      <c r="B251" s="11"/>
      <c r="C251" s="11"/>
      <c r="D251" s="11"/>
      <c r="E251" s="12"/>
    </row>
    <row r="252" customHeight="1" spans="1:5">
      <c r="A252" s="11"/>
      <c r="B252" s="11"/>
      <c r="C252" s="11"/>
      <c r="D252" s="11"/>
      <c r="E252" s="12"/>
    </row>
    <row r="253" customHeight="1" spans="1:5">
      <c r="A253" s="11"/>
      <c r="B253" s="11"/>
      <c r="C253" s="11"/>
      <c r="D253" s="11"/>
      <c r="E253" s="12"/>
    </row>
    <row r="254" customHeight="1" spans="1:5">
      <c r="A254" s="11"/>
      <c r="B254" s="11"/>
      <c r="C254" s="11"/>
      <c r="D254" s="11"/>
      <c r="E254" s="12"/>
    </row>
    <row r="255" customHeight="1" spans="1:5">
      <c r="A255" s="11"/>
      <c r="B255" s="11"/>
      <c r="C255" s="11"/>
      <c r="D255" s="11"/>
      <c r="E255" s="12"/>
    </row>
    <row r="256" customHeight="1" spans="1:5">
      <c r="A256" s="11"/>
      <c r="B256" s="11"/>
      <c r="C256" s="11"/>
      <c r="D256" s="11"/>
      <c r="E256" s="12"/>
    </row>
    <row r="257" customHeight="1" spans="1:5">
      <c r="A257" s="11"/>
      <c r="B257" s="11"/>
      <c r="C257" s="11"/>
      <c r="D257" s="11"/>
      <c r="E257" s="12"/>
    </row>
    <row r="258" customHeight="1" spans="1:5">
      <c r="A258" s="11"/>
      <c r="B258" s="11"/>
      <c r="C258" s="11"/>
      <c r="D258" s="11"/>
      <c r="E258" s="12"/>
    </row>
    <row r="259" customHeight="1" spans="1:5">
      <c r="A259" s="11"/>
      <c r="B259" s="11"/>
      <c r="C259" s="11"/>
      <c r="D259" s="11"/>
      <c r="E259" s="12"/>
    </row>
    <row r="260" customHeight="1" spans="1:5">
      <c r="A260" s="11"/>
      <c r="B260" s="11"/>
      <c r="C260" s="11"/>
      <c r="D260" s="11"/>
      <c r="E260" s="12"/>
    </row>
    <row r="261" customHeight="1" spans="1:5">
      <c r="A261" s="11"/>
      <c r="B261" s="11"/>
      <c r="C261" s="11"/>
      <c r="D261" s="11"/>
      <c r="E261" s="12"/>
    </row>
    <row r="262" customHeight="1" spans="1:5">
      <c r="A262" s="11"/>
      <c r="B262" s="11"/>
      <c r="C262" s="11"/>
      <c r="D262" s="11"/>
      <c r="E262" s="12"/>
    </row>
    <row r="263" customHeight="1" spans="1:5">
      <c r="A263" s="11"/>
      <c r="B263" s="11"/>
      <c r="C263" s="11"/>
      <c r="D263" s="11"/>
      <c r="E263" s="12"/>
    </row>
    <row r="264" customHeight="1" spans="1:5">
      <c r="A264" s="11"/>
      <c r="B264" s="11"/>
      <c r="C264" s="11"/>
      <c r="D264" s="11"/>
      <c r="E264" s="12"/>
    </row>
    <row r="265" customHeight="1" spans="1:5">
      <c r="A265" s="11"/>
      <c r="B265" s="11"/>
      <c r="C265" s="11"/>
      <c r="D265" s="11"/>
      <c r="E265" s="12"/>
    </row>
    <row r="266" customHeight="1" spans="1:5">
      <c r="A266" s="11"/>
      <c r="B266" s="11"/>
      <c r="C266" s="11"/>
      <c r="D266" s="11"/>
      <c r="E266" s="12"/>
    </row>
    <row r="267" customHeight="1" spans="1:5">
      <c r="A267" s="11"/>
      <c r="B267" s="11"/>
      <c r="C267" s="11"/>
      <c r="D267" s="11"/>
      <c r="E267" s="12"/>
    </row>
    <row r="268" customHeight="1" spans="1:5">
      <c r="A268" s="11"/>
      <c r="B268" s="11"/>
      <c r="C268" s="11"/>
      <c r="D268" s="11"/>
      <c r="E268" s="12"/>
    </row>
    <row r="269" customHeight="1" spans="1:5">
      <c r="A269" s="11"/>
      <c r="B269" s="11"/>
      <c r="C269" s="11"/>
      <c r="D269" s="11"/>
      <c r="E269" s="12"/>
    </row>
    <row r="270" customHeight="1" spans="1:5">
      <c r="A270" s="11"/>
      <c r="B270" s="11"/>
      <c r="C270" s="11"/>
      <c r="D270" s="11"/>
      <c r="E270" s="12"/>
    </row>
    <row r="271" customHeight="1" spans="1:5">
      <c r="A271" s="11"/>
      <c r="B271" s="11"/>
      <c r="C271" s="11"/>
      <c r="D271" s="11"/>
      <c r="E271" s="12"/>
    </row>
    <row r="272" customHeight="1" spans="1:5">
      <c r="A272" s="11"/>
      <c r="B272" s="11"/>
      <c r="C272" s="11"/>
      <c r="D272" s="11"/>
      <c r="E272" s="12"/>
    </row>
    <row r="273" customHeight="1" spans="1:5">
      <c r="A273" s="11"/>
      <c r="B273" s="11"/>
      <c r="C273" s="11"/>
      <c r="D273" s="11"/>
      <c r="E273" s="12"/>
    </row>
    <row r="274" customHeight="1" spans="1:5">
      <c r="A274" s="11"/>
      <c r="B274" s="11"/>
      <c r="C274" s="11"/>
      <c r="D274" s="11"/>
      <c r="E274" s="12"/>
    </row>
    <row r="275" customHeight="1" spans="1:5">
      <c r="A275" s="11"/>
      <c r="B275" s="11"/>
      <c r="C275" s="11"/>
      <c r="D275" s="11"/>
      <c r="E275" s="12"/>
    </row>
    <row r="276" customHeight="1" spans="1:5">
      <c r="A276" s="11"/>
      <c r="B276" s="11"/>
      <c r="C276" s="11"/>
      <c r="D276" s="11"/>
      <c r="E276" s="12"/>
    </row>
    <row r="277" customHeight="1" spans="1:5">
      <c r="A277" s="11"/>
      <c r="B277" s="11"/>
      <c r="C277" s="11"/>
      <c r="D277" s="11"/>
      <c r="E277" s="12"/>
    </row>
    <row r="278" customHeight="1" spans="1:5">
      <c r="A278" s="11"/>
      <c r="B278" s="11"/>
      <c r="C278" s="11"/>
      <c r="D278" s="11"/>
      <c r="E278" s="12"/>
    </row>
    <row r="279" customHeight="1" spans="1:5">
      <c r="A279" s="11"/>
      <c r="B279" s="11"/>
      <c r="C279" s="11"/>
      <c r="D279" s="11"/>
      <c r="E279" s="12"/>
    </row>
    <row r="280" customHeight="1" spans="1:5">
      <c r="A280" s="11"/>
      <c r="B280" s="11"/>
      <c r="C280" s="11"/>
      <c r="D280" s="11"/>
      <c r="E280" s="12"/>
    </row>
    <row r="281" customHeight="1" spans="1:5">
      <c r="A281" s="11"/>
      <c r="B281" s="11"/>
      <c r="C281" s="11"/>
      <c r="D281" s="11"/>
      <c r="E281" s="12"/>
    </row>
    <row r="282" customHeight="1" spans="1:5">
      <c r="A282" s="11"/>
      <c r="B282" s="11"/>
      <c r="C282" s="11"/>
      <c r="D282" s="11"/>
      <c r="E282" s="12"/>
    </row>
    <row r="283" customHeight="1" spans="1:5">
      <c r="A283" s="11"/>
      <c r="B283" s="11"/>
      <c r="C283" s="11"/>
      <c r="D283" s="11"/>
      <c r="E283" s="12"/>
    </row>
    <row r="284" customHeight="1" spans="1:5">
      <c r="A284" s="11"/>
      <c r="B284" s="11"/>
      <c r="C284" s="11"/>
      <c r="D284" s="11"/>
      <c r="E284" s="12"/>
    </row>
    <row r="285" customHeight="1" spans="1:5">
      <c r="A285" s="11"/>
      <c r="B285" s="11"/>
      <c r="C285" s="11"/>
      <c r="D285" s="11"/>
      <c r="E285" s="12"/>
    </row>
    <row r="286" customHeight="1" spans="1:5">
      <c r="A286" s="11"/>
      <c r="B286" s="11"/>
      <c r="C286" s="11"/>
      <c r="D286" s="11"/>
      <c r="E286" s="12"/>
    </row>
    <row r="287" customHeight="1" spans="1:5">
      <c r="A287" s="11"/>
      <c r="B287" s="11"/>
      <c r="C287" s="11"/>
      <c r="D287" s="11"/>
      <c r="E287" s="12"/>
    </row>
    <row r="288" customHeight="1" spans="1:5">
      <c r="A288" s="11"/>
      <c r="B288" s="11"/>
      <c r="C288" s="11"/>
      <c r="D288" s="11"/>
      <c r="E288" s="12"/>
    </row>
    <row r="289" customHeight="1" spans="1:5">
      <c r="A289" s="11"/>
      <c r="B289" s="11"/>
      <c r="C289" s="11"/>
      <c r="D289" s="11"/>
      <c r="E289" s="12"/>
    </row>
    <row r="290" customHeight="1" spans="1:5">
      <c r="A290" s="11"/>
      <c r="B290" s="11"/>
      <c r="C290" s="11"/>
      <c r="D290" s="11"/>
      <c r="E290" s="12"/>
    </row>
    <row r="291" customHeight="1" spans="1:5">
      <c r="A291" s="11"/>
      <c r="B291" s="11"/>
      <c r="C291" s="11"/>
      <c r="D291" s="11"/>
      <c r="E291" s="12"/>
    </row>
    <row r="292" customHeight="1" spans="1:5">
      <c r="A292" s="11"/>
      <c r="B292" s="11"/>
      <c r="C292" s="11"/>
      <c r="D292" s="11"/>
      <c r="E292" s="12"/>
    </row>
    <row r="293" customHeight="1" spans="1:5">
      <c r="A293" s="11"/>
      <c r="B293" s="11"/>
      <c r="C293" s="11"/>
      <c r="D293" s="11"/>
      <c r="E293" s="12"/>
    </row>
    <row r="294" customHeight="1" spans="1:5">
      <c r="A294" s="11"/>
      <c r="B294" s="11"/>
      <c r="C294" s="11"/>
      <c r="D294" s="11"/>
      <c r="E294" s="12"/>
    </row>
    <row r="295" customHeight="1" spans="1:5">
      <c r="A295" s="11"/>
      <c r="B295" s="11"/>
      <c r="C295" s="11"/>
      <c r="D295" s="11"/>
      <c r="E295" s="12"/>
    </row>
    <row r="296" customHeight="1" spans="1:5">
      <c r="A296" s="11"/>
      <c r="B296" s="11"/>
      <c r="C296" s="11"/>
      <c r="D296" s="11"/>
      <c r="E296" s="12"/>
    </row>
    <row r="297" customHeight="1" spans="1:5">
      <c r="A297" s="11"/>
      <c r="B297" s="11"/>
      <c r="C297" s="11"/>
      <c r="D297" s="11"/>
      <c r="E297" s="12"/>
    </row>
    <row r="298" customHeight="1" spans="1:5">
      <c r="A298" s="11"/>
      <c r="B298" s="11"/>
      <c r="C298" s="11"/>
      <c r="D298" s="11"/>
      <c r="E298" s="12"/>
    </row>
    <row r="299" customHeight="1" spans="1:5">
      <c r="A299" s="11"/>
      <c r="B299" s="11"/>
      <c r="C299" s="11"/>
      <c r="D299" s="11"/>
      <c r="E299" s="12"/>
    </row>
    <row r="300" customHeight="1" spans="1:5">
      <c r="A300" s="11"/>
      <c r="B300" s="11"/>
      <c r="C300" s="11"/>
      <c r="D300" s="11"/>
      <c r="E300" s="12"/>
    </row>
    <row r="301" customHeight="1" spans="1:5">
      <c r="A301" s="11"/>
      <c r="B301" s="11"/>
      <c r="C301" s="11"/>
      <c r="D301" s="11"/>
      <c r="E301" s="12"/>
    </row>
    <row r="302" customHeight="1" spans="1:5">
      <c r="A302" s="11"/>
      <c r="B302" s="11"/>
      <c r="C302" s="11"/>
      <c r="D302" s="11"/>
      <c r="E302" s="12"/>
    </row>
    <row r="303" customHeight="1" spans="1:5">
      <c r="A303" s="11"/>
      <c r="B303" s="11"/>
      <c r="C303" s="11"/>
      <c r="D303" s="11"/>
      <c r="E303" s="12"/>
    </row>
    <row r="304" customHeight="1" spans="1:5">
      <c r="A304" s="11"/>
      <c r="B304" s="11"/>
      <c r="C304" s="11"/>
      <c r="D304" s="11"/>
      <c r="E304" s="12"/>
    </row>
    <row r="305" customHeight="1" spans="1:5">
      <c r="A305" s="11"/>
      <c r="B305" s="11"/>
      <c r="C305" s="11"/>
      <c r="D305" s="11"/>
      <c r="E305" s="12"/>
    </row>
    <row r="306" customHeight="1" spans="1:5">
      <c r="A306" s="11"/>
      <c r="B306" s="11"/>
      <c r="C306" s="11"/>
      <c r="D306" s="11"/>
      <c r="E306" s="12"/>
    </row>
    <row r="307" customHeight="1" spans="1:5">
      <c r="A307" s="11"/>
      <c r="B307" s="11"/>
      <c r="C307" s="11"/>
      <c r="D307" s="11"/>
      <c r="E307" s="12"/>
    </row>
    <row r="308" customHeight="1" spans="1:5">
      <c r="A308" s="11"/>
      <c r="B308" s="11"/>
      <c r="C308" s="11"/>
      <c r="D308" s="11"/>
      <c r="E308" s="12"/>
    </row>
    <row r="309" customHeight="1" spans="1:5">
      <c r="A309" s="11"/>
      <c r="B309" s="11"/>
      <c r="C309" s="11"/>
      <c r="D309" s="11"/>
      <c r="E309" s="12"/>
    </row>
    <row r="310" customHeight="1" spans="1:5">
      <c r="A310" s="11"/>
      <c r="B310" s="11"/>
      <c r="C310" s="11"/>
      <c r="D310" s="11"/>
      <c r="E310" s="12"/>
    </row>
    <row r="311" customHeight="1" spans="1:5">
      <c r="A311" s="11"/>
      <c r="B311" s="11"/>
      <c r="C311" s="11"/>
      <c r="D311" s="11"/>
      <c r="E311" s="12"/>
    </row>
    <row r="312" customHeight="1" spans="1:5">
      <c r="A312" s="11"/>
      <c r="B312" s="11"/>
      <c r="C312" s="11"/>
      <c r="D312" s="11"/>
      <c r="E312" s="12"/>
    </row>
    <row r="313" customHeight="1" spans="1:5">
      <c r="A313" s="11"/>
      <c r="B313" s="11"/>
      <c r="C313" s="11"/>
      <c r="D313" s="11"/>
      <c r="E313" s="12"/>
    </row>
    <row r="314" customHeight="1" spans="1:5">
      <c r="A314" s="11"/>
      <c r="B314" s="11"/>
      <c r="C314" s="11"/>
      <c r="D314" s="11"/>
      <c r="E314" s="12"/>
    </row>
    <row r="315" customHeight="1" spans="1:5">
      <c r="A315" s="11"/>
      <c r="B315" s="11"/>
      <c r="C315" s="11"/>
      <c r="D315" s="11"/>
      <c r="E315" s="12"/>
    </row>
    <row r="316" customHeight="1" spans="1:5">
      <c r="A316" s="11"/>
      <c r="B316" s="11"/>
      <c r="C316" s="11"/>
      <c r="D316" s="11"/>
      <c r="E316" s="12"/>
    </row>
    <row r="317" customHeight="1" spans="1:5">
      <c r="A317" s="11"/>
      <c r="B317" s="11"/>
      <c r="C317" s="11"/>
      <c r="D317" s="11"/>
      <c r="E317" s="12"/>
    </row>
    <row r="318" customHeight="1" spans="1:5">
      <c r="A318" s="11"/>
      <c r="B318" s="11"/>
      <c r="C318" s="11"/>
      <c r="D318" s="11"/>
      <c r="E318" s="12"/>
    </row>
    <row r="319" customHeight="1" spans="1:5">
      <c r="A319" s="11"/>
      <c r="B319" s="11"/>
      <c r="C319" s="11"/>
      <c r="D319" s="11"/>
      <c r="E319" s="12"/>
    </row>
    <row r="320" customHeight="1" spans="1:5">
      <c r="A320" s="11"/>
      <c r="B320" s="11"/>
      <c r="C320" s="11"/>
      <c r="D320" s="11"/>
      <c r="E320" s="12"/>
    </row>
    <row r="321" customHeight="1" spans="1:5">
      <c r="A321" s="11"/>
      <c r="B321" s="11"/>
      <c r="C321" s="11"/>
      <c r="D321" s="11"/>
      <c r="E321" s="12"/>
    </row>
    <row r="322" customHeight="1" spans="1:5">
      <c r="A322" s="11"/>
      <c r="B322" s="11"/>
      <c r="C322" s="11"/>
      <c r="D322" s="11"/>
      <c r="E322" s="12"/>
    </row>
    <row r="323" customHeight="1" spans="1:5">
      <c r="A323" s="11"/>
      <c r="B323" s="11"/>
      <c r="C323" s="11"/>
      <c r="D323" s="11"/>
      <c r="E323" s="12"/>
    </row>
    <row r="324" customHeight="1" spans="1:5">
      <c r="A324" s="11"/>
      <c r="B324" s="11"/>
      <c r="C324" s="11"/>
      <c r="D324" s="11"/>
      <c r="E324" s="12"/>
    </row>
    <row r="325" customHeight="1" spans="1:5">
      <c r="A325" s="11"/>
      <c r="B325" s="11"/>
      <c r="C325" s="11"/>
      <c r="D325" s="11"/>
      <c r="E325" s="12"/>
    </row>
    <row r="326" customHeight="1" spans="1:5">
      <c r="A326" s="11"/>
      <c r="B326" s="11"/>
      <c r="C326" s="11"/>
      <c r="D326" s="11"/>
      <c r="E326" s="12"/>
    </row>
    <row r="327" customHeight="1" spans="1:5">
      <c r="A327" s="11"/>
      <c r="B327" s="11"/>
      <c r="C327" s="11"/>
      <c r="D327" s="11"/>
      <c r="E327" s="12"/>
    </row>
    <row r="328" customHeight="1" spans="1:5">
      <c r="A328" s="11"/>
      <c r="B328" s="11"/>
      <c r="C328" s="11"/>
      <c r="D328" s="11"/>
      <c r="E328" s="12"/>
    </row>
    <row r="329" customHeight="1" spans="1:5">
      <c r="A329" s="11"/>
      <c r="B329" s="11"/>
      <c r="C329" s="11"/>
      <c r="D329" s="11"/>
      <c r="E329" s="12"/>
    </row>
    <row r="330" customHeight="1" spans="1:5">
      <c r="A330" s="11"/>
      <c r="B330" s="11"/>
      <c r="C330" s="11"/>
      <c r="D330" s="11"/>
      <c r="E330" s="12"/>
    </row>
    <row r="331" customHeight="1" spans="1:5">
      <c r="A331" s="11"/>
      <c r="B331" s="11"/>
      <c r="C331" s="11"/>
      <c r="D331" s="11"/>
      <c r="E331" s="12"/>
    </row>
    <row r="332" customHeight="1" spans="1:5">
      <c r="A332" s="11"/>
      <c r="B332" s="11"/>
      <c r="C332" s="11"/>
      <c r="D332" s="11"/>
      <c r="E332" s="12"/>
    </row>
    <row r="333" customHeight="1" spans="1:5">
      <c r="A333" s="11"/>
      <c r="B333" s="11"/>
      <c r="C333" s="11"/>
      <c r="D333" s="11"/>
      <c r="E333" s="12"/>
    </row>
    <row r="334" customHeight="1" spans="1:5">
      <c r="A334" s="11"/>
      <c r="B334" s="11"/>
      <c r="C334" s="11"/>
      <c r="D334" s="11"/>
      <c r="E334" s="12"/>
    </row>
    <row r="335" customHeight="1" spans="1:5">
      <c r="A335" s="11"/>
      <c r="B335" s="11"/>
      <c r="C335" s="11"/>
      <c r="D335" s="11"/>
      <c r="E335" s="12"/>
    </row>
    <row r="336" customHeight="1" spans="1:5">
      <c r="A336" s="11"/>
      <c r="B336" s="11"/>
      <c r="C336" s="11"/>
      <c r="D336" s="11"/>
      <c r="E336" s="12"/>
    </row>
    <row r="337" customHeight="1" spans="1:5">
      <c r="A337" s="11"/>
      <c r="B337" s="11"/>
      <c r="C337" s="11"/>
      <c r="D337" s="11"/>
      <c r="E337" s="12"/>
    </row>
    <row r="338" customHeight="1" spans="1:5">
      <c r="A338" s="11"/>
      <c r="B338" s="11"/>
      <c r="C338" s="11"/>
      <c r="D338" s="11"/>
      <c r="E338" s="12"/>
    </row>
    <row r="339" customHeight="1" spans="1:5">
      <c r="A339" s="11"/>
      <c r="B339" s="11"/>
      <c r="C339" s="11"/>
      <c r="D339" s="11"/>
      <c r="E339" s="12"/>
    </row>
    <row r="340" customHeight="1" spans="1:5">
      <c r="A340" s="11"/>
      <c r="B340" s="11"/>
      <c r="C340" s="11"/>
      <c r="D340" s="11"/>
      <c r="E340" s="12"/>
    </row>
    <row r="341" customHeight="1" spans="1:5">
      <c r="A341" s="11"/>
      <c r="B341" s="11"/>
      <c r="C341" s="11"/>
      <c r="D341" s="11"/>
      <c r="E341" s="12"/>
    </row>
    <row r="342" customHeight="1" spans="1:5">
      <c r="A342" s="11"/>
      <c r="B342" s="11"/>
      <c r="C342" s="11"/>
      <c r="D342" s="11"/>
      <c r="E342" s="12"/>
    </row>
    <row r="343" customHeight="1" spans="1:5">
      <c r="A343" s="11"/>
      <c r="B343" s="11"/>
      <c r="C343" s="11"/>
      <c r="D343" s="11"/>
      <c r="E343" s="12"/>
    </row>
    <row r="344" customHeight="1" spans="1:5">
      <c r="A344" s="11"/>
      <c r="B344" s="11"/>
      <c r="C344" s="11"/>
      <c r="D344" s="11"/>
      <c r="E344" s="12"/>
    </row>
    <row r="345" customHeight="1" spans="1:5">
      <c r="A345" s="11"/>
      <c r="B345" s="11"/>
      <c r="C345" s="11"/>
      <c r="D345" s="11"/>
      <c r="E345" s="12"/>
    </row>
    <row r="346" customHeight="1" spans="1:5">
      <c r="A346" s="11"/>
      <c r="B346" s="11"/>
      <c r="C346" s="11"/>
      <c r="D346" s="11"/>
      <c r="E346" s="12"/>
    </row>
    <row r="347" customHeight="1" spans="1:5">
      <c r="A347" s="11"/>
      <c r="B347" s="11"/>
      <c r="C347" s="11"/>
      <c r="D347" s="11"/>
      <c r="E347" s="12"/>
    </row>
    <row r="348" customHeight="1" spans="1:5">
      <c r="A348" s="11"/>
      <c r="B348" s="11"/>
      <c r="C348" s="11"/>
      <c r="D348" s="11"/>
      <c r="E348" s="12"/>
    </row>
    <row r="349" customHeight="1" spans="1:5">
      <c r="A349" s="11"/>
      <c r="B349" s="11"/>
      <c r="C349" s="11"/>
      <c r="D349" s="11"/>
      <c r="E349" s="12"/>
    </row>
    <row r="350" customHeight="1" spans="1:5">
      <c r="A350" s="11"/>
      <c r="B350" s="11"/>
      <c r="C350" s="11"/>
      <c r="D350" s="11"/>
      <c r="E350" s="12"/>
    </row>
    <row r="351" customHeight="1" spans="1:5">
      <c r="A351" s="11"/>
      <c r="B351" s="11"/>
      <c r="C351" s="11"/>
      <c r="D351" s="11"/>
      <c r="E351" s="12"/>
    </row>
    <row r="352" customHeight="1" spans="1:5">
      <c r="A352" s="11"/>
      <c r="B352" s="11"/>
      <c r="C352" s="11"/>
      <c r="D352" s="11"/>
      <c r="E352" s="12"/>
    </row>
    <row r="353" customHeight="1" spans="1:5">
      <c r="A353" s="11"/>
      <c r="B353" s="11"/>
      <c r="C353" s="11"/>
      <c r="D353" s="11"/>
      <c r="E353" s="12"/>
    </row>
    <row r="354" customHeight="1" spans="1:5">
      <c r="A354" s="11"/>
      <c r="B354" s="11"/>
      <c r="C354" s="11"/>
      <c r="D354" s="11"/>
      <c r="E354" s="12"/>
    </row>
    <row r="355" customHeight="1" spans="1:5">
      <c r="A355" s="11"/>
      <c r="B355" s="11"/>
      <c r="C355" s="11"/>
      <c r="D355" s="11"/>
      <c r="E355" s="12"/>
    </row>
    <row r="356" customHeight="1" spans="1:5">
      <c r="A356" s="11"/>
      <c r="B356" s="11"/>
      <c r="C356" s="11"/>
      <c r="D356" s="11"/>
      <c r="E356" s="12"/>
    </row>
    <row r="357" customHeight="1" spans="1:5">
      <c r="A357" s="11"/>
      <c r="B357" s="11"/>
      <c r="C357" s="11"/>
      <c r="D357" s="11"/>
      <c r="E357" s="12"/>
    </row>
    <row r="358" customHeight="1" spans="1:5">
      <c r="A358" s="11"/>
      <c r="B358" s="11"/>
      <c r="C358" s="11"/>
      <c r="D358" s="11"/>
      <c r="E358" s="12"/>
    </row>
    <row r="359" customHeight="1" spans="1:5">
      <c r="A359" s="11"/>
      <c r="B359" s="11"/>
      <c r="C359" s="11"/>
      <c r="D359" s="11"/>
      <c r="E359" s="12"/>
    </row>
    <row r="360" customHeight="1" spans="1:5">
      <c r="A360" s="11"/>
      <c r="B360" s="11"/>
      <c r="C360" s="11"/>
      <c r="D360" s="11"/>
      <c r="E360" s="12"/>
    </row>
    <row r="361" customHeight="1" spans="1:5">
      <c r="A361" s="11"/>
      <c r="B361" s="11"/>
      <c r="C361" s="11"/>
      <c r="D361" s="11"/>
      <c r="E361" s="12"/>
    </row>
    <row r="362" customHeight="1" spans="1:5">
      <c r="A362" s="11"/>
      <c r="B362" s="11"/>
      <c r="C362" s="11"/>
      <c r="D362" s="11"/>
      <c r="E362" s="12"/>
    </row>
    <row r="363" customHeight="1" spans="1:5">
      <c r="A363" s="11"/>
      <c r="B363" s="11"/>
      <c r="C363" s="11"/>
      <c r="D363" s="11"/>
      <c r="E363" s="12"/>
    </row>
    <row r="364" customHeight="1" spans="1:5">
      <c r="A364" s="11"/>
      <c r="B364" s="11"/>
      <c r="C364" s="11"/>
      <c r="D364" s="11"/>
      <c r="E364" s="12"/>
    </row>
    <row r="365" customHeight="1" spans="1:5">
      <c r="A365" s="11"/>
      <c r="B365" s="11"/>
      <c r="C365" s="11"/>
      <c r="D365" s="11"/>
      <c r="E365" s="12"/>
    </row>
    <row r="366" customHeight="1" spans="1:5">
      <c r="A366" s="11"/>
      <c r="B366" s="11"/>
      <c r="C366" s="11"/>
      <c r="D366" s="11"/>
      <c r="E366" s="12"/>
    </row>
    <row r="367" customHeight="1" spans="1:5">
      <c r="A367" s="11"/>
      <c r="B367" s="11"/>
      <c r="C367" s="11"/>
      <c r="D367" s="11"/>
      <c r="E367" s="12"/>
    </row>
    <row r="368" customHeight="1" spans="1:5">
      <c r="A368" s="11"/>
      <c r="B368" s="11"/>
      <c r="C368" s="11"/>
      <c r="D368" s="11"/>
      <c r="E368" s="12"/>
    </row>
    <row r="369" customHeight="1" spans="1:5">
      <c r="A369" s="11"/>
      <c r="B369" s="11"/>
      <c r="C369" s="11"/>
      <c r="D369" s="11"/>
      <c r="E369" s="12"/>
    </row>
    <row r="370" customHeight="1" spans="1:5">
      <c r="A370" s="11"/>
      <c r="B370" s="11"/>
      <c r="C370" s="11"/>
      <c r="D370" s="11"/>
      <c r="E370" s="12"/>
    </row>
    <row r="371" customHeight="1" spans="1:5">
      <c r="A371" s="11"/>
      <c r="B371" s="11"/>
      <c r="C371" s="11"/>
      <c r="D371" s="11"/>
      <c r="E371" s="12"/>
    </row>
    <row r="372" customHeight="1" spans="1:5">
      <c r="A372" s="11"/>
      <c r="B372" s="11"/>
      <c r="C372" s="11"/>
      <c r="D372" s="11"/>
      <c r="E372" s="12"/>
    </row>
    <row r="373" customHeight="1" spans="1:5">
      <c r="A373" s="11"/>
      <c r="B373" s="11"/>
      <c r="C373" s="11"/>
      <c r="D373" s="11"/>
      <c r="E373" s="12"/>
    </row>
    <row r="374" customHeight="1" spans="1:5">
      <c r="A374" s="11"/>
      <c r="B374" s="11"/>
      <c r="C374" s="11"/>
      <c r="D374" s="11"/>
      <c r="E374" s="12"/>
    </row>
    <row r="375" customHeight="1" spans="1:5">
      <c r="A375" s="11"/>
      <c r="B375" s="11"/>
      <c r="C375" s="11"/>
      <c r="D375" s="11"/>
      <c r="E375" s="12"/>
    </row>
    <row r="376" customHeight="1" spans="1:5">
      <c r="A376" s="11"/>
      <c r="B376" s="11"/>
      <c r="C376" s="11"/>
      <c r="D376" s="11"/>
      <c r="E376" s="12"/>
    </row>
    <row r="377" customHeight="1" spans="1:5">
      <c r="A377" s="11"/>
      <c r="B377" s="11"/>
      <c r="C377" s="11"/>
      <c r="D377" s="11"/>
      <c r="E377" s="12"/>
    </row>
    <row r="378" customHeight="1" spans="1:5">
      <c r="A378" s="11"/>
      <c r="B378" s="11"/>
      <c r="C378" s="11"/>
      <c r="D378" s="11"/>
      <c r="E378" s="12"/>
    </row>
    <row r="379" customHeight="1" spans="1:5">
      <c r="A379" s="11"/>
      <c r="B379" s="11"/>
      <c r="C379" s="11"/>
      <c r="D379" s="11"/>
      <c r="E379" s="12"/>
    </row>
    <row r="380" customHeight="1" spans="1:5">
      <c r="A380" s="11"/>
      <c r="B380" s="11"/>
      <c r="C380" s="11"/>
      <c r="D380" s="11"/>
      <c r="E380" s="12"/>
    </row>
    <row r="381" customHeight="1" spans="1:5">
      <c r="A381" s="11"/>
      <c r="B381" s="11"/>
      <c r="C381" s="11"/>
      <c r="D381" s="11"/>
      <c r="E381" s="12"/>
    </row>
    <row r="382" customHeight="1" spans="1:5">
      <c r="A382" s="11"/>
      <c r="B382" s="11"/>
      <c r="C382" s="11"/>
      <c r="D382" s="11"/>
      <c r="E382" s="12"/>
    </row>
    <row r="383" customHeight="1" spans="1:5">
      <c r="A383" s="11"/>
      <c r="B383" s="11"/>
      <c r="C383" s="11"/>
      <c r="D383" s="11"/>
      <c r="E383" s="12"/>
    </row>
    <row r="384" customHeight="1" spans="1:5">
      <c r="A384" s="11"/>
      <c r="B384" s="11"/>
      <c r="C384" s="11"/>
      <c r="D384" s="11"/>
      <c r="E384" s="12"/>
    </row>
    <row r="385" customHeight="1" spans="1:5">
      <c r="A385" s="11"/>
      <c r="B385" s="11"/>
      <c r="C385" s="11"/>
      <c r="D385" s="11"/>
      <c r="E385" s="12"/>
    </row>
    <row r="386" customHeight="1" spans="1:5">
      <c r="A386" s="11"/>
      <c r="B386" s="11"/>
      <c r="C386" s="11"/>
      <c r="D386" s="11"/>
      <c r="E386" s="12"/>
    </row>
    <row r="387" customHeight="1" spans="1:5">
      <c r="A387" s="11"/>
      <c r="B387" s="11"/>
      <c r="C387" s="11"/>
      <c r="D387" s="11"/>
      <c r="E387" s="12"/>
    </row>
    <row r="388" customHeight="1" spans="1:5">
      <c r="A388" s="11"/>
      <c r="B388" s="11"/>
      <c r="C388" s="11"/>
      <c r="D388" s="11"/>
      <c r="E388" s="12"/>
    </row>
    <row r="389" customHeight="1" spans="1:5">
      <c r="A389" s="11"/>
      <c r="B389" s="11"/>
      <c r="C389" s="11"/>
      <c r="D389" s="11"/>
      <c r="E389" s="12"/>
    </row>
    <row r="390" customHeight="1" spans="1:5">
      <c r="A390" s="11"/>
      <c r="B390" s="11"/>
      <c r="C390" s="11"/>
      <c r="D390" s="11"/>
      <c r="E390" s="12"/>
    </row>
    <row r="391" customHeight="1" spans="1:5">
      <c r="A391" s="11"/>
      <c r="B391" s="11"/>
      <c r="C391" s="11"/>
      <c r="D391" s="11"/>
      <c r="E391" s="12"/>
    </row>
    <row r="392" customHeight="1" spans="1:5">
      <c r="A392" s="11"/>
      <c r="B392" s="11"/>
      <c r="C392" s="11"/>
      <c r="D392" s="11"/>
      <c r="E392" s="12"/>
    </row>
    <row r="393" customHeight="1" spans="1:5">
      <c r="A393" s="11"/>
      <c r="B393" s="11"/>
      <c r="C393" s="11"/>
      <c r="D393" s="11"/>
      <c r="E393" s="12"/>
    </row>
    <row r="394" customHeight="1" spans="1:5">
      <c r="A394" s="11"/>
      <c r="B394" s="11"/>
      <c r="C394" s="11"/>
      <c r="D394" s="11"/>
      <c r="E394" s="12"/>
    </row>
    <row r="395" customHeight="1" spans="1:5">
      <c r="A395" s="11"/>
      <c r="B395" s="11"/>
      <c r="C395" s="11"/>
      <c r="D395" s="11"/>
      <c r="E395" s="12"/>
    </row>
    <row r="396" customHeight="1" spans="1:5">
      <c r="A396" s="11"/>
      <c r="B396" s="11"/>
      <c r="C396" s="11"/>
      <c r="D396" s="11"/>
      <c r="E396" s="12"/>
    </row>
    <row r="397" customHeight="1" spans="1:5">
      <c r="A397" s="11"/>
      <c r="B397" s="11"/>
      <c r="C397" s="11"/>
      <c r="D397" s="11"/>
      <c r="E397" s="12"/>
    </row>
    <row r="398" customHeight="1" spans="1:5">
      <c r="A398" s="11"/>
      <c r="B398" s="11"/>
      <c r="C398" s="11"/>
      <c r="D398" s="11"/>
      <c r="E398" s="12"/>
    </row>
    <row r="399" customHeight="1" spans="1:5">
      <c r="A399" s="11"/>
      <c r="B399" s="11"/>
      <c r="C399" s="11"/>
      <c r="D399" s="11"/>
      <c r="E399" s="12"/>
    </row>
    <row r="400" customHeight="1" spans="1:5">
      <c r="A400" s="11"/>
      <c r="B400" s="11"/>
      <c r="C400" s="11"/>
      <c r="D400" s="11"/>
      <c r="E400" s="12"/>
    </row>
    <row r="401" customHeight="1" spans="1:5">
      <c r="A401" s="11"/>
      <c r="B401" s="11"/>
      <c r="C401" s="11"/>
      <c r="D401" s="11"/>
      <c r="E401" s="12"/>
    </row>
    <row r="402" customHeight="1" spans="1:5">
      <c r="A402" s="11"/>
      <c r="B402" s="11"/>
      <c r="C402" s="11"/>
      <c r="D402" s="11"/>
      <c r="E402" s="12"/>
    </row>
    <row r="403" customHeight="1" spans="1:5">
      <c r="A403" s="11"/>
      <c r="B403" s="11"/>
      <c r="C403" s="11"/>
      <c r="D403" s="11"/>
      <c r="E403" s="12"/>
    </row>
    <row r="404" customHeight="1" spans="1:5">
      <c r="A404" s="11"/>
      <c r="B404" s="11"/>
      <c r="C404" s="11"/>
      <c r="D404" s="11"/>
      <c r="E404" s="12"/>
    </row>
    <row r="405" customHeight="1" spans="1:5">
      <c r="A405" s="11"/>
      <c r="B405" s="11"/>
      <c r="C405" s="11"/>
      <c r="D405" s="11"/>
      <c r="E405" s="12"/>
    </row>
    <row r="406" customHeight="1" spans="1:5">
      <c r="A406" s="11"/>
      <c r="B406" s="11"/>
      <c r="C406" s="11"/>
      <c r="D406" s="11"/>
      <c r="E406" s="12"/>
    </row>
    <row r="407" customHeight="1" spans="1:5">
      <c r="A407" s="11"/>
      <c r="B407" s="11"/>
      <c r="C407" s="11"/>
      <c r="D407" s="11"/>
      <c r="E407" s="12"/>
    </row>
    <row r="408" customHeight="1" spans="1:5">
      <c r="A408" s="11"/>
      <c r="B408" s="11"/>
      <c r="C408" s="11"/>
      <c r="D408" s="11"/>
      <c r="E408" s="12"/>
    </row>
    <row r="409" customHeight="1" spans="1:5">
      <c r="A409" s="11"/>
      <c r="B409" s="11"/>
      <c r="C409" s="11"/>
      <c r="D409" s="11"/>
      <c r="E409" s="12"/>
    </row>
    <row r="410" customHeight="1" spans="1:5">
      <c r="A410" s="11"/>
      <c r="B410" s="11"/>
      <c r="C410" s="11"/>
      <c r="D410" s="11"/>
      <c r="E410" s="12"/>
    </row>
    <row r="411" customHeight="1" spans="1:5">
      <c r="A411" s="11"/>
      <c r="B411" s="11"/>
      <c r="C411" s="11"/>
      <c r="D411" s="11"/>
      <c r="E411" s="12"/>
    </row>
    <row r="412" customHeight="1" spans="1:5">
      <c r="A412" s="11"/>
      <c r="B412" s="11"/>
      <c r="C412" s="11"/>
      <c r="D412" s="11"/>
      <c r="E412" s="12"/>
    </row>
    <row r="413" customHeight="1" spans="1:5">
      <c r="A413" s="11"/>
      <c r="B413" s="11"/>
      <c r="C413" s="11"/>
      <c r="D413" s="11"/>
      <c r="E413" s="12"/>
    </row>
    <row r="414" customHeight="1" spans="1:5">
      <c r="A414" s="11"/>
      <c r="B414" s="11"/>
      <c r="C414" s="11"/>
      <c r="D414" s="11"/>
      <c r="E414" s="12"/>
    </row>
    <row r="415" customHeight="1" spans="1:5">
      <c r="A415" s="11"/>
      <c r="B415" s="11"/>
      <c r="C415" s="11"/>
      <c r="D415" s="11"/>
      <c r="E415" s="12"/>
    </row>
    <row r="416" customHeight="1" spans="1:5">
      <c r="A416" s="11"/>
      <c r="B416" s="11"/>
      <c r="C416" s="11"/>
      <c r="D416" s="11"/>
      <c r="E416" s="12"/>
    </row>
    <row r="417" customHeight="1" spans="1:5">
      <c r="A417" s="11"/>
      <c r="B417" s="11"/>
      <c r="C417" s="11"/>
      <c r="D417" s="11"/>
      <c r="E417" s="12"/>
    </row>
    <row r="418" customHeight="1" spans="1:5">
      <c r="A418" s="11"/>
      <c r="B418" s="11"/>
      <c r="C418" s="11"/>
      <c r="D418" s="11"/>
      <c r="E418" s="12"/>
    </row>
    <row r="419" customHeight="1" spans="1:5">
      <c r="A419" s="11"/>
      <c r="B419" s="11"/>
      <c r="C419" s="11"/>
      <c r="D419" s="11"/>
      <c r="E419" s="12"/>
    </row>
    <row r="420" customHeight="1" spans="1:5">
      <c r="A420" s="11"/>
      <c r="B420" s="11"/>
      <c r="C420" s="11"/>
      <c r="D420" s="11"/>
      <c r="E420" s="12"/>
    </row>
    <row r="421" customHeight="1" spans="1:5">
      <c r="A421" s="11"/>
      <c r="B421" s="11"/>
      <c r="C421" s="11"/>
      <c r="D421" s="11"/>
      <c r="E421" s="12"/>
    </row>
    <row r="422" customHeight="1" spans="1:5">
      <c r="A422" s="11"/>
      <c r="B422" s="11"/>
      <c r="C422" s="11"/>
      <c r="D422" s="11"/>
      <c r="E422" s="12"/>
    </row>
    <row r="423" customHeight="1" spans="1:5">
      <c r="A423" s="11"/>
      <c r="B423" s="11"/>
      <c r="C423" s="11"/>
      <c r="D423" s="11"/>
      <c r="E423" s="12"/>
    </row>
    <row r="424" customHeight="1" spans="1:5">
      <c r="A424" s="11"/>
      <c r="B424" s="11"/>
      <c r="C424" s="11"/>
      <c r="D424" s="11"/>
      <c r="E424" s="12"/>
    </row>
    <row r="425" customHeight="1" spans="1:5">
      <c r="A425" s="11"/>
      <c r="B425" s="11"/>
      <c r="C425" s="11"/>
      <c r="D425" s="11"/>
      <c r="E425" s="12"/>
    </row>
    <row r="426" customHeight="1" spans="1:5">
      <c r="A426" s="11"/>
      <c r="B426" s="11"/>
      <c r="C426" s="11"/>
      <c r="D426" s="11"/>
      <c r="E426" s="12"/>
    </row>
    <row r="427" customHeight="1" spans="1:5">
      <c r="A427" s="11"/>
      <c r="B427" s="11"/>
      <c r="C427" s="11"/>
      <c r="D427" s="11"/>
      <c r="E427" s="12"/>
    </row>
    <row r="428" customHeight="1" spans="1:5">
      <c r="A428" s="11"/>
      <c r="B428" s="11"/>
      <c r="C428" s="11"/>
      <c r="D428" s="11"/>
      <c r="E428" s="12"/>
    </row>
    <row r="429" customHeight="1" spans="1:5">
      <c r="A429" s="11"/>
      <c r="B429" s="11"/>
      <c r="C429" s="11"/>
      <c r="D429" s="11"/>
      <c r="E429" s="12"/>
    </row>
    <row r="430" customHeight="1" spans="1:5">
      <c r="A430" s="11"/>
      <c r="B430" s="11"/>
      <c r="C430" s="11"/>
      <c r="D430" s="11"/>
      <c r="E430" s="12"/>
    </row>
    <row r="431" customHeight="1" spans="1:5">
      <c r="A431" s="11"/>
      <c r="B431" s="11"/>
      <c r="C431" s="11"/>
      <c r="D431" s="11"/>
      <c r="E431" s="12"/>
    </row>
    <row r="432" customHeight="1" spans="1:5">
      <c r="A432" s="11"/>
      <c r="B432" s="11"/>
      <c r="C432" s="11"/>
      <c r="D432" s="11"/>
      <c r="E432" s="12"/>
    </row>
    <row r="433" customHeight="1" spans="1:5">
      <c r="A433" s="11"/>
      <c r="B433" s="11"/>
      <c r="C433" s="11"/>
      <c r="D433" s="11"/>
      <c r="E433" s="12"/>
    </row>
    <row r="434" customHeight="1" spans="1:5">
      <c r="A434" s="11"/>
      <c r="B434" s="11"/>
      <c r="C434" s="11"/>
      <c r="D434" s="11"/>
      <c r="E434" s="12"/>
    </row>
    <row r="435" customHeight="1" spans="1:5">
      <c r="A435" s="11"/>
      <c r="B435" s="11"/>
      <c r="C435" s="11"/>
      <c r="D435" s="11"/>
      <c r="E435" s="12"/>
    </row>
    <row r="436" customHeight="1" spans="1:5">
      <c r="A436" s="11"/>
      <c r="B436" s="11"/>
      <c r="C436" s="11"/>
      <c r="D436" s="11"/>
      <c r="E436" s="12"/>
    </row>
    <row r="437" customHeight="1" spans="1:5">
      <c r="A437" s="11"/>
      <c r="B437" s="11"/>
      <c r="C437" s="11"/>
      <c r="D437" s="11"/>
      <c r="E437" s="12"/>
    </row>
    <row r="438" customHeight="1" spans="1:5">
      <c r="A438" s="11"/>
      <c r="B438" s="11"/>
      <c r="C438" s="11"/>
      <c r="D438" s="11"/>
      <c r="E438" s="12"/>
    </row>
    <row r="439" customHeight="1" spans="1:5">
      <c r="A439" s="11"/>
      <c r="B439" s="11"/>
      <c r="C439" s="11"/>
      <c r="D439" s="11"/>
      <c r="E439" s="12"/>
    </row>
    <row r="440" customHeight="1" spans="1:5">
      <c r="A440" s="11"/>
      <c r="B440" s="11"/>
      <c r="C440" s="11"/>
      <c r="D440" s="11"/>
      <c r="E440" s="12"/>
    </row>
    <row r="441" customHeight="1" spans="1:5">
      <c r="A441" s="11"/>
      <c r="B441" s="11"/>
      <c r="C441" s="11"/>
      <c r="D441" s="11"/>
      <c r="E441" s="12"/>
    </row>
    <row r="442" customHeight="1" spans="1:5">
      <c r="A442" s="11"/>
      <c r="B442" s="11"/>
      <c r="C442" s="11"/>
      <c r="D442" s="11"/>
      <c r="E442" s="12"/>
    </row>
    <row r="443" customHeight="1" spans="1:5">
      <c r="A443" s="11"/>
      <c r="B443" s="11"/>
      <c r="C443" s="11"/>
      <c r="D443" s="11"/>
      <c r="E443" s="12"/>
    </row>
    <row r="444" customHeight="1" spans="1:5">
      <c r="A444" s="11"/>
      <c r="B444" s="11"/>
      <c r="C444" s="11"/>
      <c r="D444" s="11"/>
      <c r="E444" s="12"/>
    </row>
    <row r="445" customHeight="1" spans="1:5">
      <c r="A445" s="11"/>
      <c r="B445" s="11"/>
      <c r="C445" s="11"/>
      <c r="D445" s="11"/>
      <c r="E445" s="12"/>
    </row>
    <row r="446" customHeight="1" spans="1:5">
      <c r="A446" s="11"/>
      <c r="B446" s="11"/>
      <c r="C446" s="11"/>
      <c r="D446" s="11"/>
      <c r="E446" s="12"/>
    </row>
    <row r="447" customHeight="1" spans="1:5">
      <c r="A447" s="11"/>
      <c r="B447" s="11"/>
      <c r="C447" s="11"/>
      <c r="D447" s="11"/>
      <c r="E447" s="12"/>
    </row>
    <row r="448" customHeight="1" spans="1:5">
      <c r="A448" s="11"/>
      <c r="B448" s="11"/>
      <c r="C448" s="11"/>
      <c r="D448" s="11"/>
      <c r="E448" s="12"/>
    </row>
    <row r="449" customHeight="1" spans="1:5">
      <c r="A449" s="11"/>
      <c r="B449" s="11"/>
      <c r="C449" s="11"/>
      <c r="D449" s="11"/>
      <c r="E449" s="12"/>
    </row>
    <row r="450" customHeight="1" spans="1:5">
      <c r="A450" s="11"/>
      <c r="B450" s="11"/>
      <c r="C450" s="11"/>
      <c r="D450" s="11"/>
      <c r="E450" s="12"/>
    </row>
    <row r="451" customHeight="1" spans="1:5">
      <c r="A451" s="11"/>
      <c r="B451" s="11"/>
      <c r="C451" s="11"/>
      <c r="D451" s="11"/>
      <c r="E451" s="12"/>
    </row>
    <row r="452" customHeight="1" spans="1:5">
      <c r="A452" s="11"/>
      <c r="B452" s="11"/>
      <c r="C452" s="11"/>
      <c r="D452" s="11"/>
      <c r="E452" s="12"/>
    </row>
    <row r="453" customHeight="1" spans="1:5">
      <c r="A453" s="11"/>
      <c r="B453" s="11"/>
      <c r="C453" s="11"/>
      <c r="D453" s="11"/>
      <c r="E453" s="12"/>
    </row>
    <row r="454" customHeight="1" spans="1:5">
      <c r="A454" s="11"/>
      <c r="B454" s="11"/>
      <c r="C454" s="11"/>
      <c r="D454" s="11"/>
      <c r="E454" s="12"/>
    </row>
    <row r="455" customHeight="1" spans="1:5">
      <c r="A455" s="11"/>
      <c r="B455" s="11"/>
      <c r="C455" s="11"/>
      <c r="D455" s="11"/>
      <c r="E455" s="12"/>
    </row>
    <row r="456" customHeight="1" spans="1:5">
      <c r="A456" s="11"/>
      <c r="B456" s="11"/>
      <c r="C456" s="11"/>
      <c r="D456" s="11"/>
      <c r="E456" s="12"/>
    </row>
    <row r="457" customHeight="1" spans="1:5">
      <c r="A457" s="11"/>
      <c r="B457" s="11"/>
      <c r="C457" s="11"/>
      <c r="D457" s="11"/>
      <c r="E457" s="12"/>
    </row>
    <row r="458" customHeight="1" spans="1:5">
      <c r="A458" s="11"/>
      <c r="B458" s="11"/>
      <c r="C458" s="11"/>
      <c r="D458" s="11"/>
      <c r="E458" s="12"/>
    </row>
    <row r="459" customHeight="1" spans="1:5">
      <c r="A459" s="11"/>
      <c r="B459" s="11"/>
      <c r="C459" s="11"/>
      <c r="D459" s="11"/>
      <c r="E459" s="12"/>
    </row>
    <row r="460" customHeight="1" spans="1:5">
      <c r="A460" s="11"/>
      <c r="B460" s="11"/>
      <c r="C460" s="11"/>
      <c r="D460" s="11"/>
      <c r="E460" s="12"/>
    </row>
    <row r="461" customHeight="1" spans="1:5">
      <c r="A461" s="11"/>
      <c r="B461" s="11"/>
      <c r="C461" s="11"/>
      <c r="D461" s="11"/>
      <c r="E461" s="12"/>
    </row>
    <row r="462" customHeight="1" spans="1:5">
      <c r="A462" s="11"/>
      <c r="B462" s="11"/>
      <c r="C462" s="11"/>
      <c r="D462" s="11"/>
      <c r="E462" s="12"/>
    </row>
    <row r="463" customHeight="1" spans="1:5">
      <c r="A463" s="11"/>
      <c r="B463" s="11"/>
      <c r="C463" s="11"/>
      <c r="D463" s="11"/>
      <c r="E463" s="12"/>
    </row>
    <row r="464" customHeight="1" spans="1:5">
      <c r="A464" s="11"/>
      <c r="B464" s="11"/>
      <c r="C464" s="11"/>
      <c r="D464" s="11"/>
      <c r="E464" s="12"/>
    </row>
    <row r="465" customHeight="1" spans="1:5">
      <c r="A465" s="11"/>
      <c r="B465" s="11"/>
      <c r="C465" s="11"/>
      <c r="D465" s="11"/>
      <c r="E465" s="12"/>
    </row>
    <row r="466" customHeight="1" spans="1:5">
      <c r="A466" s="11"/>
      <c r="B466" s="11"/>
      <c r="C466" s="11"/>
      <c r="D466" s="11"/>
      <c r="E466" s="12"/>
    </row>
    <row r="467" customHeight="1" spans="1:5">
      <c r="A467" s="11"/>
      <c r="B467" s="11"/>
      <c r="C467" s="11"/>
      <c r="D467" s="11"/>
      <c r="E467" s="12"/>
    </row>
    <row r="468" customHeight="1" spans="1:5">
      <c r="A468" s="11"/>
      <c r="B468" s="11"/>
      <c r="C468" s="11"/>
      <c r="D468" s="11"/>
      <c r="E468" s="12"/>
    </row>
    <row r="469" customHeight="1" spans="1:5">
      <c r="A469" s="11"/>
      <c r="B469" s="11"/>
      <c r="C469" s="11"/>
      <c r="D469" s="11"/>
      <c r="E469" s="12"/>
    </row>
    <row r="470" customHeight="1" spans="1:5">
      <c r="A470" s="11"/>
      <c r="B470" s="11"/>
      <c r="C470" s="11"/>
      <c r="D470" s="11"/>
      <c r="E470" s="12"/>
    </row>
    <row r="471" customHeight="1" spans="1:5">
      <c r="A471" s="11"/>
      <c r="B471" s="11"/>
      <c r="C471" s="11"/>
      <c r="D471" s="11"/>
      <c r="E471" s="12"/>
    </row>
    <row r="472" customHeight="1" spans="1:5">
      <c r="A472" s="11"/>
      <c r="B472" s="11"/>
      <c r="C472" s="11"/>
      <c r="D472" s="11"/>
      <c r="E472" s="12"/>
    </row>
    <row r="473" customHeight="1" spans="1:5">
      <c r="A473" s="11"/>
      <c r="B473" s="11"/>
      <c r="C473" s="11"/>
      <c r="D473" s="11"/>
      <c r="E473" s="12"/>
    </row>
    <row r="474" customHeight="1" spans="1:5">
      <c r="A474" s="11"/>
      <c r="B474" s="11"/>
      <c r="C474" s="11"/>
      <c r="D474" s="11"/>
      <c r="E474" s="12"/>
    </row>
    <row r="475" customHeight="1" spans="1:5">
      <c r="A475" s="11"/>
      <c r="B475" s="11"/>
      <c r="C475" s="11"/>
      <c r="D475" s="11"/>
      <c r="E475" s="12"/>
    </row>
    <row r="476" customHeight="1" spans="1:5">
      <c r="A476" s="11"/>
      <c r="B476" s="11"/>
      <c r="C476" s="11"/>
      <c r="D476" s="11"/>
      <c r="E476" s="12"/>
    </row>
    <row r="477" customHeight="1" spans="1:5">
      <c r="A477" s="11"/>
      <c r="B477" s="11"/>
      <c r="C477" s="11"/>
      <c r="D477" s="11"/>
      <c r="E477" s="12"/>
    </row>
    <row r="478" customHeight="1" spans="1:5">
      <c r="A478" s="11"/>
      <c r="B478" s="11"/>
      <c r="C478" s="11"/>
      <c r="D478" s="11"/>
      <c r="E478" s="12"/>
    </row>
    <row r="479" customHeight="1" spans="1:5">
      <c r="A479" s="11"/>
      <c r="B479" s="11"/>
      <c r="C479" s="11"/>
      <c r="D479" s="11"/>
      <c r="E479" s="12"/>
    </row>
    <row r="480" customHeight="1" spans="1:5">
      <c r="A480" s="11"/>
      <c r="B480" s="11"/>
      <c r="C480" s="11"/>
      <c r="D480" s="11"/>
      <c r="E480" s="12"/>
    </row>
    <row r="481" customHeight="1" spans="1:5">
      <c r="A481" s="11"/>
      <c r="B481" s="11"/>
      <c r="C481" s="11"/>
      <c r="D481" s="11"/>
      <c r="E481" s="12"/>
    </row>
    <row r="482" customHeight="1" spans="1:5">
      <c r="A482" s="11"/>
      <c r="B482" s="11"/>
      <c r="C482" s="11"/>
      <c r="D482" s="11"/>
      <c r="E482" s="12"/>
    </row>
    <row r="483" customHeight="1" spans="1:5">
      <c r="A483" s="11"/>
      <c r="B483" s="11"/>
      <c r="C483" s="11"/>
      <c r="D483" s="11"/>
      <c r="E483" s="12"/>
    </row>
    <row r="484" customHeight="1" spans="1:5">
      <c r="A484" s="11"/>
      <c r="B484" s="11"/>
      <c r="C484" s="11"/>
      <c r="D484" s="11"/>
      <c r="E484" s="12"/>
    </row>
    <row r="485" customHeight="1" spans="1:5">
      <c r="A485" s="11"/>
      <c r="B485" s="11"/>
      <c r="C485" s="11"/>
      <c r="D485" s="11"/>
      <c r="E485" s="12"/>
    </row>
    <row r="486" customHeight="1" spans="1:5">
      <c r="A486" s="11"/>
      <c r="B486" s="11"/>
      <c r="C486" s="11"/>
      <c r="D486" s="11"/>
      <c r="E486" s="12"/>
    </row>
    <row r="487" customHeight="1" spans="1:5">
      <c r="A487" s="11"/>
      <c r="B487" s="11"/>
      <c r="C487" s="11"/>
      <c r="D487" s="11"/>
      <c r="E487" s="12"/>
    </row>
    <row r="488" customHeight="1" spans="1:5">
      <c r="A488" s="11"/>
      <c r="B488" s="11"/>
      <c r="C488" s="11"/>
      <c r="D488" s="11"/>
      <c r="E488" s="12"/>
    </row>
    <row r="489" customHeight="1" spans="1:5">
      <c r="A489" s="11"/>
      <c r="B489" s="11"/>
      <c r="C489" s="11"/>
      <c r="D489" s="11"/>
      <c r="E489" s="12"/>
    </row>
    <row r="490" customHeight="1" spans="1:5">
      <c r="A490" s="11"/>
      <c r="B490" s="11"/>
      <c r="C490" s="11"/>
      <c r="D490" s="11"/>
      <c r="E490" s="12"/>
    </row>
    <row r="491" customHeight="1" spans="1:5">
      <c r="A491" s="11"/>
      <c r="B491" s="11"/>
      <c r="C491" s="11"/>
      <c r="D491" s="11"/>
      <c r="E491" s="12"/>
    </row>
    <row r="492" customHeight="1" spans="1:5">
      <c r="A492" s="11"/>
      <c r="B492" s="11"/>
      <c r="C492" s="11"/>
      <c r="D492" s="11"/>
      <c r="E492" s="12"/>
    </row>
    <row r="493" customHeight="1" spans="1:5">
      <c r="A493" s="11"/>
      <c r="B493" s="11"/>
      <c r="C493" s="11"/>
      <c r="D493" s="11"/>
      <c r="E493" s="12"/>
    </row>
    <row r="494" customHeight="1" spans="1:5">
      <c r="A494" s="11"/>
      <c r="B494" s="11"/>
      <c r="C494" s="11"/>
      <c r="D494" s="11"/>
      <c r="E494" s="12"/>
    </row>
    <row r="495" customHeight="1" spans="1:5">
      <c r="A495" s="11"/>
      <c r="B495" s="11"/>
      <c r="C495" s="11"/>
      <c r="D495" s="11"/>
      <c r="E495" s="12"/>
    </row>
    <row r="496" customHeight="1" spans="1:5">
      <c r="A496" s="11"/>
      <c r="B496" s="11"/>
      <c r="C496" s="11"/>
      <c r="D496" s="11"/>
      <c r="E496" s="12"/>
    </row>
    <row r="497" customHeight="1" spans="1:5">
      <c r="A497" s="11"/>
      <c r="B497" s="11"/>
      <c r="C497" s="11"/>
      <c r="D497" s="11"/>
      <c r="E497" s="12"/>
    </row>
    <row r="498" customHeight="1" spans="1:5">
      <c r="A498" s="11"/>
      <c r="B498" s="11"/>
      <c r="C498" s="11"/>
      <c r="D498" s="11"/>
      <c r="E498" s="12"/>
    </row>
    <row r="499" customHeight="1" spans="1:5">
      <c r="A499" s="11"/>
      <c r="B499" s="11"/>
      <c r="C499" s="11"/>
      <c r="D499" s="11"/>
      <c r="E499" s="12"/>
    </row>
    <row r="500" customHeight="1" spans="1:5">
      <c r="A500" s="11"/>
      <c r="B500" s="11"/>
      <c r="C500" s="11"/>
      <c r="D500" s="11"/>
      <c r="E500" s="12"/>
    </row>
    <row r="501" customHeight="1" spans="1:5">
      <c r="A501" s="11"/>
      <c r="B501" s="11"/>
      <c r="C501" s="11"/>
      <c r="D501" s="11"/>
      <c r="E501" s="12"/>
    </row>
    <row r="502" customHeight="1" spans="1:5">
      <c r="A502" s="11"/>
      <c r="B502" s="11"/>
      <c r="C502" s="11"/>
      <c r="D502" s="11"/>
      <c r="E502" s="12"/>
    </row>
    <row r="503" customHeight="1" spans="1:5">
      <c r="A503" s="11"/>
      <c r="B503" s="11"/>
      <c r="C503" s="11"/>
      <c r="D503" s="11"/>
      <c r="E503" s="12"/>
    </row>
    <row r="504" customHeight="1" spans="1:5">
      <c r="A504" s="11"/>
      <c r="B504" s="11"/>
      <c r="C504" s="11"/>
      <c r="D504" s="11"/>
      <c r="E504" s="12"/>
    </row>
    <row r="505" customHeight="1" spans="1:5">
      <c r="A505" s="11"/>
      <c r="B505" s="11"/>
      <c r="C505" s="11"/>
      <c r="D505" s="11"/>
      <c r="E505" s="12"/>
    </row>
    <row r="506" customHeight="1" spans="1:5">
      <c r="A506" s="11"/>
      <c r="B506" s="11"/>
      <c r="C506" s="11"/>
      <c r="D506" s="11"/>
      <c r="E506" s="12"/>
    </row>
    <row r="507" customHeight="1" spans="1:5">
      <c r="A507" s="11"/>
      <c r="B507" s="11"/>
      <c r="C507" s="11"/>
      <c r="D507" s="11"/>
      <c r="E507" s="12"/>
    </row>
    <row r="508" customHeight="1" spans="1:5">
      <c r="A508" s="11"/>
      <c r="B508" s="11"/>
      <c r="C508" s="11"/>
      <c r="D508" s="11"/>
      <c r="E508" s="12"/>
    </row>
    <row r="509" customHeight="1" spans="1:5">
      <c r="A509" s="11"/>
      <c r="B509" s="11"/>
      <c r="C509" s="11"/>
      <c r="D509" s="11"/>
      <c r="E509" s="12"/>
    </row>
    <row r="510" customHeight="1" spans="1:5">
      <c r="A510" s="11"/>
      <c r="B510" s="11"/>
      <c r="C510" s="11"/>
      <c r="D510" s="11"/>
      <c r="E510" s="12"/>
    </row>
    <row r="511" customHeight="1" spans="1:5">
      <c r="A511" s="11"/>
      <c r="B511" s="11"/>
      <c r="C511" s="11"/>
      <c r="D511" s="11"/>
      <c r="E511" s="12"/>
    </row>
    <row r="512" customHeight="1" spans="1:5">
      <c r="A512" s="11"/>
      <c r="B512" s="11"/>
      <c r="C512" s="11"/>
      <c r="D512" s="11"/>
      <c r="E512" s="12"/>
    </row>
    <row r="513" customHeight="1" spans="1:5">
      <c r="A513" s="11"/>
      <c r="B513" s="11"/>
      <c r="C513" s="11"/>
      <c r="D513" s="11"/>
      <c r="E513" s="12"/>
    </row>
    <row r="514" customHeight="1" spans="1:5">
      <c r="A514" s="11"/>
      <c r="B514" s="11"/>
      <c r="C514" s="11"/>
      <c r="D514" s="11"/>
      <c r="E514" s="12"/>
    </row>
    <row r="515" customHeight="1" spans="1:5">
      <c r="A515" s="11"/>
      <c r="B515" s="11"/>
      <c r="C515" s="11"/>
      <c r="D515" s="11"/>
      <c r="E515" s="12"/>
    </row>
    <row r="516" customHeight="1" spans="1:5">
      <c r="A516" s="11"/>
      <c r="B516" s="11"/>
      <c r="C516" s="11"/>
      <c r="D516" s="11"/>
      <c r="E516" s="12"/>
    </row>
    <row r="517" customHeight="1" spans="1:5">
      <c r="A517" s="11"/>
      <c r="B517" s="11"/>
      <c r="C517" s="11"/>
      <c r="D517" s="11"/>
      <c r="E517" s="12"/>
    </row>
    <row r="518" customHeight="1" spans="1:5">
      <c r="A518" s="11"/>
      <c r="B518" s="11"/>
      <c r="C518" s="11"/>
      <c r="D518" s="11"/>
      <c r="E518" s="12"/>
    </row>
    <row r="519" customHeight="1" spans="1:5">
      <c r="A519" s="11"/>
      <c r="B519" s="11"/>
      <c r="C519" s="11"/>
      <c r="D519" s="11"/>
      <c r="E519" s="12"/>
    </row>
    <row r="520" customHeight="1" spans="1:5">
      <c r="A520" s="11"/>
      <c r="B520" s="11"/>
      <c r="C520" s="11"/>
      <c r="D520" s="11"/>
      <c r="E520" s="12"/>
    </row>
    <row r="521" customHeight="1" spans="1:5">
      <c r="A521" s="11"/>
      <c r="B521" s="11"/>
      <c r="C521" s="11"/>
      <c r="D521" s="11"/>
      <c r="E521" s="12"/>
    </row>
    <row r="522" customHeight="1" spans="1:5">
      <c r="A522" s="11"/>
      <c r="B522" s="11"/>
      <c r="C522" s="11"/>
      <c r="D522" s="11"/>
      <c r="E522" s="12"/>
    </row>
    <row r="523" customHeight="1" spans="1:5">
      <c r="A523" s="11"/>
      <c r="B523" s="11"/>
      <c r="C523" s="11"/>
      <c r="D523" s="11"/>
      <c r="E523" s="12"/>
    </row>
    <row r="524" customHeight="1" spans="1:5">
      <c r="A524" s="11"/>
      <c r="B524" s="11"/>
      <c r="C524" s="11"/>
      <c r="D524" s="11"/>
      <c r="E524" s="12"/>
    </row>
    <row r="525" customHeight="1" spans="1:5">
      <c r="A525" s="11"/>
      <c r="B525" s="11"/>
      <c r="C525" s="11"/>
      <c r="D525" s="11"/>
      <c r="E525" s="12"/>
    </row>
    <row r="526" customHeight="1" spans="1:5">
      <c r="A526" s="11"/>
      <c r="B526" s="11"/>
      <c r="C526" s="11"/>
      <c r="D526" s="11"/>
      <c r="E526" s="12"/>
    </row>
    <row r="527" customHeight="1" spans="1:5">
      <c r="A527" s="11"/>
      <c r="B527" s="11"/>
      <c r="C527" s="11"/>
      <c r="D527" s="11"/>
      <c r="E527" s="12"/>
    </row>
    <row r="528" customHeight="1" spans="1:5">
      <c r="A528" s="11"/>
      <c r="B528" s="11"/>
      <c r="C528" s="11"/>
      <c r="D528" s="11"/>
      <c r="E528" s="12"/>
    </row>
    <row r="529" customHeight="1" spans="1:5">
      <c r="A529" s="11"/>
      <c r="B529" s="11"/>
      <c r="C529" s="11"/>
      <c r="D529" s="11"/>
      <c r="E529" s="12"/>
    </row>
    <row r="530" customHeight="1" spans="1:5">
      <c r="A530" s="11"/>
      <c r="B530" s="11"/>
      <c r="C530" s="11"/>
      <c r="D530" s="11"/>
      <c r="E530" s="12"/>
    </row>
    <row r="531" customHeight="1" spans="1:5">
      <c r="A531" s="11"/>
      <c r="B531" s="11"/>
      <c r="C531" s="11"/>
      <c r="D531" s="11"/>
      <c r="E531" s="12"/>
    </row>
    <row r="532" customHeight="1" spans="1:5">
      <c r="A532" s="11"/>
      <c r="B532" s="11"/>
      <c r="C532" s="11"/>
      <c r="D532" s="11"/>
      <c r="E532" s="12"/>
    </row>
    <row r="533" customHeight="1" spans="1:5">
      <c r="A533" s="11"/>
      <c r="B533" s="11"/>
      <c r="C533" s="11"/>
      <c r="D533" s="11"/>
      <c r="E533" s="12"/>
    </row>
    <row r="534" customHeight="1" spans="1:5">
      <c r="A534" s="11"/>
      <c r="B534" s="11"/>
      <c r="C534" s="11"/>
      <c r="D534" s="11"/>
      <c r="E534" s="12"/>
    </row>
    <row r="535" customHeight="1" spans="1:5">
      <c r="A535" s="11"/>
      <c r="B535" s="11"/>
      <c r="C535" s="11"/>
      <c r="D535" s="11"/>
      <c r="E535" s="12"/>
    </row>
    <row r="536" customHeight="1" spans="1:5">
      <c r="A536" s="11"/>
      <c r="B536" s="11"/>
      <c r="C536" s="11"/>
      <c r="D536" s="11"/>
      <c r="E536" s="12"/>
    </row>
    <row r="537" customHeight="1" spans="1:5">
      <c r="A537" s="11"/>
      <c r="B537" s="11"/>
      <c r="C537" s="11"/>
      <c r="D537" s="11"/>
      <c r="E537" s="12"/>
    </row>
    <row r="538" customHeight="1" spans="1:5">
      <c r="A538" s="11"/>
      <c r="B538" s="11"/>
      <c r="C538" s="11"/>
      <c r="D538" s="11"/>
      <c r="E538" s="12"/>
    </row>
    <row r="539" customHeight="1" spans="1:5">
      <c r="A539" s="11"/>
      <c r="B539" s="11"/>
      <c r="C539" s="11"/>
      <c r="D539" s="11"/>
      <c r="E539" s="12"/>
    </row>
    <row r="540" customHeight="1" spans="1:5">
      <c r="A540" s="11"/>
      <c r="B540" s="11"/>
      <c r="C540" s="11"/>
      <c r="D540" s="11"/>
      <c r="E540" s="12"/>
    </row>
    <row r="541" customHeight="1" spans="1:5">
      <c r="A541" s="11"/>
      <c r="B541" s="11"/>
      <c r="C541" s="11"/>
      <c r="D541" s="11"/>
      <c r="E541" s="12"/>
    </row>
    <row r="542" customHeight="1" spans="1:5">
      <c r="A542" s="11"/>
      <c r="B542" s="11"/>
      <c r="C542" s="11"/>
      <c r="D542" s="11"/>
      <c r="E542" s="12"/>
    </row>
    <row r="543" customHeight="1" spans="1:5">
      <c r="A543" s="11"/>
      <c r="B543" s="11"/>
      <c r="C543" s="11"/>
      <c r="D543" s="11"/>
      <c r="E543" s="12"/>
    </row>
    <row r="544" customHeight="1" spans="1:5">
      <c r="A544" s="11"/>
      <c r="B544" s="11"/>
      <c r="C544" s="11"/>
      <c r="D544" s="11"/>
      <c r="E544" s="12"/>
    </row>
    <row r="545" customHeight="1" spans="1:5">
      <c r="A545" s="11"/>
      <c r="B545" s="11"/>
      <c r="C545" s="11"/>
      <c r="D545" s="11"/>
      <c r="E545" s="12"/>
    </row>
    <row r="546" customHeight="1" spans="1:5">
      <c r="A546" s="11"/>
      <c r="B546" s="11"/>
      <c r="C546" s="11"/>
      <c r="D546" s="11"/>
      <c r="E546" s="12"/>
    </row>
    <row r="547" customHeight="1" spans="1:5">
      <c r="A547" s="11"/>
      <c r="B547" s="11"/>
      <c r="C547" s="11"/>
      <c r="D547" s="11"/>
      <c r="E547" s="12"/>
    </row>
    <row r="548" customHeight="1" spans="1:5">
      <c r="A548" s="11"/>
      <c r="B548" s="11"/>
      <c r="C548" s="11"/>
      <c r="D548" s="11"/>
      <c r="E548" s="12"/>
    </row>
    <row r="549" customHeight="1" spans="1:5">
      <c r="A549" s="11"/>
      <c r="B549" s="11"/>
      <c r="C549" s="11"/>
      <c r="D549" s="11"/>
      <c r="E549" s="12"/>
    </row>
    <row r="550" customHeight="1" spans="1:5">
      <c r="A550" s="11"/>
      <c r="B550" s="11"/>
      <c r="C550" s="11"/>
      <c r="D550" s="11"/>
      <c r="E550" s="12"/>
    </row>
    <row r="551" customHeight="1" spans="1:5">
      <c r="A551" s="11"/>
      <c r="B551" s="11"/>
      <c r="C551" s="11"/>
      <c r="D551" s="11"/>
      <c r="E551" s="12"/>
    </row>
    <row r="552" customHeight="1" spans="1:5">
      <c r="A552" s="11"/>
      <c r="B552" s="11"/>
      <c r="C552" s="11"/>
      <c r="D552" s="11"/>
      <c r="E552" s="12"/>
    </row>
    <row r="553" customHeight="1" spans="1:5">
      <c r="A553" s="11"/>
      <c r="B553" s="11"/>
      <c r="C553" s="11"/>
      <c r="D553" s="11"/>
      <c r="E553" s="12"/>
    </row>
    <row r="554" customHeight="1" spans="1:5">
      <c r="A554" s="11"/>
      <c r="B554" s="11"/>
      <c r="C554" s="11"/>
      <c r="D554" s="11"/>
      <c r="E554" s="12"/>
    </row>
    <row r="555" customHeight="1" spans="1:5">
      <c r="A555" s="11"/>
      <c r="B555" s="11"/>
      <c r="C555" s="11"/>
      <c r="D555" s="11"/>
      <c r="E555" s="12"/>
    </row>
    <row r="556" customHeight="1" spans="1:5">
      <c r="A556" s="11"/>
      <c r="B556" s="11"/>
      <c r="C556" s="11"/>
      <c r="D556" s="11"/>
      <c r="E556" s="12"/>
    </row>
    <row r="557" customHeight="1" spans="1:5">
      <c r="A557" s="11"/>
      <c r="B557" s="11"/>
      <c r="C557" s="11"/>
      <c r="D557" s="11"/>
      <c r="E557" s="12"/>
    </row>
    <row r="558" customHeight="1" spans="1:5">
      <c r="A558" s="11"/>
      <c r="B558" s="11"/>
      <c r="C558" s="11"/>
      <c r="D558" s="11"/>
      <c r="E558" s="12"/>
    </row>
    <row r="559" customHeight="1" spans="1:5">
      <c r="A559" s="11"/>
      <c r="B559" s="11"/>
      <c r="C559" s="11"/>
      <c r="D559" s="11"/>
      <c r="E559" s="12"/>
    </row>
    <row r="560" customHeight="1" spans="1:5">
      <c r="A560" s="11"/>
      <c r="B560" s="11"/>
      <c r="C560" s="11"/>
      <c r="D560" s="11"/>
      <c r="E560" s="12"/>
    </row>
    <row r="561" customHeight="1" spans="1:5">
      <c r="A561" s="11"/>
      <c r="B561" s="11"/>
      <c r="C561" s="11"/>
      <c r="D561" s="11"/>
      <c r="E561" s="12"/>
    </row>
    <row r="562" customHeight="1" spans="1:5">
      <c r="A562" s="11"/>
      <c r="B562" s="11"/>
      <c r="C562" s="11"/>
      <c r="D562" s="11"/>
      <c r="E562" s="12"/>
    </row>
    <row r="563" customHeight="1" spans="1:5">
      <c r="A563" s="11"/>
      <c r="B563" s="11"/>
      <c r="C563" s="11"/>
      <c r="D563" s="11"/>
      <c r="E563" s="12"/>
    </row>
    <row r="564" customHeight="1" spans="1:5">
      <c r="A564" s="11"/>
      <c r="B564" s="11"/>
      <c r="C564" s="11"/>
      <c r="D564" s="11"/>
      <c r="E564" s="12"/>
    </row>
    <row r="565" customHeight="1" spans="1:5">
      <c r="A565" s="11"/>
      <c r="B565" s="11"/>
      <c r="C565" s="11"/>
      <c r="D565" s="11"/>
      <c r="E565" s="12"/>
    </row>
    <row r="566" customHeight="1" spans="1:5">
      <c r="A566" s="11"/>
      <c r="B566" s="11"/>
      <c r="C566" s="11"/>
      <c r="D566" s="11"/>
      <c r="E566" s="12"/>
    </row>
    <row r="567" customHeight="1" spans="1:5">
      <c r="A567" s="11"/>
      <c r="B567" s="11"/>
      <c r="C567" s="11"/>
      <c r="D567" s="11"/>
      <c r="E567" s="12"/>
    </row>
    <row r="568" customHeight="1" spans="1:5">
      <c r="A568" s="11"/>
      <c r="B568" s="11"/>
      <c r="C568" s="11"/>
      <c r="D568" s="11"/>
      <c r="E568" s="12"/>
    </row>
    <row r="569" customHeight="1" spans="1:5">
      <c r="A569" s="11"/>
      <c r="B569" s="11"/>
      <c r="C569" s="11"/>
      <c r="D569" s="11"/>
      <c r="E569" s="12"/>
    </row>
    <row r="570" customHeight="1" spans="1:5">
      <c r="A570" s="11"/>
      <c r="B570" s="11"/>
      <c r="C570" s="11"/>
      <c r="D570" s="11"/>
      <c r="E570" s="12"/>
    </row>
    <row r="571" customHeight="1" spans="1:5">
      <c r="A571" s="11"/>
      <c r="B571" s="11"/>
      <c r="C571" s="11"/>
      <c r="D571" s="11"/>
      <c r="E571" s="12"/>
    </row>
    <row r="572" customHeight="1" spans="1:5">
      <c r="A572" s="11"/>
      <c r="B572" s="11"/>
      <c r="C572" s="11"/>
      <c r="D572" s="11"/>
      <c r="E572" s="12"/>
    </row>
    <row r="573" customHeight="1" spans="1:5">
      <c r="A573" s="11"/>
      <c r="B573" s="11"/>
      <c r="C573" s="11"/>
      <c r="D573" s="11"/>
      <c r="E573" s="12"/>
    </row>
    <row r="574" customHeight="1" spans="1:5">
      <c r="A574" s="11"/>
      <c r="B574" s="11"/>
      <c r="C574" s="11"/>
      <c r="D574" s="11"/>
      <c r="E574" s="12"/>
    </row>
    <row r="575" customHeight="1" spans="1:5">
      <c r="A575" s="11"/>
      <c r="B575" s="11"/>
      <c r="C575" s="11"/>
      <c r="D575" s="11"/>
      <c r="E575" s="12"/>
    </row>
    <row r="576" customHeight="1" spans="1:5">
      <c r="A576" s="11"/>
      <c r="B576" s="11"/>
      <c r="C576" s="11"/>
      <c r="D576" s="11"/>
      <c r="E576" s="12"/>
    </row>
    <row r="577" customHeight="1" spans="1:5">
      <c r="A577" s="11"/>
      <c r="B577" s="11"/>
      <c r="C577" s="11"/>
      <c r="D577" s="11"/>
      <c r="E577" s="12"/>
    </row>
    <row r="578" customHeight="1" spans="1:5">
      <c r="A578" s="11"/>
      <c r="B578" s="11"/>
      <c r="C578" s="11"/>
      <c r="D578" s="11"/>
      <c r="E578" s="12"/>
    </row>
    <row r="579" customHeight="1" spans="1:5">
      <c r="A579" s="11"/>
      <c r="B579" s="11"/>
      <c r="C579" s="11"/>
      <c r="D579" s="11"/>
      <c r="E579" s="12"/>
    </row>
    <row r="580" customHeight="1" spans="1:5">
      <c r="A580" s="11"/>
      <c r="B580" s="11"/>
      <c r="C580" s="11"/>
      <c r="D580" s="11"/>
      <c r="E580" s="12"/>
    </row>
    <row r="581" customHeight="1" spans="1:5">
      <c r="A581" s="11"/>
      <c r="B581" s="11"/>
      <c r="C581" s="11"/>
      <c r="D581" s="11"/>
      <c r="E581" s="12"/>
    </row>
    <row r="582" customHeight="1" spans="1:5">
      <c r="A582" s="11"/>
      <c r="B582" s="11"/>
      <c r="C582" s="11"/>
      <c r="D582" s="11"/>
      <c r="E582" s="12"/>
    </row>
    <row r="583" customHeight="1" spans="1:5">
      <c r="A583" s="11"/>
      <c r="B583" s="11"/>
      <c r="C583" s="11"/>
      <c r="D583" s="11"/>
      <c r="E583" s="12"/>
    </row>
    <row r="584" customHeight="1" spans="1:5">
      <c r="A584" s="11"/>
      <c r="B584" s="11"/>
      <c r="C584" s="11"/>
      <c r="D584" s="11"/>
      <c r="E584" s="12"/>
    </row>
    <row r="585" customHeight="1" spans="1:5">
      <c r="A585" s="11"/>
      <c r="B585" s="11"/>
      <c r="C585" s="11"/>
      <c r="D585" s="11"/>
      <c r="E585" s="12"/>
    </row>
    <row r="586" customHeight="1" spans="1:5">
      <c r="A586" s="11"/>
      <c r="B586" s="11"/>
      <c r="C586" s="11"/>
      <c r="D586" s="11"/>
      <c r="E586" s="12"/>
    </row>
    <row r="587" customHeight="1" spans="1:5">
      <c r="A587" s="11"/>
      <c r="B587" s="11"/>
      <c r="C587" s="11"/>
      <c r="D587" s="11"/>
      <c r="E587" s="12"/>
    </row>
    <row r="588" customHeight="1" spans="1:5">
      <c r="A588" s="11"/>
      <c r="B588" s="11"/>
      <c r="C588" s="11"/>
      <c r="D588" s="11"/>
      <c r="E588" s="12"/>
    </row>
    <row r="589" customHeight="1" spans="1:5">
      <c r="A589" s="11"/>
      <c r="B589" s="11"/>
      <c r="C589" s="11"/>
      <c r="D589" s="11"/>
      <c r="E589" s="12"/>
    </row>
    <row r="590" customHeight="1" spans="1:5">
      <c r="A590" s="11"/>
      <c r="B590" s="11"/>
      <c r="C590" s="11"/>
      <c r="D590" s="11"/>
      <c r="E590" s="12"/>
    </row>
    <row r="591" customHeight="1" spans="1:5">
      <c r="A591" s="11"/>
      <c r="B591" s="11"/>
      <c r="C591" s="11"/>
      <c r="D591" s="11"/>
      <c r="E591" s="12"/>
    </row>
    <row r="592" customHeight="1" spans="1:5">
      <c r="A592" s="11"/>
      <c r="B592" s="11"/>
      <c r="C592" s="11"/>
      <c r="D592" s="11"/>
      <c r="E592" s="12"/>
    </row>
    <row r="593" customHeight="1" spans="1:5">
      <c r="A593" s="11"/>
      <c r="B593" s="11"/>
      <c r="C593" s="11"/>
      <c r="D593" s="11"/>
      <c r="E593" s="12"/>
    </row>
    <row r="594" customHeight="1" spans="1:5">
      <c r="A594" s="11"/>
      <c r="B594" s="11"/>
      <c r="C594" s="11"/>
      <c r="D594" s="11"/>
      <c r="E594" s="12"/>
    </row>
    <row r="595" customHeight="1" spans="1:5">
      <c r="A595" s="11"/>
      <c r="B595" s="11"/>
      <c r="C595" s="11"/>
      <c r="D595" s="11"/>
      <c r="E595" s="12"/>
    </row>
    <row r="596" customHeight="1" spans="1:5">
      <c r="A596" s="11"/>
      <c r="B596" s="11"/>
      <c r="C596" s="11"/>
      <c r="D596" s="11"/>
      <c r="E596" s="12"/>
    </row>
    <row r="597" customHeight="1" spans="1:5">
      <c r="A597" s="11"/>
      <c r="B597" s="11"/>
      <c r="C597" s="11"/>
      <c r="D597" s="11"/>
      <c r="E597" s="12"/>
    </row>
    <row r="598" customHeight="1" spans="1:5">
      <c r="A598" s="11"/>
      <c r="B598" s="11"/>
      <c r="C598" s="11"/>
      <c r="D598" s="11"/>
      <c r="E598" s="12"/>
    </row>
    <row r="599" customHeight="1" spans="1:5">
      <c r="A599" s="11"/>
      <c r="B599" s="11"/>
      <c r="C599" s="11"/>
      <c r="D599" s="11"/>
      <c r="E599" s="12"/>
    </row>
    <row r="600" customHeight="1" spans="1:5">
      <c r="A600" s="11"/>
      <c r="B600" s="11"/>
      <c r="C600" s="11"/>
      <c r="D600" s="11"/>
      <c r="E600" s="12"/>
    </row>
    <row r="601" customHeight="1" spans="1:5">
      <c r="A601" s="11"/>
      <c r="B601" s="11"/>
      <c r="C601" s="11"/>
      <c r="D601" s="11"/>
      <c r="E601" s="12"/>
    </row>
    <row r="602" customHeight="1" spans="1:5">
      <c r="A602" s="11"/>
      <c r="B602" s="11"/>
      <c r="C602" s="11"/>
      <c r="D602" s="11"/>
      <c r="E602" s="12"/>
    </row>
    <row r="603" customHeight="1" spans="1:5">
      <c r="A603" s="11"/>
      <c r="B603" s="11"/>
      <c r="C603" s="11"/>
      <c r="D603" s="11"/>
      <c r="E603" s="12"/>
    </row>
    <row r="604" customHeight="1" spans="1:5">
      <c r="A604" s="11"/>
      <c r="B604" s="11"/>
      <c r="C604" s="11"/>
      <c r="D604" s="11"/>
      <c r="E604" s="12"/>
    </row>
    <row r="605" customHeight="1" spans="1:5">
      <c r="A605" s="11"/>
      <c r="B605" s="11"/>
      <c r="C605" s="11"/>
      <c r="D605" s="11"/>
      <c r="E605" s="12"/>
    </row>
    <row r="606" customHeight="1" spans="1:5">
      <c r="A606" s="11"/>
      <c r="B606" s="11"/>
      <c r="C606" s="11"/>
      <c r="D606" s="11"/>
      <c r="E606" s="12"/>
    </row>
    <row r="607" customHeight="1" spans="1:5">
      <c r="A607" s="11"/>
      <c r="B607" s="11"/>
      <c r="C607" s="11"/>
      <c r="D607" s="11"/>
      <c r="E607" s="12"/>
    </row>
    <row r="608" customHeight="1" spans="1:5">
      <c r="A608" s="11"/>
      <c r="B608" s="11"/>
      <c r="C608" s="11"/>
      <c r="D608" s="11"/>
      <c r="E608" s="12"/>
    </row>
    <row r="609" customHeight="1" spans="1:5">
      <c r="A609" s="11"/>
      <c r="B609" s="11"/>
      <c r="C609" s="11"/>
      <c r="D609" s="11"/>
      <c r="E609" s="12"/>
    </row>
    <row r="610" customHeight="1" spans="1:5">
      <c r="A610" s="11"/>
      <c r="B610" s="11"/>
      <c r="C610" s="11"/>
      <c r="D610" s="11"/>
      <c r="E610" s="12"/>
    </row>
    <row r="611" customHeight="1" spans="1:5">
      <c r="A611" s="11"/>
      <c r="B611" s="11"/>
      <c r="C611" s="11"/>
      <c r="D611" s="11"/>
      <c r="E611" s="12"/>
    </row>
    <row r="612" customHeight="1" spans="1:5">
      <c r="A612" s="11"/>
      <c r="B612" s="11"/>
      <c r="C612" s="11"/>
      <c r="D612" s="11"/>
      <c r="E612" s="12"/>
    </row>
    <row r="613" customHeight="1" spans="1:5">
      <c r="A613" s="11"/>
      <c r="B613" s="11"/>
      <c r="C613" s="11"/>
      <c r="D613" s="11"/>
      <c r="E613" s="12"/>
    </row>
    <row r="614" customHeight="1" spans="1:5">
      <c r="A614" s="11"/>
      <c r="B614" s="11"/>
      <c r="C614" s="11"/>
      <c r="D614" s="11"/>
      <c r="E614" s="12"/>
    </row>
    <row r="615" customHeight="1" spans="1:5">
      <c r="A615" s="11"/>
      <c r="B615" s="11"/>
      <c r="C615" s="11"/>
      <c r="D615" s="11"/>
      <c r="E615" s="12"/>
    </row>
    <row r="616" customHeight="1" spans="1:5">
      <c r="A616" s="11"/>
      <c r="B616" s="11"/>
      <c r="C616" s="11"/>
      <c r="D616" s="11"/>
      <c r="E616" s="12"/>
    </row>
    <row r="617" customHeight="1" spans="1:5">
      <c r="A617" s="11"/>
      <c r="B617" s="11"/>
      <c r="C617" s="11"/>
      <c r="D617" s="11"/>
      <c r="E617" s="12"/>
    </row>
    <row r="618" customHeight="1" spans="1:5">
      <c r="A618" s="11"/>
      <c r="B618" s="11"/>
      <c r="C618" s="11"/>
      <c r="D618" s="11"/>
      <c r="E618" s="12"/>
    </row>
    <row r="619" customHeight="1" spans="1:5">
      <c r="A619" s="11"/>
      <c r="B619" s="11"/>
      <c r="C619" s="11"/>
      <c r="D619" s="11"/>
      <c r="E619" s="12"/>
    </row>
    <row r="620" customHeight="1" spans="1:5">
      <c r="A620" s="11"/>
      <c r="B620" s="11"/>
      <c r="C620" s="11"/>
      <c r="D620" s="11"/>
      <c r="E620" s="12"/>
    </row>
    <row r="621" customHeight="1" spans="1:5">
      <c r="A621" s="11"/>
      <c r="B621" s="11"/>
      <c r="C621" s="11"/>
      <c r="D621" s="11"/>
      <c r="E621" s="12"/>
    </row>
    <row r="622" customHeight="1" spans="1:5">
      <c r="A622" s="11"/>
      <c r="B622" s="11"/>
      <c r="C622" s="11"/>
      <c r="D622" s="11"/>
      <c r="E622" s="12"/>
    </row>
    <row r="623" customHeight="1" spans="1:5">
      <c r="A623" s="11"/>
      <c r="B623" s="11"/>
      <c r="C623" s="11"/>
      <c r="D623" s="11"/>
      <c r="E623" s="12"/>
    </row>
    <row r="624" customHeight="1" spans="1:5">
      <c r="A624" s="11"/>
      <c r="B624" s="11"/>
      <c r="C624" s="11"/>
      <c r="D624" s="11"/>
      <c r="E624" s="12"/>
    </row>
    <row r="625" customHeight="1" spans="1:5">
      <c r="A625" s="11"/>
      <c r="B625" s="11"/>
      <c r="C625" s="11"/>
      <c r="D625" s="11"/>
      <c r="E625" s="12"/>
    </row>
    <row r="626" customHeight="1" spans="1:5">
      <c r="A626" s="11"/>
      <c r="B626" s="11"/>
      <c r="C626" s="11"/>
      <c r="D626" s="11"/>
      <c r="E626" s="12"/>
    </row>
    <row r="627" customHeight="1" spans="1:5">
      <c r="A627" s="11"/>
      <c r="B627" s="11"/>
      <c r="C627" s="11"/>
      <c r="D627" s="11"/>
      <c r="E627" s="12"/>
    </row>
    <row r="628" customHeight="1" spans="1:5">
      <c r="A628" s="11"/>
      <c r="B628" s="11"/>
      <c r="C628" s="11"/>
      <c r="D628" s="11"/>
      <c r="E628" s="12"/>
    </row>
    <row r="629" customHeight="1" spans="1:5">
      <c r="A629" s="11"/>
      <c r="B629" s="11"/>
      <c r="C629" s="11"/>
      <c r="D629" s="11"/>
      <c r="E629" s="12"/>
    </row>
    <row r="630" customHeight="1" spans="1:5">
      <c r="A630" s="11"/>
      <c r="B630" s="11"/>
      <c r="C630" s="11"/>
      <c r="D630" s="11"/>
      <c r="E630" s="12"/>
    </row>
    <row r="631" customHeight="1" spans="1:5">
      <c r="A631" s="11"/>
      <c r="B631" s="11"/>
      <c r="C631" s="11"/>
      <c r="D631" s="11"/>
      <c r="E631" s="12"/>
    </row>
    <row r="632" customHeight="1" spans="1:5">
      <c r="A632" s="11"/>
      <c r="B632" s="11"/>
      <c r="C632" s="11"/>
      <c r="D632" s="11"/>
      <c r="E632" s="12"/>
    </row>
    <row r="633" customHeight="1" spans="1:5">
      <c r="A633" s="11"/>
      <c r="B633" s="11"/>
      <c r="C633" s="11"/>
      <c r="D633" s="11"/>
      <c r="E633" s="12"/>
    </row>
    <row r="634" customHeight="1" spans="1:5">
      <c r="A634" s="11"/>
      <c r="B634" s="11"/>
      <c r="C634" s="11"/>
      <c r="D634" s="11"/>
      <c r="E634" s="12"/>
    </row>
    <row r="635" customHeight="1" spans="1:5">
      <c r="A635" s="11"/>
      <c r="B635" s="11"/>
      <c r="C635" s="11"/>
      <c r="D635" s="11"/>
      <c r="E635" s="12"/>
    </row>
    <row r="636" customHeight="1" spans="1:5">
      <c r="A636" s="11"/>
      <c r="B636" s="11"/>
      <c r="C636" s="11"/>
      <c r="D636" s="11"/>
      <c r="E636" s="12"/>
    </row>
    <row r="637" customHeight="1" spans="1:5">
      <c r="A637" s="11"/>
      <c r="B637" s="11"/>
      <c r="C637" s="11"/>
      <c r="D637" s="11"/>
      <c r="E637" s="12"/>
    </row>
    <row r="638" customHeight="1" spans="1:5">
      <c r="A638" s="11"/>
      <c r="B638" s="11"/>
      <c r="C638" s="11"/>
      <c r="D638" s="11"/>
      <c r="E638" s="12"/>
    </row>
    <row r="639" customHeight="1" spans="1:5">
      <c r="A639" s="11"/>
      <c r="B639" s="11"/>
      <c r="C639" s="11"/>
      <c r="D639" s="11"/>
      <c r="E639" s="12"/>
    </row>
    <row r="640" customHeight="1" spans="1:5">
      <c r="A640" s="11"/>
      <c r="B640" s="11"/>
      <c r="C640" s="11"/>
      <c r="D640" s="11"/>
      <c r="E640" s="12"/>
    </row>
    <row r="641" customHeight="1" spans="1:5">
      <c r="A641" s="11"/>
      <c r="B641" s="11"/>
      <c r="C641" s="11"/>
      <c r="D641" s="11"/>
      <c r="E641" s="12"/>
    </row>
    <row r="642" customHeight="1" spans="1:5">
      <c r="A642" s="11"/>
      <c r="B642" s="11"/>
      <c r="C642" s="11"/>
      <c r="D642" s="11"/>
      <c r="E642" s="12"/>
    </row>
    <row r="643" customHeight="1" spans="1:5">
      <c r="A643" s="11"/>
      <c r="B643" s="11"/>
      <c r="C643" s="11"/>
      <c r="D643" s="11"/>
      <c r="E643" s="12"/>
    </row>
    <row r="644" customHeight="1" spans="1:5">
      <c r="A644" s="11"/>
      <c r="B644" s="11"/>
      <c r="C644" s="11"/>
      <c r="D644" s="11"/>
      <c r="E644" s="12"/>
    </row>
    <row r="645" customHeight="1" spans="1:5">
      <c r="A645" s="11"/>
      <c r="B645" s="11"/>
      <c r="C645" s="11"/>
      <c r="D645" s="11"/>
      <c r="E645" s="12"/>
    </row>
    <row r="646" customHeight="1" spans="1:5">
      <c r="A646" s="11"/>
      <c r="B646" s="11"/>
      <c r="C646" s="11"/>
      <c r="D646" s="11"/>
      <c r="E646" s="12"/>
    </row>
    <row r="647" customHeight="1" spans="1:5">
      <c r="A647" s="11"/>
      <c r="B647" s="11"/>
      <c r="C647" s="11"/>
      <c r="D647" s="11"/>
      <c r="E647" s="12"/>
    </row>
    <row r="648" customHeight="1" spans="1:5">
      <c r="A648" s="11"/>
      <c r="B648" s="11"/>
      <c r="C648" s="11"/>
      <c r="D648" s="11"/>
      <c r="E648" s="12"/>
    </row>
    <row r="649" customHeight="1" spans="1:5">
      <c r="A649" s="11"/>
      <c r="B649" s="11"/>
      <c r="C649" s="11"/>
      <c r="D649" s="11"/>
      <c r="E649" s="12"/>
    </row>
    <row r="650" customHeight="1" spans="1:5">
      <c r="A650" s="11"/>
      <c r="B650" s="11"/>
      <c r="C650" s="11"/>
      <c r="D650" s="11"/>
      <c r="E650" s="12"/>
    </row>
    <row r="651" customHeight="1" spans="1:5">
      <c r="A651" s="11"/>
      <c r="B651" s="11"/>
      <c r="C651" s="11"/>
      <c r="D651" s="11"/>
      <c r="E651" s="12"/>
    </row>
    <row r="652" customHeight="1" spans="1:5">
      <c r="A652" s="11"/>
      <c r="B652" s="11"/>
      <c r="C652" s="11"/>
      <c r="D652" s="11"/>
      <c r="E652" s="12"/>
    </row>
    <row r="653" customHeight="1" spans="1:5">
      <c r="A653" s="11"/>
      <c r="B653" s="11"/>
      <c r="C653" s="11"/>
      <c r="D653" s="11"/>
      <c r="E653" s="12"/>
    </row>
    <row r="654" customHeight="1" spans="1:5">
      <c r="A654" s="11"/>
      <c r="B654" s="11"/>
      <c r="C654" s="11"/>
      <c r="D654" s="11"/>
      <c r="E654" s="12"/>
    </row>
    <row r="655" customHeight="1" spans="1:5">
      <c r="A655" s="11"/>
      <c r="B655" s="11"/>
      <c r="C655" s="11"/>
      <c r="D655" s="11"/>
      <c r="E655" s="12"/>
    </row>
    <row r="656" customHeight="1" spans="1:5">
      <c r="A656" s="11"/>
      <c r="B656" s="11"/>
      <c r="C656" s="11"/>
      <c r="D656" s="11"/>
      <c r="E656" s="12"/>
    </row>
    <row r="657" customHeight="1" spans="1:5">
      <c r="A657" s="11"/>
      <c r="B657" s="11"/>
      <c r="C657" s="11"/>
      <c r="D657" s="11"/>
      <c r="E657" s="12"/>
    </row>
    <row r="658" customHeight="1" spans="1:5">
      <c r="A658" s="11"/>
      <c r="B658" s="11"/>
      <c r="C658" s="11"/>
      <c r="D658" s="11"/>
      <c r="E658" s="12"/>
    </row>
    <row r="659" customHeight="1" spans="1:5">
      <c r="A659" s="11"/>
      <c r="B659" s="11"/>
      <c r="C659" s="11"/>
      <c r="D659" s="11"/>
      <c r="E659" s="12"/>
    </row>
    <row r="660" customHeight="1" spans="1:5">
      <c r="A660" s="11"/>
      <c r="B660" s="11"/>
      <c r="C660" s="11"/>
      <c r="D660" s="11"/>
      <c r="E660" s="12"/>
    </row>
    <row r="661" customHeight="1" spans="1:5">
      <c r="A661" s="11"/>
      <c r="B661" s="11"/>
      <c r="C661" s="11"/>
      <c r="D661" s="11"/>
      <c r="E661" s="12"/>
    </row>
    <row r="662" customHeight="1" spans="1:5">
      <c r="A662" s="11"/>
      <c r="B662" s="11"/>
      <c r="C662" s="11"/>
      <c r="D662" s="11"/>
      <c r="E662" s="12"/>
    </row>
    <row r="663" customHeight="1" spans="1:5">
      <c r="A663" s="11"/>
      <c r="B663" s="11"/>
      <c r="C663" s="11"/>
      <c r="D663" s="11"/>
      <c r="E663" s="12"/>
    </row>
    <row r="664" customHeight="1" spans="1:5">
      <c r="A664" s="11"/>
      <c r="B664" s="11"/>
      <c r="C664" s="11"/>
      <c r="D664" s="11"/>
      <c r="E664" s="12"/>
    </row>
    <row r="665" customHeight="1" spans="1:5">
      <c r="A665" s="11"/>
      <c r="B665" s="11"/>
      <c r="C665" s="11"/>
      <c r="D665" s="11"/>
      <c r="E665" s="12"/>
    </row>
    <row r="666" customHeight="1" spans="1:5">
      <c r="A666" s="11"/>
      <c r="B666" s="11"/>
      <c r="C666" s="11"/>
      <c r="D666" s="11"/>
      <c r="E666" s="12"/>
    </row>
    <row r="667" customHeight="1" spans="1:5">
      <c r="A667" s="11"/>
      <c r="B667" s="11"/>
      <c r="C667" s="11"/>
      <c r="D667" s="11"/>
      <c r="E667" s="12"/>
    </row>
    <row r="668" customHeight="1" spans="1:5">
      <c r="A668" s="11"/>
      <c r="B668" s="11"/>
      <c r="C668" s="11"/>
      <c r="D668" s="11"/>
      <c r="E668" s="12"/>
    </row>
    <row r="669" customHeight="1" spans="1:5">
      <c r="A669" s="11"/>
      <c r="B669" s="11"/>
      <c r="C669" s="11"/>
      <c r="D669" s="11"/>
      <c r="E669" s="12"/>
    </row>
    <row r="670" customHeight="1" spans="1:5">
      <c r="A670" s="11"/>
      <c r="B670" s="11"/>
      <c r="C670" s="11"/>
      <c r="D670" s="11"/>
      <c r="E670" s="12"/>
    </row>
    <row r="671" customHeight="1" spans="1:5">
      <c r="A671" s="11"/>
      <c r="B671" s="11"/>
      <c r="C671" s="11"/>
      <c r="D671" s="11"/>
      <c r="E671" s="12"/>
    </row>
    <row r="672" customHeight="1" spans="1:5">
      <c r="A672" s="11"/>
      <c r="B672" s="11"/>
      <c r="C672" s="11"/>
      <c r="D672" s="11"/>
      <c r="E672" s="12"/>
    </row>
    <row r="673" customHeight="1" spans="1:5">
      <c r="A673" s="11"/>
      <c r="B673" s="11"/>
      <c r="C673" s="11"/>
      <c r="D673" s="11"/>
      <c r="E673" s="12"/>
    </row>
    <row r="674" customHeight="1" spans="1:5">
      <c r="A674" s="11"/>
      <c r="B674" s="11"/>
      <c r="C674" s="11"/>
      <c r="D674" s="11"/>
      <c r="E674" s="12"/>
    </row>
    <row r="675" customHeight="1" spans="1:5">
      <c r="A675" s="11"/>
      <c r="B675" s="11"/>
      <c r="C675" s="11"/>
      <c r="D675" s="11"/>
      <c r="E675" s="12"/>
    </row>
    <row r="676" customHeight="1" spans="1:5">
      <c r="A676" s="11"/>
      <c r="B676" s="11"/>
      <c r="C676" s="11"/>
      <c r="D676" s="11"/>
      <c r="E676" s="12"/>
    </row>
    <row r="677" customHeight="1" spans="1:5">
      <c r="A677" s="11"/>
      <c r="B677" s="11"/>
      <c r="C677" s="11"/>
      <c r="D677" s="11"/>
      <c r="E677" s="12"/>
    </row>
    <row r="678" customHeight="1" spans="1:5">
      <c r="A678" s="11"/>
      <c r="B678" s="11"/>
      <c r="C678" s="11"/>
      <c r="D678" s="11"/>
      <c r="E678" s="12"/>
    </row>
    <row r="679" customHeight="1" spans="1:5">
      <c r="A679" s="11"/>
      <c r="B679" s="11"/>
      <c r="C679" s="11"/>
      <c r="D679" s="11"/>
      <c r="E679" s="12"/>
    </row>
    <row r="680" customHeight="1" spans="1:5">
      <c r="A680" s="11"/>
      <c r="B680" s="11"/>
      <c r="C680" s="11"/>
      <c r="D680" s="11"/>
      <c r="E680" s="12"/>
    </row>
    <row r="681" customHeight="1" spans="1:5">
      <c r="A681" s="11"/>
      <c r="B681" s="11"/>
      <c r="C681" s="11"/>
      <c r="D681" s="11"/>
      <c r="E681" s="12"/>
    </row>
    <row r="682" customHeight="1" spans="1:5">
      <c r="A682" s="11"/>
      <c r="B682" s="11"/>
      <c r="C682" s="11"/>
      <c r="D682" s="11"/>
      <c r="E682" s="12"/>
    </row>
    <row r="683" customHeight="1" spans="1:5">
      <c r="A683" s="11"/>
      <c r="B683" s="11"/>
      <c r="C683" s="11"/>
      <c r="D683" s="11"/>
      <c r="E683" s="12"/>
    </row>
    <row r="684" customHeight="1" spans="1:5">
      <c r="A684" s="11"/>
      <c r="B684" s="11"/>
      <c r="C684" s="11"/>
      <c r="D684" s="11"/>
      <c r="E684" s="12"/>
    </row>
    <row r="685" customHeight="1" spans="1:5">
      <c r="A685" s="11"/>
      <c r="B685" s="11"/>
      <c r="C685" s="11"/>
      <c r="D685" s="11"/>
      <c r="E685" s="12"/>
    </row>
    <row r="686" customHeight="1" spans="1:5">
      <c r="A686" s="11"/>
      <c r="B686" s="11"/>
      <c r="C686" s="11"/>
      <c r="D686" s="11"/>
      <c r="E686" s="12"/>
    </row>
    <row r="687" customHeight="1" spans="1:5">
      <c r="A687" s="11"/>
      <c r="B687" s="11"/>
      <c r="C687" s="11"/>
      <c r="D687" s="11"/>
      <c r="E687" s="12"/>
    </row>
    <row r="688" customHeight="1" spans="1:5">
      <c r="A688" s="11"/>
      <c r="B688" s="11"/>
      <c r="C688" s="11"/>
      <c r="D688" s="11"/>
      <c r="E688" s="12"/>
    </row>
    <row r="689" customHeight="1" spans="1:5">
      <c r="A689" s="11"/>
      <c r="B689" s="11"/>
      <c r="C689" s="11"/>
      <c r="D689" s="11"/>
      <c r="E689" s="12"/>
    </row>
    <row r="690" customHeight="1" spans="1:5">
      <c r="A690" s="11"/>
      <c r="B690" s="11"/>
      <c r="C690" s="11"/>
      <c r="D690" s="11"/>
      <c r="E690" s="12"/>
    </row>
    <row r="691" customHeight="1" spans="1:5">
      <c r="A691" s="11"/>
      <c r="B691" s="11"/>
      <c r="C691" s="11"/>
      <c r="D691" s="11"/>
      <c r="E691" s="12"/>
    </row>
    <row r="692" customHeight="1" spans="1:5">
      <c r="A692" s="11"/>
      <c r="B692" s="11"/>
      <c r="C692" s="11"/>
      <c r="D692" s="11"/>
      <c r="E692" s="12"/>
    </row>
    <row r="693" customHeight="1" spans="1:5">
      <c r="A693" s="11"/>
      <c r="B693" s="11"/>
      <c r="C693" s="11"/>
      <c r="D693" s="11"/>
      <c r="E693" s="12"/>
    </row>
    <row r="694" customHeight="1" spans="1:5">
      <c r="A694" s="11"/>
      <c r="B694" s="11"/>
      <c r="C694" s="11"/>
      <c r="D694" s="11"/>
      <c r="E694" s="12"/>
    </row>
    <row r="695" customHeight="1" spans="1:5">
      <c r="A695" s="11"/>
      <c r="B695" s="11"/>
      <c r="C695" s="11"/>
      <c r="D695" s="11"/>
      <c r="E695" s="12"/>
    </row>
    <row r="696" customHeight="1" spans="1:5">
      <c r="A696" s="11"/>
      <c r="B696" s="11"/>
      <c r="C696" s="11"/>
      <c r="D696" s="11"/>
      <c r="E696" s="12"/>
    </row>
    <row r="697" customHeight="1" spans="1:5">
      <c r="A697" s="11"/>
      <c r="B697" s="11"/>
      <c r="C697" s="11"/>
      <c r="D697" s="11"/>
      <c r="E697" s="12"/>
    </row>
    <row r="698" customHeight="1" spans="1:5">
      <c r="A698" s="11"/>
      <c r="B698" s="11"/>
      <c r="C698" s="11"/>
      <c r="D698" s="11"/>
      <c r="E698" s="12"/>
    </row>
    <row r="699" customHeight="1" spans="1:5">
      <c r="A699" s="11"/>
      <c r="B699" s="11"/>
      <c r="C699" s="11"/>
      <c r="D699" s="11"/>
      <c r="E699" s="12"/>
    </row>
    <row r="700" customHeight="1" spans="1:5">
      <c r="A700" s="11"/>
      <c r="B700" s="11"/>
      <c r="C700" s="11"/>
      <c r="D700" s="11"/>
      <c r="E700" s="12"/>
    </row>
    <row r="701" customHeight="1" spans="1:5">
      <c r="A701" s="11"/>
      <c r="B701" s="11"/>
      <c r="C701" s="11"/>
      <c r="D701" s="11"/>
      <c r="E701" s="12"/>
    </row>
    <row r="702" customHeight="1" spans="1:5">
      <c r="A702" s="11"/>
      <c r="B702" s="11"/>
      <c r="C702" s="11"/>
      <c r="D702" s="11"/>
      <c r="E702" s="12"/>
    </row>
    <row r="703" customHeight="1" spans="1:5">
      <c r="A703" s="11"/>
      <c r="B703" s="11"/>
      <c r="C703" s="11"/>
      <c r="D703" s="11"/>
      <c r="E703" s="12"/>
    </row>
    <row r="704" customHeight="1" spans="1:5">
      <c r="A704" s="11"/>
      <c r="B704" s="11"/>
      <c r="C704" s="11"/>
      <c r="D704" s="11"/>
      <c r="E704" s="12"/>
    </row>
    <row r="705" customHeight="1" spans="1:5">
      <c r="A705" s="11"/>
      <c r="B705" s="11"/>
      <c r="C705" s="11"/>
      <c r="D705" s="11"/>
      <c r="E705" s="12"/>
    </row>
    <row r="706" customHeight="1" spans="1:5">
      <c r="A706" s="11"/>
      <c r="B706" s="11"/>
      <c r="C706" s="11"/>
      <c r="D706" s="11"/>
      <c r="E706" s="12"/>
    </row>
    <row r="707" customHeight="1" spans="1:5">
      <c r="A707" s="11"/>
      <c r="B707" s="11"/>
      <c r="C707" s="11"/>
      <c r="D707" s="11"/>
      <c r="E707" s="12"/>
    </row>
    <row r="708" customHeight="1" spans="1:5">
      <c r="A708" s="11"/>
      <c r="B708" s="11"/>
      <c r="C708" s="11"/>
      <c r="D708" s="11"/>
      <c r="E708" s="12"/>
    </row>
    <row r="709" customHeight="1" spans="1:5">
      <c r="A709" s="11"/>
      <c r="B709" s="11"/>
      <c r="C709" s="11"/>
      <c r="D709" s="11"/>
      <c r="E709" s="12"/>
    </row>
    <row r="710" customHeight="1" spans="1:5">
      <c r="A710" s="11"/>
      <c r="B710" s="11"/>
      <c r="C710" s="11"/>
      <c r="D710" s="11"/>
      <c r="E710" s="12"/>
    </row>
    <row r="711" customHeight="1" spans="1:5">
      <c r="A711" s="11"/>
      <c r="B711" s="11"/>
      <c r="C711" s="11"/>
      <c r="D711" s="11"/>
      <c r="E711" s="12"/>
    </row>
    <row r="712" customHeight="1" spans="1:5">
      <c r="A712" s="11"/>
      <c r="B712" s="11"/>
      <c r="C712" s="11"/>
      <c r="D712" s="11"/>
      <c r="E712" s="12"/>
    </row>
    <row r="713" customHeight="1" spans="1:5">
      <c r="A713" s="11"/>
      <c r="B713" s="11"/>
      <c r="C713" s="11"/>
      <c r="D713" s="11"/>
      <c r="E713" s="12"/>
    </row>
    <row r="714" customHeight="1" spans="1:5">
      <c r="A714" s="11"/>
      <c r="B714" s="11"/>
      <c r="C714" s="11"/>
      <c r="D714" s="11"/>
      <c r="E714" s="12"/>
    </row>
    <row r="715" customHeight="1" spans="1:5">
      <c r="A715" s="11"/>
      <c r="B715" s="11"/>
      <c r="C715" s="11"/>
      <c r="D715" s="11"/>
      <c r="E715" s="12"/>
    </row>
    <row r="716" customHeight="1" spans="1:5">
      <c r="A716" s="11"/>
      <c r="B716" s="11"/>
      <c r="C716" s="11"/>
      <c r="D716" s="11"/>
      <c r="E716" s="12"/>
    </row>
    <row r="717" customHeight="1" spans="1:5">
      <c r="A717" s="11"/>
      <c r="B717" s="11"/>
      <c r="C717" s="11"/>
      <c r="D717" s="11"/>
      <c r="E717" s="12"/>
    </row>
    <row r="718" customHeight="1" spans="1:5">
      <c r="A718" s="11"/>
      <c r="B718" s="11"/>
      <c r="C718" s="11"/>
      <c r="D718" s="11"/>
      <c r="E718" s="12"/>
    </row>
    <row r="719" customHeight="1" spans="1:5">
      <c r="A719" s="11"/>
      <c r="B719" s="11"/>
      <c r="C719" s="11"/>
      <c r="D719" s="11"/>
      <c r="E719" s="12"/>
    </row>
    <row r="720" customHeight="1" spans="1:5">
      <c r="A720" s="11"/>
      <c r="B720" s="11"/>
      <c r="C720" s="11"/>
      <c r="D720" s="11"/>
      <c r="E720" s="12"/>
    </row>
    <row r="721" customHeight="1" spans="1:5">
      <c r="A721" s="11"/>
      <c r="B721" s="11"/>
      <c r="C721" s="11"/>
      <c r="D721" s="11"/>
      <c r="E721" s="12"/>
    </row>
    <row r="722" customHeight="1" spans="1:5">
      <c r="A722" s="11"/>
      <c r="B722" s="11"/>
      <c r="C722" s="11"/>
      <c r="D722" s="11"/>
      <c r="E722" s="12"/>
    </row>
    <row r="723" customHeight="1" spans="1:5">
      <c r="A723" s="11"/>
      <c r="B723" s="11"/>
      <c r="C723" s="11"/>
      <c r="D723" s="11"/>
      <c r="E723" s="12"/>
    </row>
    <row r="724" customHeight="1" spans="1:5">
      <c r="A724" s="11"/>
      <c r="B724" s="11"/>
      <c r="C724" s="11"/>
      <c r="D724" s="11"/>
      <c r="E724" s="12"/>
    </row>
    <row r="725" customHeight="1" spans="1:5">
      <c r="A725" s="11"/>
      <c r="B725" s="11"/>
      <c r="C725" s="11"/>
      <c r="D725" s="11"/>
      <c r="E725" s="12"/>
    </row>
    <row r="726" customHeight="1" spans="1:5">
      <c r="A726" s="11"/>
      <c r="B726" s="11"/>
      <c r="C726" s="11"/>
      <c r="D726" s="11"/>
      <c r="E726" s="12"/>
    </row>
    <row r="727" customHeight="1" spans="1:5">
      <c r="A727" s="11"/>
      <c r="B727" s="11"/>
      <c r="C727" s="11"/>
      <c r="D727" s="11"/>
      <c r="E727" s="12"/>
    </row>
    <row r="728" customHeight="1" spans="1:5">
      <c r="A728" s="11"/>
      <c r="B728" s="11"/>
      <c r="C728" s="11"/>
      <c r="D728" s="11"/>
      <c r="E728" s="12"/>
    </row>
    <row r="729" customHeight="1" spans="1:5">
      <c r="A729" s="11"/>
      <c r="B729" s="11"/>
      <c r="C729" s="11"/>
      <c r="D729" s="11"/>
      <c r="E729" s="12"/>
    </row>
    <row r="730" customHeight="1" spans="1:5">
      <c r="A730" s="11"/>
      <c r="B730" s="11"/>
      <c r="C730" s="11"/>
      <c r="D730" s="11"/>
      <c r="E730" s="12"/>
    </row>
    <row r="731" customHeight="1" spans="1:5">
      <c r="A731" s="11"/>
      <c r="B731" s="11"/>
      <c r="C731" s="11"/>
      <c r="D731" s="11"/>
      <c r="E731" s="12"/>
    </row>
    <row r="732" customHeight="1" spans="1:5">
      <c r="A732" s="11"/>
      <c r="B732" s="11"/>
      <c r="C732" s="11"/>
      <c r="D732" s="11"/>
      <c r="E732" s="12"/>
    </row>
    <row r="733" customHeight="1" spans="1:5">
      <c r="A733" s="11"/>
      <c r="B733" s="11"/>
      <c r="C733" s="11"/>
      <c r="D733" s="11"/>
      <c r="E733" s="12"/>
    </row>
    <row r="734" customHeight="1" spans="1:5">
      <c r="A734" s="11"/>
      <c r="B734" s="11"/>
      <c r="C734" s="11"/>
      <c r="D734" s="11"/>
      <c r="E734" s="12"/>
    </row>
    <row r="735" customHeight="1" spans="1:5">
      <c r="A735" s="11"/>
      <c r="B735" s="11"/>
      <c r="C735" s="11"/>
      <c r="D735" s="11"/>
      <c r="E735" s="12"/>
    </row>
    <row r="736" customHeight="1" spans="1:5">
      <c r="A736" s="11"/>
      <c r="B736" s="11"/>
      <c r="C736" s="11"/>
      <c r="D736" s="11"/>
      <c r="E736" s="12"/>
    </row>
    <row r="737" customHeight="1" spans="1:5">
      <c r="A737" s="11"/>
      <c r="B737" s="11"/>
      <c r="C737" s="11"/>
      <c r="D737" s="11"/>
      <c r="E737" s="12"/>
    </row>
    <row r="738" customHeight="1" spans="1:5">
      <c r="A738" s="11"/>
      <c r="B738" s="11"/>
      <c r="C738" s="11"/>
      <c r="D738" s="11"/>
      <c r="E738" s="12"/>
    </row>
    <row r="739" customHeight="1" spans="1:5">
      <c r="A739" s="11"/>
      <c r="B739" s="11"/>
      <c r="C739" s="11"/>
      <c r="D739" s="11"/>
      <c r="E739" s="12"/>
    </row>
    <row r="740" customHeight="1" spans="1:5">
      <c r="A740" s="11"/>
      <c r="B740" s="11"/>
      <c r="C740" s="11"/>
      <c r="D740" s="11"/>
      <c r="E740" s="12"/>
    </row>
    <row r="741" customHeight="1" spans="1:5">
      <c r="A741" s="11"/>
      <c r="B741" s="11"/>
      <c r="C741" s="11"/>
      <c r="D741" s="11"/>
      <c r="E741" s="12"/>
    </row>
    <row r="742" customHeight="1" spans="1:5">
      <c r="A742" s="11"/>
      <c r="B742" s="11"/>
      <c r="C742" s="11"/>
      <c r="D742" s="11"/>
      <c r="E742" s="12"/>
    </row>
    <row r="743" customHeight="1" spans="1:5">
      <c r="A743" s="11"/>
      <c r="B743" s="11"/>
      <c r="C743" s="11"/>
      <c r="D743" s="11"/>
      <c r="E743" s="12"/>
    </row>
    <row r="744" customHeight="1" spans="1:5">
      <c r="A744" s="11"/>
      <c r="B744" s="11"/>
      <c r="C744" s="11"/>
      <c r="D744" s="11"/>
      <c r="E744" s="12"/>
    </row>
    <row r="745" customHeight="1" spans="1:5">
      <c r="A745" s="11"/>
      <c r="B745" s="11"/>
      <c r="C745" s="11"/>
      <c r="D745" s="11"/>
      <c r="E745" s="12"/>
    </row>
    <row r="746" customHeight="1" spans="1:5">
      <c r="A746" s="11"/>
      <c r="B746" s="11"/>
      <c r="C746" s="11"/>
      <c r="D746" s="11"/>
      <c r="E746" s="12"/>
    </row>
    <row r="747" customHeight="1" spans="1:5">
      <c r="A747" s="11"/>
      <c r="B747" s="11"/>
      <c r="C747" s="11"/>
      <c r="D747" s="11"/>
      <c r="E747" s="12"/>
    </row>
    <row r="748" customHeight="1" spans="1:5">
      <c r="A748" s="11"/>
      <c r="B748" s="11"/>
      <c r="C748" s="11"/>
      <c r="D748" s="11"/>
      <c r="E748" s="12"/>
    </row>
    <row r="749" customHeight="1" spans="1:5">
      <c r="A749" s="11"/>
      <c r="B749" s="11"/>
      <c r="C749" s="11"/>
      <c r="D749" s="11"/>
      <c r="E749" s="12"/>
    </row>
    <row r="750" customHeight="1" spans="1:5">
      <c r="A750" s="11"/>
      <c r="B750" s="11"/>
      <c r="C750" s="11"/>
      <c r="D750" s="11"/>
      <c r="E750" s="12"/>
    </row>
    <row r="751" customHeight="1" spans="1:5">
      <c r="A751" s="11"/>
      <c r="B751" s="11"/>
      <c r="C751" s="11"/>
      <c r="D751" s="11"/>
      <c r="E751" s="12"/>
    </row>
    <row r="752" customHeight="1" spans="1:5">
      <c r="A752" s="11"/>
      <c r="B752" s="11"/>
      <c r="C752" s="11"/>
      <c r="D752" s="11"/>
      <c r="E752" s="12"/>
    </row>
    <row r="753" customHeight="1" spans="1:5">
      <c r="A753" s="11"/>
      <c r="B753" s="11"/>
      <c r="C753" s="11"/>
      <c r="D753" s="11"/>
      <c r="E753" s="12"/>
    </row>
    <row r="754" customHeight="1" spans="1:5">
      <c r="A754" s="11"/>
      <c r="B754" s="11"/>
      <c r="C754" s="11"/>
      <c r="D754" s="11"/>
      <c r="E754" s="12"/>
    </row>
    <row r="755" customHeight="1" spans="1:5">
      <c r="A755" s="11"/>
      <c r="B755" s="11"/>
      <c r="C755" s="11"/>
      <c r="D755" s="11"/>
      <c r="E755" s="12"/>
    </row>
    <row r="756" customHeight="1" spans="1:5">
      <c r="A756" s="11"/>
      <c r="B756" s="11"/>
      <c r="C756" s="11"/>
      <c r="D756" s="11"/>
      <c r="E756" s="12"/>
    </row>
    <row r="757" customHeight="1" spans="1:5">
      <c r="A757" s="11"/>
      <c r="B757" s="11"/>
      <c r="C757" s="11"/>
      <c r="D757" s="11"/>
      <c r="E757" s="12"/>
    </row>
    <row r="758" customHeight="1" spans="1:5">
      <c r="A758" s="11"/>
      <c r="B758" s="11"/>
      <c r="C758" s="11"/>
      <c r="D758" s="11"/>
      <c r="E758" s="12"/>
    </row>
    <row r="759" customHeight="1" spans="1:5">
      <c r="A759" s="11"/>
      <c r="B759" s="11"/>
      <c r="C759" s="11"/>
      <c r="D759" s="11"/>
      <c r="E759" s="12"/>
    </row>
    <row r="760" customHeight="1" spans="1:5">
      <c r="A760" s="11"/>
      <c r="B760" s="11"/>
      <c r="C760" s="11"/>
      <c r="D760" s="11"/>
      <c r="E760" s="12"/>
    </row>
    <row r="761" customHeight="1" spans="1:5">
      <c r="A761" s="11"/>
      <c r="B761" s="11"/>
      <c r="C761" s="11"/>
      <c r="D761" s="11"/>
      <c r="E761" s="12"/>
    </row>
    <row r="762" customHeight="1" spans="1:5">
      <c r="A762" s="11"/>
      <c r="B762" s="11"/>
      <c r="C762" s="11"/>
      <c r="D762" s="11"/>
      <c r="E762" s="12"/>
    </row>
    <row r="763" customHeight="1" spans="1:5">
      <c r="A763" s="11"/>
      <c r="B763" s="11"/>
      <c r="C763" s="11"/>
      <c r="D763" s="11"/>
      <c r="E763" s="12"/>
    </row>
    <row r="764" customHeight="1" spans="1:5">
      <c r="A764" s="11"/>
      <c r="B764" s="11"/>
      <c r="C764" s="11"/>
      <c r="D764" s="11"/>
      <c r="E764" s="12"/>
    </row>
    <row r="765" customHeight="1" spans="1:5">
      <c r="A765" s="11"/>
      <c r="B765" s="11"/>
      <c r="C765" s="11"/>
      <c r="D765" s="11"/>
      <c r="E765" s="12"/>
    </row>
    <row r="766" customHeight="1" spans="1:5">
      <c r="A766" s="11"/>
      <c r="B766" s="11"/>
      <c r="C766" s="11"/>
      <c r="D766" s="11"/>
      <c r="E766" s="12"/>
    </row>
    <row r="767" customHeight="1" spans="1:5">
      <c r="A767" s="11"/>
      <c r="B767" s="11"/>
      <c r="C767" s="11"/>
      <c r="D767" s="11"/>
      <c r="E767" s="12"/>
    </row>
    <row r="768" customHeight="1" spans="1:5">
      <c r="A768" s="11"/>
      <c r="B768" s="11"/>
      <c r="C768" s="11"/>
      <c r="D768" s="11"/>
      <c r="E768" s="12"/>
    </row>
    <row r="769" customHeight="1" spans="1:5">
      <c r="A769" s="11"/>
      <c r="B769" s="11"/>
      <c r="C769" s="11"/>
      <c r="D769" s="11"/>
      <c r="E769" s="12"/>
    </row>
    <row r="770" customHeight="1" spans="1:5">
      <c r="A770" s="11"/>
      <c r="B770" s="11"/>
      <c r="C770" s="11"/>
      <c r="D770" s="11"/>
      <c r="E770" s="12"/>
    </row>
    <row r="771" customHeight="1" spans="1:5">
      <c r="A771" s="11"/>
      <c r="B771" s="11"/>
      <c r="C771" s="11"/>
      <c r="D771" s="11"/>
      <c r="E771" s="12"/>
    </row>
    <row r="772" customHeight="1" spans="1:5">
      <c r="A772" s="11"/>
      <c r="B772" s="11"/>
      <c r="C772" s="11"/>
      <c r="D772" s="11"/>
      <c r="E772" s="12"/>
    </row>
    <row r="773" customHeight="1" spans="1:5">
      <c r="A773" s="11"/>
      <c r="B773" s="11"/>
      <c r="C773" s="11"/>
      <c r="D773" s="11"/>
      <c r="E773" s="12"/>
    </row>
    <row r="774" customHeight="1" spans="1:5">
      <c r="A774" s="11"/>
      <c r="B774" s="11"/>
      <c r="C774" s="11"/>
      <c r="D774" s="11"/>
      <c r="E774" s="12"/>
    </row>
    <row r="775" customHeight="1" spans="1:5">
      <c r="A775" s="11"/>
      <c r="B775" s="11"/>
      <c r="C775" s="11"/>
      <c r="D775" s="11"/>
      <c r="E775" s="12"/>
    </row>
    <row r="776" customHeight="1" spans="1:5">
      <c r="A776" s="11"/>
      <c r="B776" s="11"/>
      <c r="C776" s="11"/>
      <c r="D776" s="11"/>
      <c r="E776" s="12"/>
    </row>
    <row r="777" customHeight="1" spans="1:5">
      <c r="A777" s="11"/>
      <c r="B777" s="11"/>
      <c r="C777" s="11"/>
      <c r="D777" s="11"/>
      <c r="E777" s="12"/>
    </row>
    <row r="778" customHeight="1" spans="1:5">
      <c r="A778" s="11"/>
      <c r="B778" s="11"/>
      <c r="C778" s="11"/>
      <c r="D778" s="11"/>
      <c r="E778" s="12"/>
    </row>
    <row r="779" customHeight="1" spans="1:5">
      <c r="A779" s="11"/>
      <c r="B779" s="11"/>
      <c r="C779" s="11"/>
      <c r="D779" s="11"/>
      <c r="E779" s="12"/>
    </row>
    <row r="780" customHeight="1" spans="1:5">
      <c r="A780" s="11"/>
      <c r="B780" s="11"/>
      <c r="C780" s="11"/>
      <c r="D780" s="11"/>
      <c r="E780" s="12"/>
    </row>
    <row r="781" customHeight="1" spans="1:5">
      <c r="A781" s="11"/>
      <c r="B781" s="11"/>
      <c r="C781" s="11"/>
      <c r="D781" s="11"/>
      <c r="E781" s="12"/>
    </row>
    <row r="782" customHeight="1" spans="1:5">
      <c r="A782" s="11"/>
      <c r="B782" s="11"/>
      <c r="C782" s="11"/>
      <c r="D782" s="11"/>
      <c r="E782" s="12"/>
    </row>
    <row r="783" customHeight="1" spans="1:5">
      <c r="A783" s="11"/>
      <c r="B783" s="11"/>
      <c r="C783" s="11"/>
      <c r="D783" s="11"/>
      <c r="E783" s="12"/>
    </row>
    <row r="784" customHeight="1" spans="1:5">
      <c r="A784" s="11"/>
      <c r="B784" s="11"/>
      <c r="C784" s="11"/>
      <c r="D784" s="11"/>
      <c r="E784" s="12"/>
    </row>
    <row r="785" customHeight="1" spans="1:5">
      <c r="A785" s="11"/>
      <c r="B785" s="11"/>
      <c r="C785" s="11"/>
      <c r="D785" s="11"/>
      <c r="E785" s="12"/>
    </row>
    <row r="786" customHeight="1" spans="1:5">
      <c r="A786" s="11"/>
      <c r="B786" s="11"/>
      <c r="C786" s="11"/>
      <c r="D786" s="11"/>
      <c r="E786" s="12"/>
    </row>
    <row r="787" customHeight="1" spans="1:5">
      <c r="A787" s="11"/>
      <c r="B787" s="11"/>
      <c r="C787" s="11"/>
      <c r="D787" s="11"/>
      <c r="E787" s="12"/>
    </row>
    <row r="788" customHeight="1" spans="1:5">
      <c r="A788" s="11"/>
      <c r="B788" s="11"/>
      <c r="C788" s="11"/>
      <c r="D788" s="11"/>
      <c r="E788" s="12"/>
    </row>
    <row r="789" customHeight="1" spans="1:5">
      <c r="A789" s="11"/>
      <c r="B789" s="11"/>
      <c r="C789" s="11"/>
      <c r="D789" s="11"/>
      <c r="E789" s="12"/>
    </row>
    <row r="790" customHeight="1" spans="1:5">
      <c r="A790" s="11"/>
      <c r="B790" s="11"/>
      <c r="C790" s="11"/>
      <c r="D790" s="11"/>
      <c r="E790" s="12"/>
    </row>
    <row r="791" customHeight="1" spans="1:5">
      <c r="A791" s="11"/>
      <c r="B791" s="11"/>
      <c r="C791" s="11"/>
      <c r="D791" s="11"/>
      <c r="E791" s="12"/>
    </row>
    <row r="792" customHeight="1" spans="1:5">
      <c r="A792" s="11"/>
      <c r="B792" s="11"/>
      <c r="C792" s="11"/>
      <c r="D792" s="11"/>
      <c r="E792" s="12"/>
    </row>
    <row r="793" customHeight="1" spans="1:5">
      <c r="A793" s="11"/>
      <c r="B793" s="11"/>
      <c r="C793" s="11"/>
      <c r="D793" s="11"/>
      <c r="E793" s="12"/>
    </row>
    <row r="794" customHeight="1" spans="1:5">
      <c r="A794" s="11"/>
      <c r="B794" s="11"/>
      <c r="C794" s="11"/>
      <c r="D794" s="11"/>
      <c r="E794" s="12"/>
    </row>
    <row r="795" customHeight="1" spans="1:5">
      <c r="A795" s="11"/>
      <c r="B795" s="11"/>
      <c r="C795" s="11"/>
      <c r="D795" s="11"/>
      <c r="E795" s="12"/>
    </row>
    <row r="796" customHeight="1" spans="1:5">
      <c r="A796" s="11"/>
      <c r="B796" s="11"/>
      <c r="C796" s="11"/>
      <c r="D796" s="11"/>
      <c r="E796" s="12"/>
    </row>
    <row r="797" customHeight="1" spans="1:5">
      <c r="A797" s="11"/>
      <c r="B797" s="11"/>
      <c r="C797" s="11"/>
      <c r="D797" s="11"/>
      <c r="E797" s="12"/>
    </row>
    <row r="798" customHeight="1" spans="1:5">
      <c r="A798" s="11"/>
      <c r="B798" s="11"/>
      <c r="C798" s="11"/>
      <c r="D798" s="11"/>
      <c r="E798" s="12"/>
    </row>
    <row r="799" customHeight="1" spans="1:5">
      <c r="A799" s="11"/>
      <c r="B799" s="11"/>
      <c r="C799" s="11"/>
      <c r="D799" s="11"/>
      <c r="E799" s="12"/>
    </row>
    <row r="800" customHeight="1" spans="1:5">
      <c r="A800" s="11"/>
      <c r="B800" s="11"/>
      <c r="C800" s="11"/>
      <c r="D800" s="11"/>
      <c r="E800" s="12"/>
    </row>
    <row r="801" customHeight="1" spans="1:5">
      <c r="A801" s="11"/>
      <c r="B801" s="11"/>
      <c r="C801" s="11"/>
      <c r="D801" s="11"/>
      <c r="E801" s="12"/>
    </row>
    <row r="802" customHeight="1" spans="1:5">
      <c r="A802" s="11"/>
      <c r="B802" s="11"/>
      <c r="C802" s="11"/>
      <c r="D802" s="11"/>
      <c r="E802" s="12"/>
    </row>
    <row r="803" customHeight="1" spans="1:5">
      <c r="A803" s="11"/>
      <c r="B803" s="11"/>
      <c r="C803" s="11"/>
      <c r="D803" s="11"/>
      <c r="E803" s="12"/>
    </row>
    <row r="804" customHeight="1" spans="1:5">
      <c r="A804" s="11"/>
      <c r="B804" s="11"/>
      <c r="C804" s="11"/>
      <c r="D804" s="11"/>
      <c r="E804" s="12"/>
    </row>
    <row r="805" customHeight="1" spans="1:5">
      <c r="A805" s="11"/>
      <c r="B805" s="11"/>
      <c r="C805" s="11"/>
      <c r="D805" s="11"/>
      <c r="E805" s="12"/>
    </row>
    <row r="806" customHeight="1" spans="1:5">
      <c r="A806" s="11"/>
      <c r="B806" s="11"/>
      <c r="C806" s="11"/>
      <c r="D806" s="11"/>
      <c r="E806" s="12"/>
    </row>
    <row r="807" customHeight="1" spans="1:5">
      <c r="A807" s="11"/>
      <c r="B807" s="11"/>
      <c r="C807" s="11"/>
      <c r="D807" s="11"/>
      <c r="E807" s="12"/>
    </row>
    <row r="808" customHeight="1" spans="1:5">
      <c r="A808" s="11"/>
      <c r="B808" s="11"/>
      <c r="C808" s="11"/>
      <c r="D808" s="11"/>
      <c r="E808" s="12"/>
    </row>
    <row r="809" customHeight="1" spans="1:5">
      <c r="A809" s="11"/>
      <c r="B809" s="11"/>
      <c r="C809" s="11"/>
      <c r="D809" s="11"/>
      <c r="E809" s="12"/>
    </row>
    <row r="810" customHeight="1" spans="1:5">
      <c r="A810" s="11"/>
      <c r="B810" s="11"/>
      <c r="C810" s="11"/>
      <c r="D810" s="11"/>
      <c r="E810" s="12"/>
    </row>
    <row r="811" customHeight="1" spans="1:5">
      <c r="A811" s="11"/>
      <c r="B811" s="11"/>
      <c r="C811" s="11"/>
      <c r="D811" s="11"/>
      <c r="E811" s="12"/>
    </row>
    <row r="812" customHeight="1" spans="1:5">
      <c r="A812" s="11"/>
      <c r="B812" s="11"/>
      <c r="C812" s="11"/>
      <c r="D812" s="11"/>
      <c r="E812" s="12"/>
    </row>
    <row r="813" customHeight="1" spans="1:5">
      <c r="A813" s="11"/>
      <c r="B813" s="11"/>
      <c r="C813" s="11"/>
      <c r="D813" s="11"/>
      <c r="E813" s="12"/>
    </row>
    <row r="814" customHeight="1" spans="1:5">
      <c r="A814" s="11"/>
      <c r="B814" s="11"/>
      <c r="C814" s="11"/>
      <c r="D814" s="11"/>
      <c r="E814" s="12"/>
    </row>
    <row r="815" customHeight="1" spans="1:5">
      <c r="A815" s="11"/>
      <c r="B815" s="11"/>
      <c r="C815" s="11"/>
      <c r="D815" s="11"/>
      <c r="E815" s="12"/>
    </row>
    <row r="816" customHeight="1" spans="1:5">
      <c r="A816" s="11"/>
      <c r="B816" s="11"/>
      <c r="C816" s="11"/>
      <c r="D816" s="11"/>
      <c r="E816" s="12"/>
    </row>
    <row r="817" customHeight="1" spans="1:5">
      <c r="A817" s="11"/>
      <c r="B817" s="11"/>
      <c r="C817" s="11"/>
      <c r="D817" s="11"/>
      <c r="E817" s="12"/>
    </row>
    <row r="818" customHeight="1" spans="1:5">
      <c r="A818" s="11"/>
      <c r="B818" s="11"/>
      <c r="C818" s="11"/>
      <c r="D818" s="11"/>
      <c r="E818" s="12"/>
    </row>
    <row r="819" customHeight="1" spans="1:5">
      <c r="A819" s="11"/>
      <c r="B819" s="11"/>
      <c r="C819" s="11"/>
      <c r="D819" s="11"/>
      <c r="E819" s="12"/>
    </row>
    <row r="820" customHeight="1" spans="1:5">
      <c r="A820" s="11"/>
      <c r="B820" s="11"/>
      <c r="C820" s="11"/>
      <c r="D820" s="11"/>
      <c r="E820" s="12"/>
    </row>
    <row r="821" customHeight="1" spans="1:5">
      <c r="A821" s="11"/>
      <c r="B821" s="11"/>
      <c r="C821" s="11"/>
      <c r="D821" s="11"/>
      <c r="E821" s="12"/>
    </row>
    <row r="822" customHeight="1" spans="1:5">
      <c r="A822" s="11"/>
      <c r="B822" s="11"/>
      <c r="C822" s="11"/>
      <c r="D822" s="11"/>
      <c r="E822" s="12"/>
    </row>
    <row r="823" customHeight="1" spans="1:5">
      <c r="A823" s="11"/>
      <c r="B823" s="11"/>
      <c r="C823" s="11"/>
      <c r="D823" s="11"/>
      <c r="E823" s="12"/>
    </row>
    <row r="824" customHeight="1" spans="1:5">
      <c r="A824" s="11"/>
      <c r="B824" s="11"/>
      <c r="C824" s="11"/>
      <c r="D824" s="11"/>
      <c r="E824" s="12"/>
    </row>
    <row r="825" customHeight="1" spans="1:5">
      <c r="A825" s="11"/>
      <c r="B825" s="11"/>
      <c r="C825" s="11"/>
      <c r="D825" s="11"/>
      <c r="E825" s="12"/>
    </row>
    <row r="826" customHeight="1" spans="1:5">
      <c r="A826" s="11"/>
      <c r="B826" s="11"/>
      <c r="C826" s="11"/>
      <c r="D826" s="11"/>
      <c r="E826" s="12"/>
    </row>
    <row r="827" customHeight="1" spans="1:5">
      <c r="A827" s="11"/>
      <c r="B827" s="11"/>
      <c r="C827" s="11"/>
      <c r="D827" s="11"/>
      <c r="E827" s="12"/>
    </row>
    <row r="828" customHeight="1" spans="1:5">
      <c r="A828" s="11"/>
      <c r="B828" s="11"/>
      <c r="C828" s="11"/>
      <c r="D828" s="11"/>
      <c r="E828" s="12"/>
    </row>
    <row r="829" customHeight="1" spans="1:5">
      <c r="A829" s="11"/>
      <c r="B829" s="11"/>
      <c r="C829" s="11"/>
      <c r="D829" s="11"/>
      <c r="E829" s="12"/>
    </row>
    <row r="830" customHeight="1" spans="1:5">
      <c r="A830" s="11"/>
      <c r="B830" s="11"/>
      <c r="C830" s="11"/>
      <c r="D830" s="11"/>
      <c r="E830" s="12"/>
    </row>
    <row r="831" customHeight="1" spans="1:5">
      <c r="A831" s="11"/>
      <c r="B831" s="11"/>
      <c r="C831" s="11"/>
      <c r="D831" s="11"/>
      <c r="E831" s="12"/>
    </row>
    <row r="832" customHeight="1" spans="1:5">
      <c r="A832" s="11"/>
      <c r="B832" s="11"/>
      <c r="C832" s="11"/>
      <c r="D832" s="11"/>
      <c r="E832" s="12"/>
    </row>
    <row r="833" customHeight="1" spans="1:5">
      <c r="A833" s="11"/>
      <c r="B833" s="11"/>
      <c r="C833" s="11"/>
      <c r="D833" s="11"/>
      <c r="E833" s="12"/>
    </row>
    <row r="834" customHeight="1" spans="1:5">
      <c r="A834" s="11"/>
      <c r="B834" s="11"/>
      <c r="C834" s="11"/>
      <c r="D834" s="11"/>
      <c r="E834" s="12"/>
    </row>
    <row r="835" customHeight="1" spans="1:5">
      <c r="A835" s="11"/>
      <c r="B835" s="11"/>
      <c r="C835" s="11"/>
      <c r="D835" s="11"/>
      <c r="E835" s="12"/>
    </row>
    <row r="836" customHeight="1" spans="1:5">
      <c r="A836" s="11"/>
      <c r="B836" s="11"/>
      <c r="C836" s="11"/>
      <c r="D836" s="11"/>
      <c r="E836" s="12"/>
    </row>
    <row r="837" customHeight="1" spans="1:5">
      <c r="A837" s="11"/>
      <c r="B837" s="11"/>
      <c r="C837" s="11"/>
      <c r="D837" s="11"/>
      <c r="E837" s="12"/>
    </row>
    <row r="838" customHeight="1" spans="1:5">
      <c r="A838" s="11"/>
      <c r="B838" s="11"/>
      <c r="C838" s="11"/>
      <c r="D838" s="11"/>
      <c r="E838" s="12"/>
    </row>
    <row r="839" customHeight="1" spans="1:5">
      <c r="A839" s="11"/>
      <c r="B839" s="11"/>
      <c r="C839" s="11"/>
      <c r="D839" s="11"/>
      <c r="E839" s="12"/>
    </row>
    <row r="840" customHeight="1" spans="1:5">
      <c r="A840" s="11"/>
      <c r="B840" s="11"/>
      <c r="C840" s="11"/>
      <c r="D840" s="11"/>
      <c r="E840" s="12"/>
    </row>
    <row r="841" customHeight="1" spans="1:5">
      <c r="A841" s="11"/>
      <c r="B841" s="11"/>
      <c r="C841" s="11"/>
      <c r="D841" s="11"/>
      <c r="E841" s="12"/>
    </row>
    <row r="842" customHeight="1" spans="1:5">
      <c r="A842" s="11"/>
      <c r="B842" s="11"/>
      <c r="C842" s="11"/>
      <c r="D842" s="11"/>
      <c r="E842" s="12"/>
    </row>
    <row r="843" customHeight="1" spans="1:5">
      <c r="A843" s="11"/>
      <c r="B843" s="11"/>
      <c r="C843" s="11"/>
      <c r="D843" s="11"/>
      <c r="E843" s="12"/>
    </row>
    <row r="844" customHeight="1" spans="1:5">
      <c r="A844" s="11"/>
      <c r="B844" s="11"/>
      <c r="C844" s="11"/>
      <c r="D844" s="11"/>
      <c r="E844" s="12"/>
    </row>
    <row r="845" customHeight="1" spans="1:5">
      <c r="A845" s="11"/>
      <c r="B845" s="11"/>
      <c r="C845" s="11"/>
      <c r="D845" s="11"/>
      <c r="E845" s="12"/>
    </row>
    <row r="846" customHeight="1" spans="1:5">
      <c r="A846" s="11"/>
      <c r="B846" s="11"/>
      <c r="C846" s="11"/>
      <c r="D846" s="11"/>
      <c r="E846" s="12"/>
    </row>
    <row r="847" customHeight="1" spans="1:5">
      <c r="A847" s="11"/>
      <c r="B847" s="11"/>
      <c r="C847" s="11"/>
      <c r="D847" s="11"/>
      <c r="E847" s="12"/>
    </row>
    <row r="848" customHeight="1" spans="1:5">
      <c r="A848" s="11"/>
      <c r="B848" s="11"/>
      <c r="C848" s="11"/>
      <c r="D848" s="11"/>
      <c r="E848" s="12"/>
    </row>
    <row r="849" customHeight="1" spans="1:5">
      <c r="A849" s="11"/>
      <c r="B849" s="11"/>
      <c r="C849" s="11"/>
      <c r="D849" s="11"/>
      <c r="E849" s="12"/>
    </row>
    <row r="850" customHeight="1" spans="1:5">
      <c r="A850" s="11"/>
      <c r="B850" s="11"/>
      <c r="C850" s="11"/>
      <c r="D850" s="11"/>
      <c r="E850" s="12"/>
    </row>
    <row r="851" customHeight="1" spans="1:5">
      <c r="A851" s="11"/>
      <c r="B851" s="11"/>
      <c r="C851" s="11"/>
      <c r="D851" s="11"/>
      <c r="E851" s="12"/>
    </row>
    <row r="852" customHeight="1" spans="1:5">
      <c r="A852" s="11"/>
      <c r="B852" s="11"/>
      <c r="C852" s="11"/>
      <c r="D852" s="11"/>
      <c r="E852" s="12"/>
    </row>
    <row r="853" customHeight="1" spans="1:5">
      <c r="A853" s="11"/>
      <c r="B853" s="11"/>
      <c r="C853" s="11"/>
      <c r="D853" s="11"/>
      <c r="E853" s="12"/>
    </row>
    <row r="854" customHeight="1" spans="1:5">
      <c r="A854" s="11"/>
      <c r="B854" s="11"/>
      <c r="C854" s="11"/>
      <c r="D854" s="11"/>
      <c r="E854" s="12"/>
    </row>
    <row r="855" customHeight="1" spans="1:5">
      <c r="A855" s="11"/>
      <c r="B855" s="11"/>
      <c r="C855" s="11"/>
      <c r="D855" s="11"/>
      <c r="E855" s="12"/>
    </row>
    <row r="856" customHeight="1" spans="1:5">
      <c r="A856" s="11"/>
      <c r="B856" s="11"/>
      <c r="C856" s="11"/>
      <c r="D856" s="11"/>
      <c r="E856" s="12"/>
    </row>
    <row r="857" customHeight="1" spans="1:5">
      <c r="A857" s="11"/>
      <c r="B857" s="11"/>
      <c r="C857" s="11"/>
      <c r="D857" s="11"/>
      <c r="E857" s="12"/>
    </row>
    <row r="858" customHeight="1" spans="1:5">
      <c r="A858" s="11"/>
      <c r="B858" s="11"/>
      <c r="C858" s="11"/>
      <c r="D858" s="11"/>
      <c r="E858" s="12"/>
    </row>
    <row r="859" customHeight="1" spans="1:5">
      <c r="A859" s="11"/>
      <c r="B859" s="11"/>
      <c r="C859" s="11"/>
      <c r="D859" s="11"/>
      <c r="E859" s="12"/>
    </row>
    <row r="860" customHeight="1" spans="1:5">
      <c r="A860" s="11"/>
      <c r="B860" s="11"/>
      <c r="C860" s="11"/>
      <c r="D860" s="11"/>
      <c r="E860" s="12"/>
    </row>
    <row r="861" customHeight="1" spans="1:5">
      <c r="A861" s="11"/>
      <c r="B861" s="11"/>
      <c r="C861" s="11"/>
      <c r="D861" s="11"/>
      <c r="E861" s="12"/>
    </row>
    <row r="862" customHeight="1" spans="1:5">
      <c r="A862" s="11"/>
      <c r="B862" s="11"/>
      <c r="C862" s="11"/>
      <c r="D862" s="11"/>
      <c r="E862" s="12"/>
    </row>
    <row r="863" customHeight="1" spans="1:5">
      <c r="A863" s="11"/>
      <c r="B863" s="11"/>
      <c r="C863" s="11"/>
      <c r="D863" s="11"/>
      <c r="E863" s="12"/>
    </row>
    <row r="864" customHeight="1" spans="1:5">
      <c r="A864" s="11"/>
      <c r="B864" s="11"/>
      <c r="C864" s="11"/>
      <c r="D864" s="11"/>
      <c r="E864" s="12"/>
    </row>
    <row r="865" customHeight="1" spans="1:5">
      <c r="A865" s="11"/>
      <c r="B865" s="11"/>
      <c r="C865" s="11"/>
      <c r="D865" s="11"/>
      <c r="E865" s="12"/>
    </row>
    <row r="866" customHeight="1" spans="1:5">
      <c r="A866" s="11"/>
      <c r="B866" s="11"/>
      <c r="C866" s="11"/>
      <c r="D866" s="11"/>
      <c r="E866" s="12"/>
    </row>
    <row r="867" customHeight="1" spans="1:5">
      <c r="A867" s="11"/>
      <c r="B867" s="11"/>
      <c r="C867" s="11"/>
      <c r="D867" s="11"/>
      <c r="E867" s="12"/>
    </row>
    <row r="868" customHeight="1" spans="1:5">
      <c r="A868" s="11"/>
      <c r="B868" s="11"/>
      <c r="C868" s="11"/>
      <c r="D868" s="11"/>
      <c r="E868" s="12"/>
    </row>
    <row r="869" customHeight="1" spans="1:5">
      <c r="A869" s="11"/>
      <c r="B869" s="11"/>
      <c r="C869" s="11"/>
      <c r="D869" s="11"/>
      <c r="E869" s="12"/>
    </row>
    <row r="870" customHeight="1" spans="1:5">
      <c r="A870" s="11"/>
      <c r="B870" s="11"/>
      <c r="C870" s="11"/>
      <c r="D870" s="11"/>
      <c r="E870" s="12"/>
    </row>
    <row r="871" customHeight="1" spans="1:5">
      <c r="A871" s="11"/>
      <c r="B871" s="11"/>
      <c r="C871" s="11"/>
      <c r="D871" s="11"/>
      <c r="E871" s="12"/>
    </row>
    <row r="872" customHeight="1" spans="1:5">
      <c r="A872" s="11"/>
      <c r="B872" s="11"/>
      <c r="C872" s="11"/>
      <c r="D872" s="11"/>
      <c r="E872" s="12"/>
    </row>
    <row r="873" customHeight="1" spans="1:5">
      <c r="A873" s="11"/>
      <c r="B873" s="11"/>
      <c r="C873" s="11"/>
      <c r="D873" s="11"/>
      <c r="E873" s="12"/>
    </row>
    <row r="874" customHeight="1" spans="1:5">
      <c r="A874" s="11"/>
      <c r="B874" s="11"/>
      <c r="C874" s="11"/>
      <c r="D874" s="11"/>
      <c r="E874" s="12"/>
    </row>
    <row r="875" customHeight="1" spans="1:5">
      <c r="A875" s="11"/>
      <c r="B875" s="11"/>
      <c r="C875" s="11"/>
      <c r="D875" s="11"/>
      <c r="E875" s="12"/>
    </row>
    <row r="876" customHeight="1" spans="1:5">
      <c r="A876" s="11"/>
      <c r="B876" s="11"/>
      <c r="C876" s="11"/>
      <c r="D876" s="11"/>
      <c r="E876" s="12"/>
    </row>
    <row r="877" customHeight="1" spans="1:5">
      <c r="A877" s="11"/>
      <c r="B877" s="11"/>
      <c r="C877" s="11"/>
      <c r="D877" s="11"/>
      <c r="E877" s="12"/>
    </row>
    <row r="878" customHeight="1" spans="1:5">
      <c r="A878" s="11"/>
      <c r="B878" s="11"/>
      <c r="C878" s="11"/>
      <c r="D878" s="11"/>
      <c r="E878" s="12"/>
    </row>
    <row r="879" customHeight="1" spans="1:5">
      <c r="A879" s="11"/>
      <c r="B879" s="11"/>
      <c r="C879" s="11"/>
      <c r="D879" s="11"/>
      <c r="E879" s="12"/>
    </row>
    <row r="880" customHeight="1" spans="1:5">
      <c r="A880" s="11"/>
      <c r="B880" s="11"/>
      <c r="C880" s="11"/>
      <c r="D880" s="11"/>
      <c r="E880" s="12"/>
    </row>
    <row r="881" customHeight="1" spans="1:5">
      <c r="A881" s="11"/>
      <c r="B881" s="11"/>
      <c r="C881" s="11"/>
      <c r="D881" s="11"/>
      <c r="E881" s="12"/>
    </row>
    <row r="882" customHeight="1" spans="1:5">
      <c r="A882" s="11"/>
      <c r="B882" s="11"/>
      <c r="C882" s="11"/>
      <c r="D882" s="11"/>
      <c r="E882" s="12"/>
    </row>
    <row r="883" customHeight="1" spans="1:5">
      <c r="A883" s="11"/>
      <c r="B883" s="11"/>
      <c r="C883" s="11"/>
      <c r="D883" s="11"/>
      <c r="E883" s="12"/>
    </row>
    <row r="884" customHeight="1" spans="1:5">
      <c r="A884" s="11"/>
      <c r="B884" s="11"/>
      <c r="C884" s="11"/>
      <c r="D884" s="11"/>
      <c r="E884" s="12"/>
    </row>
    <row r="885" customHeight="1" spans="1:5">
      <c r="A885" s="11"/>
      <c r="B885" s="11"/>
      <c r="C885" s="11"/>
      <c r="D885" s="11"/>
      <c r="E885" s="12"/>
    </row>
    <row r="886" customHeight="1" spans="1:5">
      <c r="A886" s="11"/>
      <c r="B886" s="11"/>
      <c r="C886" s="11"/>
      <c r="D886" s="11"/>
      <c r="E886" s="12"/>
    </row>
    <row r="887" customHeight="1" spans="1:5">
      <c r="A887" s="11"/>
      <c r="B887" s="11"/>
      <c r="C887" s="11"/>
      <c r="D887" s="11"/>
      <c r="E887" s="12"/>
    </row>
    <row r="888" customHeight="1" spans="1:5">
      <c r="A888" s="11"/>
      <c r="B888" s="11"/>
      <c r="C888" s="11"/>
      <c r="D888" s="11"/>
      <c r="E888" s="12"/>
    </row>
    <row r="889" customHeight="1" spans="1:5">
      <c r="A889" s="11"/>
      <c r="B889" s="11"/>
      <c r="C889" s="11"/>
      <c r="D889" s="11"/>
      <c r="E889" s="12"/>
    </row>
    <row r="890" customHeight="1" spans="1:5">
      <c r="A890" s="11"/>
      <c r="B890" s="11"/>
      <c r="C890" s="11"/>
      <c r="D890" s="11"/>
      <c r="E890" s="12"/>
    </row>
    <row r="891" customHeight="1" spans="1:5">
      <c r="A891" s="11"/>
      <c r="B891" s="11"/>
      <c r="C891" s="11"/>
      <c r="D891" s="11"/>
      <c r="E891" s="12"/>
    </row>
    <row r="892" customHeight="1" spans="1:5">
      <c r="A892" s="11"/>
      <c r="B892" s="11"/>
      <c r="C892" s="11"/>
      <c r="D892" s="11"/>
      <c r="E892" s="12"/>
    </row>
    <row r="893" customHeight="1" spans="1:5">
      <c r="A893" s="11"/>
      <c r="B893" s="11"/>
      <c r="C893" s="11"/>
      <c r="D893" s="11"/>
      <c r="E893" s="12"/>
    </row>
    <row r="894" customHeight="1" spans="1:5">
      <c r="A894" s="11"/>
      <c r="B894" s="11"/>
      <c r="C894" s="11"/>
      <c r="D894" s="11"/>
      <c r="E894" s="12"/>
    </row>
    <row r="895" customHeight="1" spans="1:5">
      <c r="A895" s="11"/>
      <c r="B895" s="11"/>
      <c r="C895" s="11"/>
      <c r="D895" s="11"/>
      <c r="E895" s="12"/>
    </row>
    <row r="896" customHeight="1" spans="1:5">
      <c r="A896" s="11"/>
      <c r="B896" s="11"/>
      <c r="C896" s="11"/>
      <c r="D896" s="11"/>
      <c r="E896" s="12"/>
    </row>
    <row r="897" customHeight="1" spans="1:5">
      <c r="A897" s="11"/>
      <c r="B897" s="11"/>
      <c r="C897" s="11"/>
      <c r="D897" s="11"/>
      <c r="E897" s="12"/>
    </row>
    <row r="898" customHeight="1" spans="1:5">
      <c r="A898" s="11"/>
      <c r="B898" s="11"/>
      <c r="C898" s="11"/>
      <c r="D898" s="11"/>
      <c r="E898" s="12"/>
    </row>
    <row r="899" customHeight="1" spans="1:5">
      <c r="A899" s="11"/>
      <c r="B899" s="11"/>
      <c r="C899" s="11"/>
      <c r="D899" s="11"/>
      <c r="E899" s="12"/>
    </row>
    <row r="900" customHeight="1" spans="1:5">
      <c r="A900" s="11"/>
      <c r="B900" s="11"/>
      <c r="C900" s="11"/>
      <c r="D900" s="11"/>
      <c r="E900" s="12"/>
    </row>
    <row r="901" customHeight="1" spans="1:5">
      <c r="A901" s="11"/>
      <c r="B901" s="11"/>
      <c r="C901" s="11"/>
      <c r="D901" s="11"/>
      <c r="E901" s="12"/>
    </row>
    <row r="902" customHeight="1" spans="1:5">
      <c r="A902" s="11"/>
      <c r="B902" s="11"/>
      <c r="C902" s="11"/>
      <c r="D902" s="11"/>
      <c r="E902" s="12"/>
    </row>
    <row r="903" customHeight="1" spans="1:5">
      <c r="A903" s="11"/>
      <c r="B903" s="11"/>
      <c r="C903" s="11"/>
      <c r="D903" s="11"/>
      <c r="E903" s="12"/>
    </row>
    <row r="904" customHeight="1" spans="1:5">
      <c r="A904" s="11"/>
      <c r="B904" s="11"/>
      <c r="C904" s="11"/>
      <c r="D904" s="11"/>
      <c r="E904" s="12"/>
    </row>
    <row r="905" customHeight="1" spans="1:5">
      <c r="A905" s="11"/>
      <c r="B905" s="11"/>
      <c r="C905" s="11"/>
      <c r="D905" s="11"/>
      <c r="E905" s="12"/>
    </row>
    <row r="906" customHeight="1" spans="1:5">
      <c r="A906" s="11"/>
      <c r="B906" s="11"/>
      <c r="C906" s="11"/>
      <c r="D906" s="11"/>
      <c r="E906" s="12"/>
    </row>
    <row r="907" customHeight="1" spans="1:5">
      <c r="A907" s="11"/>
      <c r="B907" s="11"/>
      <c r="C907" s="11"/>
      <c r="D907" s="11"/>
      <c r="E907" s="12"/>
    </row>
    <row r="908" customHeight="1" spans="1:5">
      <c r="A908" s="11"/>
      <c r="B908" s="11"/>
      <c r="C908" s="11"/>
      <c r="D908" s="11"/>
      <c r="E908" s="12"/>
    </row>
    <row r="909" customHeight="1" spans="1:5">
      <c r="A909" s="11"/>
      <c r="B909" s="11"/>
      <c r="C909" s="11"/>
      <c r="D909" s="11"/>
      <c r="E909" s="12"/>
    </row>
    <row r="910" customHeight="1" spans="1:5">
      <c r="A910" s="11"/>
      <c r="B910" s="11"/>
      <c r="C910" s="11"/>
      <c r="D910" s="11"/>
      <c r="E910" s="12"/>
    </row>
    <row r="911" customHeight="1" spans="1:5">
      <c r="A911" s="11"/>
      <c r="B911" s="11"/>
      <c r="C911" s="11"/>
      <c r="D911" s="11"/>
      <c r="E911" s="12"/>
    </row>
    <row r="912" customHeight="1" spans="1:5">
      <c r="A912" s="11"/>
      <c r="B912" s="11"/>
      <c r="C912" s="11"/>
      <c r="D912" s="11"/>
      <c r="E912" s="12"/>
    </row>
    <row r="913" customHeight="1" spans="1:5">
      <c r="A913" s="11"/>
      <c r="B913" s="11"/>
      <c r="C913" s="11"/>
      <c r="D913" s="11"/>
      <c r="E913" s="12"/>
    </row>
    <row r="914" customHeight="1" spans="1:5">
      <c r="A914" s="11"/>
      <c r="B914" s="11"/>
      <c r="C914" s="11"/>
      <c r="D914" s="11"/>
      <c r="E914" s="12"/>
    </row>
    <row r="915" customHeight="1" spans="1:5">
      <c r="A915" s="11"/>
      <c r="B915" s="11"/>
      <c r="C915" s="11"/>
      <c r="D915" s="11"/>
      <c r="E915" s="12"/>
    </row>
    <row r="916" customHeight="1" spans="1:5">
      <c r="A916" s="11"/>
      <c r="B916" s="11"/>
      <c r="C916" s="11"/>
      <c r="D916" s="11"/>
      <c r="E916" s="12"/>
    </row>
    <row r="917" customHeight="1" spans="1:5">
      <c r="A917" s="11"/>
      <c r="B917" s="11"/>
      <c r="C917" s="11"/>
      <c r="D917" s="11"/>
      <c r="E917" s="12"/>
    </row>
    <row r="918" customHeight="1" spans="1:5">
      <c r="A918" s="11"/>
      <c r="B918" s="11"/>
      <c r="C918" s="11"/>
      <c r="D918" s="11"/>
      <c r="E918" s="12"/>
    </row>
    <row r="919" customHeight="1" spans="1:5">
      <c r="A919" s="11"/>
      <c r="B919" s="11"/>
      <c r="C919" s="11"/>
      <c r="D919" s="11"/>
      <c r="E919" s="12"/>
    </row>
    <row r="920" customHeight="1" spans="1:5">
      <c r="A920" s="11"/>
      <c r="B920" s="11"/>
      <c r="C920" s="11"/>
      <c r="D920" s="11"/>
      <c r="E920" s="12"/>
    </row>
    <row r="921" customHeight="1" spans="1:5">
      <c r="A921" s="11"/>
      <c r="B921" s="11"/>
      <c r="C921" s="11"/>
      <c r="D921" s="11"/>
      <c r="E921" s="12"/>
    </row>
    <row r="922" customHeight="1" spans="1:5">
      <c r="A922" s="11"/>
      <c r="B922" s="11"/>
      <c r="C922" s="11"/>
      <c r="D922" s="11"/>
      <c r="E922" s="12"/>
    </row>
    <row r="923" customHeight="1" spans="1:5">
      <c r="A923" s="11"/>
      <c r="B923" s="11"/>
      <c r="C923" s="11"/>
      <c r="D923" s="11"/>
      <c r="E923" s="12"/>
    </row>
    <row r="924" customHeight="1" spans="1:5">
      <c r="A924" s="11"/>
      <c r="B924" s="11"/>
      <c r="C924" s="11"/>
      <c r="D924" s="11"/>
      <c r="E924" s="12"/>
    </row>
    <row r="925" customHeight="1" spans="1:5">
      <c r="A925" s="11"/>
      <c r="B925" s="11"/>
      <c r="C925" s="11"/>
      <c r="D925" s="11"/>
      <c r="E925" s="12"/>
    </row>
    <row r="926" customHeight="1" spans="1:5">
      <c r="A926" s="11"/>
      <c r="B926" s="11"/>
      <c r="C926" s="11"/>
      <c r="D926" s="11"/>
      <c r="E926" s="12"/>
    </row>
    <row r="927" customHeight="1" spans="1:5">
      <c r="A927" s="11"/>
      <c r="B927" s="11"/>
      <c r="C927" s="11"/>
      <c r="D927" s="11"/>
      <c r="E927" s="12"/>
    </row>
    <row r="928" customHeight="1" spans="1:5">
      <c r="A928" s="11"/>
      <c r="B928" s="11"/>
      <c r="C928" s="11"/>
      <c r="D928" s="11"/>
      <c r="E928" s="12"/>
    </row>
    <row r="929" customHeight="1" spans="1:5">
      <c r="A929" s="11"/>
      <c r="B929" s="11"/>
      <c r="C929" s="11"/>
      <c r="D929" s="11"/>
      <c r="E929" s="12"/>
    </row>
    <row r="930" customHeight="1" spans="1:5">
      <c r="A930" s="11"/>
      <c r="B930" s="11"/>
      <c r="C930" s="11"/>
      <c r="D930" s="11"/>
      <c r="E930" s="12"/>
    </row>
    <row r="931" customHeight="1" spans="1:5">
      <c r="A931" s="11"/>
      <c r="B931" s="11"/>
      <c r="C931" s="11"/>
      <c r="D931" s="11"/>
      <c r="E931" s="12"/>
    </row>
    <row r="932" customHeight="1" spans="1:5">
      <c r="A932" s="11"/>
      <c r="B932" s="11"/>
      <c r="C932" s="11"/>
      <c r="D932" s="11"/>
      <c r="E932" s="12"/>
    </row>
    <row r="933" customHeight="1" spans="1:5">
      <c r="A933" s="11"/>
      <c r="B933" s="11"/>
      <c r="C933" s="11"/>
      <c r="D933" s="11"/>
      <c r="E933" s="12"/>
    </row>
    <row r="934" customHeight="1" spans="1:5">
      <c r="A934" s="11"/>
      <c r="B934" s="11"/>
      <c r="C934" s="11"/>
      <c r="D934" s="11"/>
      <c r="E934" s="12"/>
    </row>
    <row r="935" customHeight="1" spans="1:5">
      <c r="A935" s="11"/>
      <c r="B935" s="11"/>
      <c r="C935" s="11"/>
      <c r="D935" s="11"/>
      <c r="E935" s="12"/>
    </row>
    <row r="936" customHeight="1" spans="1:5">
      <c r="A936" s="11"/>
      <c r="B936" s="11"/>
      <c r="C936" s="11"/>
      <c r="D936" s="11"/>
      <c r="E936" s="12"/>
    </row>
    <row r="937" customHeight="1" spans="1:5">
      <c r="A937" s="11"/>
      <c r="B937" s="11"/>
      <c r="C937" s="11"/>
      <c r="D937" s="11"/>
      <c r="E937" s="12"/>
    </row>
    <row r="938" customHeight="1" spans="1:5">
      <c r="A938" s="11"/>
      <c r="B938" s="11"/>
      <c r="C938" s="11"/>
      <c r="D938" s="11"/>
      <c r="E938" s="12"/>
    </row>
    <row r="939" customHeight="1" spans="1:5">
      <c r="A939" s="11"/>
      <c r="B939" s="11"/>
      <c r="C939" s="11"/>
      <c r="D939" s="11"/>
      <c r="E939" s="12"/>
    </row>
    <row r="940" customHeight="1" spans="1:5">
      <c r="A940" s="11"/>
      <c r="B940" s="11"/>
      <c r="C940" s="11"/>
      <c r="D940" s="11"/>
      <c r="E940" s="12"/>
    </row>
    <row r="941" customHeight="1" spans="1:5">
      <c r="A941" s="11"/>
      <c r="B941" s="11"/>
      <c r="C941" s="11"/>
      <c r="D941" s="11"/>
      <c r="E941" s="12"/>
    </row>
    <row r="942" customHeight="1" spans="1:5">
      <c r="A942" s="11"/>
      <c r="B942" s="11"/>
      <c r="C942" s="11"/>
      <c r="D942" s="11"/>
      <c r="E942" s="12"/>
    </row>
    <row r="943" customHeight="1" spans="1:5">
      <c r="A943" s="11"/>
      <c r="B943" s="11"/>
      <c r="C943" s="11"/>
      <c r="D943" s="11"/>
      <c r="E943" s="12"/>
    </row>
    <row r="944" customHeight="1" spans="1:5">
      <c r="A944" s="11"/>
      <c r="B944" s="11"/>
      <c r="C944" s="11"/>
      <c r="D944" s="11"/>
      <c r="E944" s="12"/>
    </row>
    <row r="945" customHeight="1" spans="1:5">
      <c r="A945" s="11"/>
      <c r="B945" s="11"/>
      <c r="C945" s="11"/>
      <c r="D945" s="11"/>
      <c r="E945" s="12"/>
    </row>
    <row r="946" customHeight="1" spans="1:5">
      <c r="A946" s="11"/>
      <c r="B946" s="11"/>
      <c r="C946" s="11"/>
      <c r="D946" s="11"/>
      <c r="E946" s="12"/>
    </row>
    <row r="947" customHeight="1" spans="1:5">
      <c r="A947" s="11"/>
      <c r="B947" s="11"/>
      <c r="C947" s="11"/>
      <c r="D947" s="11"/>
      <c r="E947" s="12"/>
    </row>
    <row r="948" customHeight="1" spans="1:5">
      <c r="A948" s="11"/>
      <c r="B948" s="11"/>
      <c r="C948" s="11"/>
      <c r="D948" s="11"/>
      <c r="E948" s="12"/>
    </row>
    <row r="949" customHeight="1" spans="1:5">
      <c r="A949" s="11"/>
      <c r="B949" s="11"/>
      <c r="C949" s="11"/>
      <c r="D949" s="11"/>
      <c r="E949" s="12"/>
    </row>
    <row r="950" customHeight="1" spans="1:5">
      <c r="A950" s="11"/>
      <c r="B950" s="11"/>
      <c r="C950" s="11"/>
      <c r="D950" s="11"/>
      <c r="E950" s="12"/>
    </row>
    <row r="951" customHeight="1" spans="1:5">
      <c r="A951" s="11"/>
      <c r="B951" s="11"/>
      <c r="C951" s="11"/>
      <c r="D951" s="11"/>
      <c r="E951" s="12"/>
    </row>
    <row r="952" customHeight="1" spans="1:5">
      <c r="A952" s="11"/>
      <c r="B952" s="11"/>
      <c r="C952" s="11"/>
      <c r="D952" s="11"/>
      <c r="E952" s="12"/>
    </row>
    <row r="953" customHeight="1" spans="1:5">
      <c r="A953" s="11"/>
      <c r="B953" s="11"/>
      <c r="C953" s="11"/>
      <c r="D953" s="11"/>
      <c r="E953" s="12"/>
    </row>
    <row r="954" customHeight="1" spans="1:5">
      <c r="A954" s="11"/>
      <c r="B954" s="11"/>
      <c r="C954" s="11"/>
      <c r="D954" s="11"/>
      <c r="E954" s="12"/>
    </row>
    <row r="955" customHeight="1" spans="1:5">
      <c r="A955" s="11"/>
      <c r="B955" s="11"/>
      <c r="C955" s="11"/>
      <c r="D955" s="11"/>
      <c r="E955" s="12"/>
    </row>
    <row r="956" customHeight="1" spans="1:5">
      <c r="A956" s="11"/>
      <c r="B956" s="11"/>
      <c r="C956" s="11"/>
      <c r="D956" s="11"/>
      <c r="E956" s="12"/>
    </row>
    <row r="957" customHeight="1" spans="1:5">
      <c r="A957" s="11"/>
      <c r="B957" s="11"/>
      <c r="C957" s="11"/>
      <c r="D957" s="11"/>
      <c r="E957" s="12"/>
    </row>
    <row r="958" customHeight="1" spans="1:5">
      <c r="A958" s="11"/>
      <c r="B958" s="11"/>
      <c r="C958" s="11"/>
      <c r="D958" s="11"/>
      <c r="E958" s="12"/>
    </row>
    <row r="959" customHeight="1" spans="1:5">
      <c r="A959" s="11"/>
      <c r="B959" s="11"/>
      <c r="C959" s="11"/>
      <c r="D959" s="11"/>
      <c r="E959" s="12"/>
    </row>
    <row r="960" customHeight="1" spans="1:5">
      <c r="A960" s="11"/>
      <c r="B960" s="11"/>
      <c r="C960" s="11"/>
      <c r="D960" s="11"/>
      <c r="E960" s="12"/>
    </row>
    <row r="961" customHeight="1" spans="1:5">
      <c r="A961" s="11"/>
      <c r="B961" s="11"/>
      <c r="C961" s="11"/>
      <c r="D961" s="11"/>
      <c r="E961" s="12"/>
    </row>
    <row r="962" customHeight="1" spans="1:5">
      <c r="A962" s="11"/>
      <c r="B962" s="11"/>
      <c r="C962" s="11"/>
      <c r="D962" s="11"/>
      <c r="E962" s="12"/>
    </row>
    <row r="963" customHeight="1" spans="1:5">
      <c r="A963" s="11"/>
      <c r="B963" s="11"/>
      <c r="C963" s="11"/>
      <c r="D963" s="11"/>
      <c r="E963" s="12"/>
    </row>
    <row r="964" customHeight="1" spans="1:5">
      <c r="A964" s="11"/>
      <c r="B964" s="11"/>
      <c r="C964" s="11"/>
      <c r="D964" s="11"/>
      <c r="E964" s="12"/>
    </row>
    <row r="965" customHeight="1" spans="1:5">
      <c r="A965" s="11"/>
      <c r="B965" s="11"/>
      <c r="C965" s="11"/>
      <c r="D965" s="11"/>
      <c r="E965" s="12"/>
    </row>
    <row r="966" customHeight="1" spans="1:5">
      <c r="A966" s="11"/>
      <c r="B966" s="11"/>
      <c r="C966" s="11"/>
      <c r="D966" s="11"/>
      <c r="E966" s="12"/>
    </row>
    <row r="967" customHeight="1" spans="1:5">
      <c r="A967" s="11"/>
      <c r="B967" s="11"/>
      <c r="C967" s="11"/>
      <c r="D967" s="11"/>
      <c r="E967" s="12"/>
    </row>
    <row r="968" customHeight="1" spans="1:5">
      <c r="A968" s="11"/>
      <c r="B968" s="11"/>
      <c r="C968" s="11"/>
      <c r="D968" s="11"/>
      <c r="E968" s="12"/>
    </row>
    <row r="969" customHeight="1" spans="1:5">
      <c r="A969" s="11"/>
      <c r="B969" s="11"/>
      <c r="C969" s="11"/>
      <c r="D969" s="11"/>
      <c r="E969" s="12"/>
    </row>
    <row r="970" customHeight="1" spans="1:5">
      <c r="A970" s="11"/>
      <c r="B970" s="11"/>
      <c r="C970" s="11"/>
      <c r="D970" s="11"/>
      <c r="E970" s="12"/>
    </row>
    <row r="971" customHeight="1" spans="1:5">
      <c r="A971" s="11"/>
      <c r="B971" s="11"/>
      <c r="C971" s="11"/>
      <c r="D971" s="11"/>
      <c r="E971" s="12"/>
    </row>
    <row r="972" customHeight="1" spans="1:5">
      <c r="A972" s="11"/>
      <c r="B972" s="11"/>
      <c r="C972" s="11"/>
      <c r="D972" s="11"/>
      <c r="E972" s="12"/>
    </row>
    <row r="973" customHeight="1" spans="1:5">
      <c r="A973" s="11"/>
      <c r="B973" s="11"/>
      <c r="C973" s="11"/>
      <c r="D973" s="11"/>
      <c r="E973" s="12"/>
    </row>
    <row r="974" customHeight="1" spans="1:5">
      <c r="A974" s="11"/>
      <c r="B974" s="11"/>
      <c r="C974" s="11"/>
      <c r="D974" s="11"/>
      <c r="E974" s="12"/>
    </row>
    <row r="975" customHeight="1" spans="1:5">
      <c r="A975" s="11"/>
      <c r="B975" s="11"/>
      <c r="C975" s="11"/>
      <c r="D975" s="11"/>
      <c r="E975" s="12"/>
    </row>
    <row r="976" customHeight="1" spans="1:5">
      <c r="A976" s="11"/>
      <c r="B976" s="11"/>
      <c r="C976" s="11"/>
      <c r="D976" s="11"/>
      <c r="E976" s="12"/>
    </row>
    <row r="977" customHeight="1" spans="1:5">
      <c r="A977" s="11"/>
      <c r="B977" s="11"/>
      <c r="C977" s="11"/>
      <c r="D977" s="11"/>
      <c r="E977" s="12"/>
    </row>
    <row r="978" customHeight="1" spans="1:5">
      <c r="A978" s="11"/>
      <c r="B978" s="11"/>
      <c r="C978" s="11"/>
      <c r="D978" s="11"/>
      <c r="E978" s="12"/>
    </row>
    <row r="979" customHeight="1" spans="1:5">
      <c r="A979" s="11"/>
      <c r="B979" s="11"/>
      <c r="C979" s="11"/>
      <c r="D979" s="11"/>
      <c r="E979" s="12"/>
    </row>
    <row r="980" customHeight="1" spans="1:5">
      <c r="A980" s="11"/>
      <c r="B980" s="11"/>
      <c r="C980" s="11"/>
      <c r="D980" s="11"/>
      <c r="E980" s="12"/>
    </row>
    <row r="981" customHeight="1" spans="1:5">
      <c r="A981" s="11"/>
      <c r="B981" s="11"/>
      <c r="C981" s="11"/>
      <c r="D981" s="11"/>
      <c r="E981" s="12"/>
    </row>
    <row r="982" customHeight="1" spans="1:5">
      <c r="A982" s="11"/>
      <c r="B982" s="11"/>
      <c r="C982" s="11"/>
      <c r="D982" s="11"/>
      <c r="E982" s="12"/>
    </row>
    <row r="983" customHeight="1" spans="1:5">
      <c r="A983" s="11"/>
      <c r="B983" s="11"/>
      <c r="C983" s="11"/>
      <c r="D983" s="11"/>
      <c r="E983" s="12"/>
    </row>
    <row r="984" customHeight="1" spans="1:5">
      <c r="A984" s="11"/>
      <c r="B984" s="11"/>
      <c r="C984" s="11"/>
      <c r="D984" s="11"/>
      <c r="E984" s="12"/>
    </row>
    <row r="985" customHeight="1" spans="1:5">
      <c r="A985" s="11"/>
      <c r="B985" s="11"/>
      <c r="C985" s="11"/>
      <c r="D985" s="11"/>
      <c r="E985" s="12"/>
    </row>
    <row r="986" customHeight="1" spans="1:5">
      <c r="A986" s="11"/>
      <c r="B986" s="11"/>
      <c r="C986" s="11"/>
      <c r="D986" s="11"/>
      <c r="E986" s="12"/>
    </row>
    <row r="987" customHeight="1" spans="1:5">
      <c r="A987" s="11"/>
      <c r="B987" s="11"/>
      <c r="C987" s="11"/>
      <c r="D987" s="11"/>
      <c r="E987" s="12"/>
    </row>
    <row r="988" customHeight="1" spans="1:5">
      <c r="A988" s="11"/>
      <c r="B988" s="11"/>
      <c r="C988" s="11"/>
      <c r="D988" s="11"/>
      <c r="E988" s="12"/>
    </row>
    <row r="989" customHeight="1" spans="1:5">
      <c r="A989" s="11"/>
      <c r="B989" s="11"/>
      <c r="C989" s="11"/>
      <c r="D989" s="11"/>
      <c r="E989" s="12"/>
    </row>
    <row r="990" customHeight="1" spans="1:5">
      <c r="A990" s="11"/>
      <c r="B990" s="11"/>
      <c r="C990" s="11"/>
      <c r="D990" s="11"/>
      <c r="E990" s="12"/>
    </row>
    <row r="991" customHeight="1" spans="1:5">
      <c r="A991" s="11"/>
      <c r="B991" s="11"/>
      <c r="C991" s="11"/>
      <c r="D991" s="11"/>
      <c r="E991" s="12"/>
    </row>
    <row r="992" customHeight="1" spans="1:5">
      <c r="A992" s="11"/>
      <c r="B992" s="11"/>
      <c r="C992" s="11"/>
      <c r="D992" s="11"/>
      <c r="E992" s="12"/>
    </row>
    <row r="993" customHeight="1" spans="1:5">
      <c r="A993" s="11"/>
      <c r="B993" s="11"/>
      <c r="C993" s="11"/>
      <c r="D993" s="11"/>
      <c r="E993" s="12"/>
    </row>
    <row r="994" customHeight="1" spans="1:5">
      <c r="A994" s="11"/>
      <c r="B994" s="11"/>
      <c r="C994" s="11"/>
      <c r="D994" s="11"/>
      <c r="E994" s="12"/>
    </row>
    <row r="995" customHeight="1" spans="1:5">
      <c r="A995" s="11"/>
      <c r="B995" s="11"/>
      <c r="C995" s="11"/>
      <c r="D995" s="11"/>
      <c r="E995" s="12"/>
    </row>
    <row r="996" customHeight="1" spans="1:5">
      <c r="A996" s="11"/>
      <c r="B996" s="11"/>
      <c r="C996" s="11"/>
      <c r="D996" s="11"/>
      <c r="E996" s="12"/>
    </row>
    <row r="997" customHeight="1" spans="1:5">
      <c r="A997" s="11"/>
      <c r="B997" s="11"/>
      <c r="C997" s="11"/>
      <c r="D997" s="11"/>
      <c r="E997" s="12"/>
    </row>
    <row r="998" customHeight="1" spans="1:5">
      <c r="A998" s="11"/>
      <c r="B998" s="11"/>
      <c r="C998" s="11"/>
      <c r="D998" s="11"/>
      <c r="E998" s="12"/>
    </row>
    <row r="999" customHeight="1" spans="1:5">
      <c r="A999" s="11"/>
      <c r="B999" s="11"/>
      <c r="C999" s="11"/>
      <c r="D999" s="11"/>
      <c r="E999" s="12"/>
    </row>
    <row r="1000" customHeight="1" spans="1:5">
      <c r="A1000" s="11"/>
      <c r="B1000" s="11"/>
      <c r="C1000" s="11"/>
      <c r="D1000" s="11"/>
      <c r="E1000" s="12"/>
    </row>
    <row r="1001" customHeight="1" spans="1:5">
      <c r="A1001" s="11"/>
      <c r="B1001" s="11"/>
      <c r="C1001" s="11"/>
      <c r="D1001" s="11"/>
      <c r="E1001" s="12"/>
    </row>
    <row r="1002" customHeight="1" spans="1:5">
      <c r="A1002" s="11"/>
      <c r="B1002" s="11"/>
      <c r="C1002" s="11"/>
      <c r="D1002" s="11"/>
      <c r="E1002" s="12"/>
    </row>
    <row r="1003" customHeight="1" spans="1:5">
      <c r="A1003" s="11"/>
      <c r="B1003" s="11"/>
      <c r="C1003" s="11"/>
      <c r="D1003" s="11"/>
      <c r="E1003" s="12"/>
    </row>
    <row r="1004" customHeight="1" spans="1:5">
      <c r="A1004" s="11"/>
      <c r="B1004" s="11"/>
      <c r="C1004" s="11"/>
      <c r="D1004" s="11"/>
      <c r="E1004" s="12"/>
    </row>
    <row r="1005" customHeight="1" spans="1:5">
      <c r="A1005" s="11"/>
      <c r="B1005" s="11"/>
      <c r="C1005" s="11"/>
      <c r="D1005" s="11"/>
      <c r="E1005" s="12"/>
    </row>
    <row r="1006" customHeight="1" spans="1:5">
      <c r="A1006" s="11"/>
      <c r="B1006" s="11"/>
      <c r="C1006" s="11"/>
      <c r="D1006" s="11"/>
      <c r="E1006" s="12"/>
    </row>
    <row r="1007" customHeight="1" spans="1:5">
      <c r="A1007" s="11"/>
      <c r="B1007" s="11"/>
      <c r="C1007" s="11"/>
      <c r="D1007" s="11"/>
      <c r="E1007" s="12"/>
    </row>
    <row r="1008" customHeight="1" spans="1:5">
      <c r="A1008" s="11"/>
      <c r="B1008" s="11"/>
      <c r="C1008" s="11"/>
      <c r="D1008" s="11"/>
      <c r="E1008" s="12"/>
    </row>
    <row r="1009" customHeight="1" spans="1:5">
      <c r="A1009" s="11"/>
      <c r="B1009" s="11"/>
      <c r="C1009" s="11"/>
      <c r="D1009" s="11"/>
      <c r="E1009" s="12"/>
    </row>
    <row r="1010" customHeight="1" spans="1:5">
      <c r="A1010" s="11"/>
      <c r="B1010" s="11"/>
      <c r="C1010" s="11"/>
      <c r="D1010" s="11"/>
      <c r="E1010" s="12"/>
    </row>
    <row r="1011" customHeight="1" spans="1:5">
      <c r="A1011" s="11"/>
      <c r="B1011" s="11"/>
      <c r="C1011" s="11"/>
      <c r="D1011" s="11"/>
      <c r="E1011" s="12"/>
    </row>
    <row r="1012" customHeight="1" spans="1:5">
      <c r="A1012" s="11"/>
      <c r="B1012" s="11"/>
      <c r="C1012" s="11"/>
      <c r="D1012" s="11"/>
      <c r="E1012" s="12"/>
    </row>
    <row r="1013" customHeight="1" spans="1:5">
      <c r="A1013" s="11"/>
      <c r="B1013" s="11"/>
      <c r="C1013" s="11"/>
      <c r="D1013" s="11"/>
      <c r="E1013" s="12"/>
    </row>
    <row r="1014" customHeight="1" spans="1:5">
      <c r="A1014" s="11"/>
      <c r="B1014" s="11"/>
      <c r="C1014" s="11"/>
      <c r="D1014" s="11"/>
      <c r="E1014" s="12"/>
    </row>
    <row r="1015" customHeight="1" spans="1:5">
      <c r="A1015" s="11"/>
      <c r="B1015" s="11"/>
      <c r="C1015" s="11"/>
      <c r="D1015" s="11"/>
      <c r="E1015" s="12"/>
    </row>
    <row r="1016" customHeight="1" spans="1:5">
      <c r="A1016" s="11"/>
      <c r="B1016" s="11"/>
      <c r="C1016" s="11"/>
      <c r="D1016" s="11"/>
      <c r="E1016" s="12"/>
    </row>
    <row r="1017" customHeight="1" spans="1:5">
      <c r="A1017" s="11"/>
      <c r="B1017" s="11"/>
      <c r="C1017" s="11"/>
      <c r="D1017" s="11"/>
      <c r="E1017" s="12"/>
    </row>
    <row r="1018" customHeight="1" spans="1:5">
      <c r="A1018" s="11"/>
      <c r="B1018" s="11"/>
      <c r="C1018" s="11"/>
      <c r="D1018" s="11"/>
      <c r="E1018" s="12"/>
    </row>
    <row r="1019" customHeight="1" spans="1:5">
      <c r="A1019" s="11"/>
      <c r="B1019" s="11"/>
      <c r="C1019" s="11"/>
      <c r="D1019" s="11"/>
      <c r="E1019" s="12"/>
    </row>
    <row r="1020" customHeight="1" spans="1:5">
      <c r="A1020" s="11"/>
      <c r="B1020" s="11"/>
      <c r="C1020" s="11"/>
      <c r="D1020" s="11"/>
      <c r="E1020" s="12"/>
    </row>
    <row r="1021" customHeight="1" spans="1:5">
      <c r="A1021" s="11"/>
      <c r="B1021" s="11"/>
      <c r="C1021" s="11"/>
      <c r="D1021" s="11"/>
      <c r="E1021" s="12"/>
    </row>
    <row r="1022" customHeight="1" spans="1:5">
      <c r="A1022" s="11"/>
      <c r="B1022" s="11"/>
      <c r="C1022" s="11"/>
      <c r="D1022" s="11"/>
      <c r="E1022" s="12"/>
    </row>
    <row r="1023" customHeight="1" spans="1:5">
      <c r="A1023" s="11"/>
      <c r="B1023" s="11"/>
      <c r="C1023" s="11"/>
      <c r="D1023" s="11"/>
      <c r="E1023" s="12"/>
    </row>
    <row r="1024" customHeight="1" spans="1:5">
      <c r="A1024" s="11"/>
      <c r="B1024" s="11"/>
      <c r="C1024" s="11"/>
      <c r="D1024" s="11"/>
      <c r="E1024" s="12"/>
    </row>
    <row r="1025" customHeight="1" spans="1:5">
      <c r="A1025" s="11"/>
      <c r="B1025" s="11"/>
      <c r="C1025" s="11"/>
      <c r="D1025" s="11"/>
      <c r="E1025" s="12"/>
    </row>
    <row r="1026" customHeight="1" spans="1:5">
      <c r="A1026" s="11"/>
      <c r="B1026" s="11"/>
      <c r="C1026" s="11"/>
      <c r="D1026" s="11"/>
      <c r="E1026" s="12"/>
    </row>
    <row r="1027" customHeight="1" spans="1:5">
      <c r="A1027" s="11"/>
      <c r="B1027" s="11"/>
      <c r="C1027" s="11"/>
      <c r="D1027" s="11"/>
      <c r="E1027" s="12"/>
    </row>
    <row r="1028" customHeight="1" spans="1:5">
      <c r="A1028" s="11"/>
      <c r="B1028" s="11"/>
      <c r="C1028" s="11"/>
      <c r="D1028" s="11"/>
      <c r="E1028" s="12"/>
    </row>
    <row r="1029" customHeight="1" spans="1:5">
      <c r="A1029" s="11"/>
      <c r="B1029" s="11"/>
      <c r="C1029" s="11"/>
      <c r="D1029" s="11"/>
      <c r="E1029" s="12"/>
    </row>
    <row r="1030" customHeight="1" spans="1:5">
      <c r="A1030" s="11"/>
      <c r="B1030" s="11"/>
      <c r="C1030" s="11"/>
      <c r="D1030" s="11"/>
      <c r="E1030" s="12"/>
    </row>
    <row r="1031" customHeight="1" spans="1:5">
      <c r="A1031" s="11"/>
      <c r="B1031" s="11"/>
      <c r="C1031" s="11"/>
      <c r="D1031" s="11"/>
      <c r="E1031" s="12"/>
    </row>
    <row r="1032" customHeight="1" spans="1:5">
      <c r="A1032" s="11"/>
      <c r="B1032" s="11"/>
      <c r="C1032" s="11"/>
      <c r="D1032" s="11"/>
      <c r="E1032" s="12"/>
    </row>
    <row r="1033" customHeight="1" spans="1:5">
      <c r="A1033" s="11"/>
      <c r="B1033" s="11"/>
      <c r="C1033" s="11"/>
      <c r="D1033" s="11"/>
      <c r="E1033" s="12"/>
    </row>
    <row r="1034" customHeight="1" spans="1:5">
      <c r="A1034" s="11"/>
      <c r="B1034" s="11"/>
      <c r="C1034" s="11"/>
      <c r="D1034" s="11"/>
      <c r="E1034" s="12"/>
    </row>
    <row r="1035" customHeight="1" spans="1:5">
      <c r="A1035" s="11"/>
      <c r="B1035" s="11"/>
      <c r="C1035" s="11"/>
      <c r="D1035" s="11"/>
      <c r="E1035" s="12"/>
    </row>
    <row r="1036" customHeight="1" spans="1:5">
      <c r="A1036" s="11"/>
      <c r="B1036" s="11"/>
      <c r="C1036" s="11"/>
      <c r="D1036" s="11"/>
      <c r="E1036" s="12"/>
    </row>
    <row r="1037" customHeight="1" spans="1:5">
      <c r="A1037" s="11"/>
      <c r="B1037" s="11"/>
      <c r="C1037" s="11"/>
      <c r="D1037" s="11"/>
      <c r="E1037" s="12"/>
    </row>
    <row r="1038" customHeight="1" spans="1:5">
      <c r="A1038" s="11"/>
      <c r="B1038" s="11"/>
      <c r="C1038" s="11"/>
      <c r="D1038" s="11"/>
      <c r="E1038" s="12"/>
    </row>
    <row r="1039" customHeight="1" spans="1:5">
      <c r="A1039" s="11"/>
      <c r="B1039" s="11"/>
      <c r="C1039" s="11"/>
      <c r="D1039" s="11"/>
      <c r="E1039" s="12"/>
    </row>
    <row r="1040" customHeight="1" spans="1:5">
      <c r="A1040" s="11"/>
      <c r="B1040" s="11"/>
      <c r="C1040" s="11"/>
      <c r="D1040" s="11"/>
      <c r="E1040" s="12"/>
    </row>
    <row r="1041" customHeight="1" spans="1:5">
      <c r="A1041" s="11"/>
      <c r="B1041" s="11"/>
      <c r="C1041" s="11"/>
      <c r="D1041" s="11"/>
      <c r="E1041" s="12"/>
    </row>
    <row r="1042" customHeight="1" spans="1:5">
      <c r="A1042" s="11"/>
      <c r="B1042" s="11"/>
      <c r="C1042" s="11"/>
      <c r="D1042" s="11"/>
      <c r="E1042" s="12"/>
    </row>
    <row r="1043" customHeight="1" spans="1:5">
      <c r="A1043" s="11"/>
      <c r="B1043" s="11"/>
      <c r="C1043" s="11"/>
      <c r="D1043" s="11"/>
      <c r="E1043" s="12"/>
    </row>
    <row r="1044" customHeight="1" spans="1:5">
      <c r="A1044" s="11"/>
      <c r="B1044" s="11"/>
      <c r="C1044" s="11"/>
      <c r="D1044" s="11"/>
      <c r="E1044" s="12"/>
    </row>
    <row r="1045" customHeight="1" spans="1:5">
      <c r="A1045" s="11"/>
      <c r="B1045" s="11"/>
      <c r="C1045" s="11"/>
      <c r="D1045" s="11"/>
      <c r="E1045" s="12"/>
    </row>
    <row r="1046" customHeight="1" spans="1:5">
      <c r="A1046" s="11"/>
      <c r="B1046" s="11"/>
      <c r="C1046" s="11"/>
      <c r="D1046" s="11"/>
      <c r="E1046" s="12"/>
    </row>
    <row r="1047" customHeight="1" spans="1:5">
      <c r="A1047" s="11"/>
      <c r="B1047" s="11"/>
      <c r="C1047" s="11"/>
      <c r="D1047" s="11"/>
      <c r="E1047" s="12"/>
    </row>
    <row r="1048" customHeight="1" spans="1:5">
      <c r="A1048" s="11"/>
      <c r="B1048" s="11"/>
      <c r="C1048" s="11"/>
      <c r="D1048" s="11"/>
      <c r="E1048" s="12"/>
    </row>
    <row r="1049" customHeight="1" spans="1:5">
      <c r="A1049" s="11"/>
      <c r="B1049" s="11"/>
      <c r="C1049" s="11"/>
      <c r="D1049" s="11"/>
      <c r="E1049" s="12"/>
    </row>
    <row r="1050" customHeight="1" spans="1:5">
      <c r="A1050" s="11"/>
      <c r="B1050" s="11"/>
      <c r="C1050" s="11"/>
      <c r="D1050" s="11"/>
      <c r="E1050" s="12"/>
    </row>
    <row r="1051" customHeight="1" spans="1:5">
      <c r="A1051" s="11"/>
      <c r="B1051" s="11"/>
      <c r="C1051" s="11"/>
      <c r="D1051" s="11"/>
      <c r="E1051" s="12"/>
    </row>
    <row r="1052" customHeight="1" spans="1:5">
      <c r="A1052" s="11"/>
      <c r="B1052" s="11"/>
      <c r="C1052" s="11"/>
      <c r="D1052" s="11"/>
      <c r="E1052" s="12"/>
    </row>
    <row r="1053" customHeight="1" spans="1:5">
      <c r="A1053" s="11"/>
      <c r="B1053" s="11"/>
      <c r="C1053" s="11"/>
      <c r="D1053" s="11"/>
      <c r="E1053" s="12"/>
    </row>
    <row r="1054" customHeight="1" spans="1:5">
      <c r="A1054" s="11"/>
      <c r="B1054" s="11"/>
      <c r="C1054" s="11"/>
      <c r="D1054" s="11"/>
      <c r="E1054" s="12"/>
    </row>
    <row r="1055" customHeight="1" spans="1:5">
      <c r="A1055" s="11"/>
      <c r="B1055" s="11"/>
      <c r="C1055" s="11"/>
      <c r="D1055" s="11"/>
      <c r="E1055" s="12"/>
    </row>
    <row r="1056" customHeight="1" spans="1:5">
      <c r="A1056" s="11"/>
      <c r="B1056" s="11"/>
      <c r="C1056" s="11"/>
      <c r="D1056" s="11"/>
      <c r="E1056" s="12"/>
    </row>
    <row r="1057" customHeight="1" spans="1:5">
      <c r="A1057" s="11"/>
      <c r="B1057" s="11"/>
      <c r="C1057" s="11"/>
      <c r="D1057" s="11"/>
      <c r="E1057" s="12"/>
    </row>
    <row r="1058" customHeight="1" spans="1:5">
      <c r="A1058" s="11"/>
      <c r="B1058" s="11"/>
      <c r="C1058" s="11"/>
      <c r="D1058" s="11"/>
      <c r="E1058" s="12"/>
    </row>
    <row r="1059" customHeight="1" spans="1:5">
      <c r="A1059" s="11"/>
      <c r="B1059" s="11"/>
      <c r="C1059" s="11"/>
      <c r="D1059" s="11"/>
      <c r="E1059" s="12"/>
    </row>
    <row r="1060" customHeight="1" spans="1:5">
      <c r="A1060" s="11"/>
      <c r="B1060" s="11"/>
      <c r="C1060" s="11"/>
      <c r="D1060" s="11"/>
      <c r="E1060" s="12"/>
    </row>
    <row r="1061" customHeight="1" spans="1:5">
      <c r="A1061" s="11"/>
      <c r="B1061" s="11"/>
      <c r="C1061" s="11"/>
      <c r="D1061" s="11"/>
      <c r="E1061" s="12"/>
    </row>
    <row r="1062" customHeight="1" spans="1:5">
      <c r="A1062" s="11"/>
      <c r="B1062" s="11"/>
      <c r="C1062" s="11"/>
      <c r="D1062" s="11"/>
      <c r="E1062" s="12"/>
    </row>
    <row r="1063" customHeight="1" spans="1:5">
      <c r="A1063" s="11"/>
      <c r="B1063" s="11"/>
      <c r="C1063" s="11"/>
      <c r="D1063" s="11"/>
      <c r="E1063" s="12"/>
    </row>
    <row r="1064" customHeight="1" spans="1:5">
      <c r="A1064" s="11"/>
      <c r="B1064" s="11"/>
      <c r="C1064" s="11"/>
      <c r="D1064" s="11"/>
      <c r="E1064" s="12"/>
    </row>
    <row r="1065" customHeight="1" spans="1:5">
      <c r="A1065" s="11"/>
      <c r="B1065" s="11"/>
      <c r="C1065" s="11"/>
      <c r="D1065" s="11"/>
      <c r="E1065" s="12"/>
    </row>
    <row r="1066" customHeight="1" spans="1:5">
      <c r="A1066" s="11"/>
      <c r="B1066" s="11"/>
      <c r="C1066" s="11"/>
      <c r="D1066" s="11"/>
      <c r="E1066" s="12"/>
    </row>
    <row r="1067" customHeight="1" spans="1:5">
      <c r="A1067" s="11"/>
      <c r="B1067" s="11"/>
      <c r="C1067" s="11"/>
      <c r="D1067" s="11"/>
      <c r="E1067" s="12"/>
    </row>
    <row r="1068" customHeight="1" spans="1:5">
      <c r="A1068" s="11"/>
      <c r="B1068" s="11"/>
      <c r="C1068" s="11"/>
      <c r="D1068" s="11"/>
      <c r="E1068" s="12"/>
    </row>
    <row r="1069" customHeight="1" spans="1:5">
      <c r="A1069" s="11"/>
      <c r="B1069" s="11"/>
      <c r="C1069" s="11"/>
      <c r="D1069" s="11"/>
      <c r="E1069" s="12"/>
    </row>
    <row r="1070" customHeight="1" spans="1:5">
      <c r="A1070" s="11"/>
      <c r="B1070" s="11"/>
      <c r="C1070" s="11"/>
      <c r="D1070" s="11"/>
      <c r="E1070" s="12"/>
    </row>
    <row r="1071" customHeight="1" spans="1:5">
      <c r="A1071" s="11"/>
      <c r="B1071" s="11"/>
      <c r="C1071" s="11"/>
      <c r="D1071" s="11"/>
      <c r="E1071" s="12"/>
    </row>
    <row r="1072" customHeight="1" spans="1:5">
      <c r="A1072" s="11"/>
      <c r="B1072" s="11"/>
      <c r="C1072" s="11"/>
      <c r="D1072" s="11"/>
      <c r="E1072" s="12"/>
    </row>
    <row r="1073" customHeight="1" spans="1:5">
      <c r="A1073" s="11"/>
      <c r="B1073" s="11"/>
      <c r="C1073" s="11"/>
      <c r="D1073" s="11"/>
      <c r="E1073" s="12"/>
    </row>
    <row r="1074" customHeight="1" spans="1:5">
      <c r="A1074" s="11"/>
      <c r="B1074" s="11"/>
      <c r="C1074" s="11"/>
      <c r="D1074" s="11"/>
      <c r="E1074" s="12"/>
    </row>
    <row r="1075" customHeight="1" spans="1:5">
      <c r="A1075" s="11"/>
      <c r="B1075" s="11"/>
      <c r="C1075" s="11"/>
      <c r="D1075" s="11"/>
      <c r="E1075" s="12"/>
    </row>
    <row r="1076" customHeight="1" spans="1:5">
      <c r="A1076" s="11"/>
      <c r="B1076" s="11"/>
      <c r="C1076" s="11"/>
      <c r="D1076" s="11"/>
      <c r="E1076" s="12"/>
    </row>
    <row r="1077" customHeight="1" spans="1:5">
      <c r="A1077" s="11"/>
      <c r="B1077" s="11"/>
      <c r="C1077" s="11"/>
      <c r="D1077" s="11"/>
      <c r="E1077" s="12"/>
    </row>
    <row r="1078" customHeight="1" spans="1:5">
      <c r="A1078" s="11"/>
      <c r="B1078" s="11"/>
      <c r="C1078" s="11"/>
      <c r="D1078" s="11"/>
      <c r="E1078" s="12"/>
    </row>
    <row r="1079" customHeight="1" spans="1:5">
      <c r="A1079" s="11"/>
      <c r="B1079" s="11"/>
      <c r="C1079" s="11"/>
      <c r="D1079" s="11"/>
      <c r="E1079" s="12"/>
    </row>
    <row r="1080" customHeight="1" spans="1:5">
      <c r="A1080" s="11"/>
      <c r="B1080" s="11"/>
      <c r="C1080" s="11"/>
      <c r="D1080" s="11"/>
      <c r="E1080" s="12"/>
    </row>
    <row r="1081" customHeight="1" spans="1:5">
      <c r="A1081" s="11"/>
      <c r="B1081" s="11"/>
      <c r="C1081" s="11"/>
      <c r="D1081" s="11"/>
      <c r="E1081" s="12"/>
    </row>
    <row r="1082" customHeight="1" spans="1:5">
      <c r="A1082" s="11"/>
      <c r="B1082" s="11"/>
      <c r="C1082" s="11"/>
      <c r="D1082" s="11"/>
      <c r="E1082" s="12"/>
    </row>
    <row r="1083" customHeight="1" spans="1:5">
      <c r="A1083" s="11"/>
      <c r="B1083" s="11"/>
      <c r="C1083" s="11"/>
      <c r="D1083" s="11"/>
      <c r="E1083" s="12"/>
    </row>
    <row r="1084" customHeight="1" spans="1:5">
      <c r="A1084" s="11"/>
      <c r="B1084" s="11"/>
      <c r="C1084" s="11"/>
      <c r="D1084" s="11"/>
      <c r="E1084" s="12"/>
    </row>
    <row r="1085" customHeight="1" spans="1:5">
      <c r="A1085" s="11"/>
      <c r="B1085" s="11"/>
      <c r="C1085" s="11"/>
      <c r="D1085" s="11"/>
      <c r="E1085" s="12"/>
    </row>
    <row r="1086" customHeight="1" spans="1:5">
      <c r="A1086" s="11"/>
      <c r="B1086" s="11"/>
      <c r="C1086" s="11"/>
      <c r="D1086" s="11"/>
      <c r="E1086" s="12"/>
    </row>
    <row r="1087" customHeight="1" spans="1:5">
      <c r="A1087" s="11"/>
      <c r="B1087" s="11"/>
      <c r="C1087" s="11"/>
      <c r="D1087" s="11"/>
      <c r="E1087" s="12"/>
    </row>
    <row r="1088" customHeight="1" spans="1:5">
      <c r="A1088" s="11"/>
      <c r="B1088" s="11"/>
      <c r="C1088" s="11"/>
      <c r="D1088" s="11"/>
      <c r="E1088" s="12"/>
    </row>
    <row r="1089" customHeight="1" spans="1:5">
      <c r="A1089" s="11"/>
      <c r="B1089" s="11"/>
      <c r="C1089" s="11"/>
      <c r="D1089" s="11"/>
      <c r="E1089" s="12"/>
    </row>
    <row r="1090" customHeight="1" spans="1:5">
      <c r="A1090" s="11"/>
      <c r="B1090" s="11"/>
      <c r="C1090" s="11"/>
      <c r="D1090" s="11"/>
      <c r="E1090" s="12"/>
    </row>
    <row r="1091" customHeight="1" spans="1:5">
      <c r="A1091" s="11"/>
      <c r="B1091" s="11"/>
      <c r="C1091" s="11"/>
      <c r="D1091" s="11"/>
      <c r="E1091" s="12"/>
    </row>
    <row r="1092" customHeight="1" spans="1:5">
      <c r="A1092" s="11"/>
      <c r="B1092" s="11"/>
      <c r="C1092" s="11"/>
      <c r="D1092" s="11"/>
      <c r="E1092" s="12"/>
    </row>
    <row r="1093" customHeight="1" spans="1:5">
      <c r="A1093" s="11"/>
      <c r="B1093" s="11"/>
      <c r="C1093" s="11"/>
      <c r="D1093" s="11"/>
      <c r="E1093" s="12"/>
    </row>
    <row r="1094" customHeight="1" spans="1:5">
      <c r="A1094" s="11"/>
      <c r="B1094" s="11"/>
      <c r="C1094" s="11"/>
      <c r="D1094" s="11"/>
      <c r="E1094" s="12"/>
    </row>
    <row r="1095" customHeight="1" spans="1:5">
      <c r="A1095" s="11"/>
      <c r="B1095" s="11"/>
      <c r="C1095" s="11"/>
      <c r="D1095" s="11"/>
      <c r="E1095" s="12"/>
    </row>
    <row r="1096" customHeight="1" spans="1:5">
      <c r="A1096" s="11"/>
      <c r="B1096" s="11"/>
      <c r="C1096" s="11"/>
      <c r="D1096" s="11"/>
      <c r="E1096" s="12"/>
    </row>
    <row r="1097" customHeight="1" spans="1:5">
      <c r="A1097" s="11"/>
      <c r="B1097" s="11"/>
      <c r="C1097" s="11"/>
      <c r="D1097" s="11"/>
      <c r="E1097" s="12"/>
    </row>
    <row r="1098" customHeight="1" spans="1:5">
      <c r="A1098" s="11"/>
      <c r="B1098" s="11"/>
      <c r="C1098" s="11"/>
      <c r="D1098" s="11"/>
      <c r="E1098" s="12"/>
    </row>
    <row r="1099" customHeight="1" spans="1:5">
      <c r="A1099" s="11"/>
      <c r="B1099" s="11"/>
      <c r="C1099" s="11"/>
      <c r="D1099" s="11"/>
      <c r="E1099" s="12"/>
    </row>
    <row r="1100" customHeight="1" spans="1:5">
      <c r="A1100" s="11"/>
      <c r="B1100" s="11"/>
      <c r="C1100" s="11"/>
      <c r="D1100" s="11"/>
      <c r="E1100" s="12"/>
    </row>
    <row r="1101" customHeight="1" spans="1:5">
      <c r="A1101" s="11"/>
      <c r="B1101" s="11"/>
      <c r="C1101" s="11"/>
      <c r="D1101" s="11"/>
      <c r="E1101" s="12"/>
    </row>
    <row r="1102" customHeight="1" spans="1:5">
      <c r="A1102" s="11"/>
      <c r="B1102" s="11"/>
      <c r="C1102" s="11"/>
      <c r="D1102" s="11"/>
      <c r="E1102" s="12"/>
    </row>
    <row r="1103" customHeight="1" spans="1:5">
      <c r="A1103" s="11"/>
      <c r="B1103" s="11"/>
      <c r="C1103" s="11"/>
      <c r="D1103" s="11"/>
      <c r="E1103" s="12"/>
    </row>
    <row r="1104" customHeight="1" spans="1:5">
      <c r="A1104" s="11"/>
      <c r="B1104" s="11"/>
      <c r="C1104" s="11"/>
      <c r="D1104" s="11"/>
      <c r="E1104" s="12"/>
    </row>
    <row r="1105" customHeight="1" spans="1:5">
      <c r="A1105" s="11"/>
      <c r="B1105" s="11"/>
      <c r="C1105" s="11"/>
      <c r="D1105" s="11"/>
      <c r="E1105" s="12"/>
    </row>
    <row r="1106" customHeight="1" spans="1:5">
      <c r="A1106" s="11"/>
      <c r="B1106" s="11"/>
      <c r="C1106" s="11"/>
      <c r="D1106" s="11"/>
      <c r="E1106" s="12"/>
    </row>
    <row r="1107" customHeight="1" spans="1:5">
      <c r="A1107" s="11"/>
      <c r="B1107" s="11"/>
      <c r="C1107" s="11"/>
      <c r="D1107" s="11"/>
      <c r="E1107" s="12"/>
    </row>
    <row r="1108" customHeight="1" spans="1:5">
      <c r="A1108" s="11"/>
      <c r="B1108" s="11"/>
      <c r="C1108" s="11"/>
      <c r="D1108" s="11"/>
      <c r="E1108" s="12"/>
    </row>
    <row r="1109" customHeight="1" spans="1:5">
      <c r="A1109" s="11"/>
      <c r="B1109" s="11"/>
      <c r="C1109" s="11"/>
      <c r="D1109" s="11"/>
      <c r="E1109" s="12"/>
    </row>
    <row r="1110" customHeight="1" spans="1:5">
      <c r="A1110" s="11"/>
      <c r="B1110" s="11"/>
      <c r="C1110" s="11"/>
      <c r="D1110" s="11"/>
      <c r="E1110" s="12"/>
    </row>
    <row r="1111" customHeight="1" spans="1:5">
      <c r="A1111" s="11"/>
      <c r="B1111" s="11"/>
      <c r="C1111" s="11"/>
      <c r="D1111" s="11"/>
      <c r="E1111" s="12"/>
    </row>
    <row r="1112" customHeight="1" spans="1:5">
      <c r="A1112" s="11"/>
      <c r="B1112" s="11"/>
      <c r="C1112" s="11"/>
      <c r="D1112" s="11"/>
      <c r="E1112" s="12"/>
    </row>
    <row r="1113" customHeight="1" spans="1:5">
      <c r="A1113" s="11"/>
      <c r="B1113" s="11"/>
      <c r="C1113" s="11"/>
      <c r="D1113" s="11"/>
      <c r="E1113" s="12"/>
    </row>
    <row r="1114" customHeight="1" spans="1:5">
      <c r="A1114" s="11"/>
      <c r="B1114" s="11"/>
      <c r="C1114" s="11"/>
      <c r="D1114" s="11"/>
      <c r="E1114" s="12"/>
    </row>
    <row r="1115" customHeight="1" spans="1:5">
      <c r="A1115" s="11"/>
      <c r="B1115" s="11"/>
      <c r="C1115" s="11"/>
      <c r="D1115" s="11"/>
      <c r="E1115" s="12"/>
    </row>
    <row r="1116" customHeight="1" spans="1:5">
      <c r="A1116" s="11"/>
      <c r="B1116" s="11"/>
      <c r="C1116" s="11"/>
      <c r="D1116" s="11"/>
      <c r="E1116" s="12"/>
    </row>
    <row r="1117" customHeight="1" spans="1:5">
      <c r="A1117" s="11"/>
      <c r="B1117" s="11"/>
      <c r="C1117" s="11"/>
      <c r="D1117" s="11"/>
      <c r="E1117" s="12"/>
    </row>
    <row r="1118" customHeight="1" spans="1:5">
      <c r="A1118" s="11"/>
      <c r="B1118" s="11"/>
      <c r="C1118" s="11"/>
      <c r="D1118" s="11"/>
      <c r="E1118" s="12"/>
    </row>
    <row r="1119" customHeight="1" spans="1:5">
      <c r="A1119" s="11"/>
      <c r="B1119" s="11"/>
      <c r="C1119" s="11"/>
      <c r="D1119" s="11"/>
      <c r="E1119" s="12"/>
    </row>
    <row r="1120" customHeight="1" spans="1:5">
      <c r="A1120" s="11"/>
      <c r="B1120" s="11"/>
      <c r="C1120" s="11"/>
      <c r="D1120" s="11"/>
      <c r="E1120" s="12"/>
    </row>
    <row r="1121" customHeight="1" spans="1:5">
      <c r="A1121" s="11"/>
      <c r="B1121" s="11"/>
      <c r="C1121" s="11"/>
      <c r="D1121" s="11"/>
      <c r="E1121" s="12"/>
    </row>
    <row r="1122" customHeight="1" spans="1:5">
      <c r="A1122" s="11"/>
      <c r="B1122" s="11"/>
      <c r="C1122" s="11"/>
      <c r="D1122" s="11"/>
      <c r="E1122" s="12"/>
    </row>
    <row r="1123" customHeight="1" spans="1:5">
      <c r="A1123" s="11"/>
      <c r="B1123" s="11"/>
      <c r="C1123" s="11"/>
      <c r="D1123" s="11"/>
      <c r="E1123" s="12"/>
    </row>
    <row r="1124" customHeight="1" spans="1:5">
      <c r="A1124" s="11"/>
      <c r="B1124" s="11"/>
      <c r="C1124" s="11"/>
      <c r="D1124" s="11"/>
      <c r="E1124" s="12"/>
    </row>
    <row r="1125" customHeight="1" spans="1:5">
      <c r="A1125" s="11"/>
      <c r="B1125" s="11"/>
      <c r="C1125" s="11"/>
      <c r="D1125" s="11"/>
      <c r="E1125" s="12"/>
    </row>
    <row r="1126" customHeight="1" spans="1:5">
      <c r="A1126" s="11"/>
      <c r="B1126" s="11"/>
      <c r="C1126" s="11"/>
      <c r="D1126" s="11"/>
      <c r="E1126" s="12"/>
    </row>
    <row r="1127" customHeight="1" spans="1:5">
      <c r="A1127" s="11"/>
      <c r="B1127" s="11"/>
      <c r="C1127" s="11"/>
      <c r="D1127" s="11"/>
      <c r="E1127" s="12"/>
    </row>
    <row r="1128" customHeight="1" spans="1:5">
      <c r="A1128" s="11"/>
      <c r="B1128" s="11"/>
      <c r="C1128" s="11"/>
      <c r="D1128" s="11"/>
      <c r="E1128" s="12"/>
    </row>
    <row r="1129" customHeight="1" spans="1:5">
      <c r="A1129" s="11"/>
      <c r="B1129" s="11"/>
      <c r="C1129" s="11"/>
      <c r="D1129" s="11"/>
      <c r="E1129" s="12"/>
    </row>
    <row r="1130" customHeight="1" spans="1:5">
      <c r="A1130" s="11"/>
      <c r="B1130" s="11"/>
      <c r="C1130" s="11"/>
      <c r="D1130" s="11"/>
      <c r="E1130" s="12"/>
    </row>
    <row r="1131" customHeight="1" spans="1:5">
      <c r="A1131" s="11"/>
      <c r="B1131" s="11"/>
      <c r="C1131" s="11"/>
      <c r="D1131" s="11"/>
      <c r="E1131" s="12"/>
    </row>
    <row r="1132" customHeight="1" spans="1:5">
      <c r="A1132" s="11"/>
      <c r="B1132" s="11"/>
      <c r="C1132" s="11"/>
      <c r="D1132" s="11"/>
      <c r="E1132" s="12"/>
    </row>
    <row r="1133" customHeight="1" spans="1:5">
      <c r="A1133" s="11"/>
      <c r="B1133" s="11"/>
      <c r="C1133" s="11"/>
      <c r="D1133" s="11"/>
      <c r="E1133" s="12"/>
    </row>
    <row r="1134" customHeight="1" spans="1:5">
      <c r="A1134" s="11"/>
      <c r="B1134" s="11"/>
      <c r="C1134" s="11"/>
      <c r="D1134" s="11"/>
      <c r="E1134" s="12"/>
    </row>
    <row r="1135" customHeight="1" spans="1:5">
      <c r="A1135" s="11"/>
      <c r="B1135" s="11"/>
      <c r="C1135" s="11"/>
      <c r="D1135" s="11"/>
      <c r="E1135" s="12"/>
    </row>
    <row r="1136" customHeight="1" spans="1:5">
      <c r="A1136" s="11"/>
      <c r="B1136" s="11"/>
      <c r="C1136" s="11"/>
      <c r="D1136" s="11"/>
      <c r="E1136" s="12"/>
    </row>
    <row r="1137" customHeight="1" spans="1:5">
      <c r="A1137" s="11"/>
      <c r="B1137" s="11"/>
      <c r="C1137" s="11"/>
      <c r="D1137" s="11"/>
      <c r="E1137" s="12"/>
    </row>
    <row r="1138" customHeight="1" spans="1:5">
      <c r="A1138" s="11"/>
      <c r="B1138" s="11"/>
      <c r="C1138" s="11"/>
      <c r="D1138" s="11"/>
      <c r="E1138" s="12"/>
    </row>
    <row r="1139" customHeight="1" spans="1:5">
      <c r="A1139" s="11"/>
      <c r="B1139" s="11"/>
      <c r="C1139" s="11"/>
      <c r="D1139" s="11"/>
      <c r="E1139" s="12"/>
    </row>
    <row r="1140" customHeight="1" spans="1:5">
      <c r="A1140" s="11"/>
      <c r="B1140" s="11"/>
      <c r="C1140" s="11"/>
      <c r="D1140" s="11"/>
      <c r="E1140" s="12"/>
    </row>
    <row r="1141" customHeight="1" spans="1:5">
      <c r="A1141" s="11"/>
      <c r="B1141" s="11"/>
      <c r="C1141" s="11"/>
      <c r="D1141" s="11"/>
      <c r="E1141" s="12"/>
    </row>
    <row r="1142" customHeight="1" spans="1:5">
      <c r="A1142" s="11"/>
      <c r="B1142" s="11"/>
      <c r="C1142" s="11"/>
      <c r="D1142" s="11"/>
      <c r="E1142" s="12"/>
    </row>
    <row r="1143" customHeight="1" spans="1:5">
      <c r="A1143" s="11"/>
      <c r="B1143" s="11"/>
      <c r="C1143" s="11"/>
      <c r="D1143" s="11"/>
      <c r="E1143" s="12"/>
    </row>
    <row r="1144" customHeight="1" spans="1:5">
      <c r="A1144" s="11"/>
      <c r="B1144" s="11"/>
      <c r="C1144" s="11"/>
      <c r="D1144" s="11"/>
      <c r="E1144" s="12"/>
    </row>
    <row r="1145" customHeight="1" spans="1:5">
      <c r="A1145" s="11"/>
      <c r="B1145" s="11"/>
      <c r="C1145" s="11"/>
      <c r="D1145" s="11"/>
      <c r="E1145" s="12"/>
    </row>
    <row r="1146" customHeight="1" spans="1:5">
      <c r="A1146" s="11"/>
      <c r="B1146" s="11"/>
      <c r="C1146" s="11"/>
      <c r="D1146" s="11"/>
      <c r="E1146" s="12"/>
    </row>
    <row r="1147" customHeight="1" spans="1:5">
      <c r="A1147" s="11"/>
      <c r="B1147" s="11"/>
      <c r="C1147" s="11"/>
      <c r="D1147" s="11"/>
      <c r="E1147" s="12"/>
    </row>
    <row r="1148" customHeight="1" spans="1:5">
      <c r="A1148" s="11"/>
      <c r="B1148" s="11"/>
      <c r="C1148" s="11"/>
      <c r="D1148" s="11"/>
      <c r="E1148" s="12"/>
    </row>
    <row r="1149" customHeight="1" spans="1:5">
      <c r="A1149" s="11"/>
      <c r="B1149" s="11"/>
      <c r="C1149" s="11"/>
      <c r="D1149" s="11"/>
      <c r="E1149" s="12"/>
    </row>
    <row r="1150" customHeight="1" spans="1:5">
      <c r="A1150" s="11"/>
      <c r="B1150" s="11"/>
      <c r="C1150" s="11"/>
      <c r="D1150" s="11"/>
      <c r="E1150" s="12"/>
    </row>
    <row r="1151" customHeight="1" spans="1:5">
      <c r="A1151" s="11"/>
      <c r="B1151" s="11"/>
      <c r="C1151" s="11"/>
      <c r="D1151" s="11"/>
      <c r="E1151" s="12"/>
    </row>
    <row r="1152" customHeight="1" spans="1:5">
      <c r="A1152" s="11"/>
      <c r="B1152" s="11"/>
      <c r="C1152" s="11"/>
      <c r="D1152" s="11"/>
      <c r="E1152" s="12"/>
    </row>
    <row r="1153" customHeight="1" spans="1:5">
      <c r="A1153" s="11"/>
      <c r="B1153" s="11"/>
      <c r="C1153" s="11"/>
      <c r="D1153" s="11"/>
      <c r="E1153" s="12"/>
    </row>
    <row r="1154" customHeight="1" spans="1:5">
      <c r="A1154" s="11"/>
      <c r="B1154" s="11"/>
      <c r="C1154" s="11"/>
      <c r="D1154" s="11"/>
      <c r="E1154" s="12"/>
    </row>
    <row r="1155" customHeight="1" spans="1:5">
      <c r="A1155" s="11"/>
      <c r="B1155" s="11"/>
      <c r="C1155" s="11"/>
      <c r="D1155" s="11"/>
      <c r="E1155" s="12"/>
    </row>
    <row r="1156" customHeight="1" spans="1:5">
      <c r="A1156" s="11"/>
      <c r="B1156" s="11"/>
      <c r="C1156" s="11"/>
      <c r="D1156" s="11"/>
      <c r="E1156" s="12"/>
    </row>
    <row r="1157" customHeight="1" spans="1:5">
      <c r="A1157" s="11"/>
      <c r="B1157" s="11"/>
      <c r="C1157" s="11"/>
      <c r="D1157" s="11"/>
      <c r="E1157" s="12"/>
    </row>
    <row r="1158" customHeight="1" spans="1:5">
      <c r="A1158" s="11"/>
      <c r="B1158" s="11"/>
      <c r="C1158" s="11"/>
      <c r="D1158" s="11"/>
      <c r="E1158" s="12"/>
    </row>
    <row r="1159" customHeight="1" spans="1:5">
      <c r="A1159" s="11"/>
      <c r="B1159" s="11"/>
      <c r="C1159" s="11"/>
      <c r="D1159" s="11"/>
      <c r="E1159" s="12"/>
    </row>
    <row r="1160" customHeight="1" spans="1:5">
      <c r="A1160" s="11"/>
      <c r="B1160" s="11"/>
      <c r="C1160" s="11"/>
      <c r="D1160" s="11"/>
      <c r="E1160" s="12"/>
    </row>
    <row r="1161" customHeight="1" spans="1:5">
      <c r="A1161" s="11"/>
      <c r="B1161" s="11"/>
      <c r="C1161" s="11"/>
      <c r="D1161" s="11"/>
      <c r="E1161" s="12"/>
    </row>
    <row r="1162" customHeight="1" spans="1:5">
      <c r="A1162" s="11"/>
      <c r="B1162" s="11"/>
      <c r="C1162" s="11"/>
      <c r="D1162" s="11"/>
      <c r="E1162" s="12"/>
    </row>
    <row r="1163" customHeight="1" spans="1:5">
      <c r="A1163" s="11"/>
      <c r="B1163" s="11"/>
      <c r="C1163" s="11"/>
      <c r="D1163" s="11"/>
      <c r="E1163" s="12"/>
    </row>
    <row r="1164" customHeight="1" spans="1:5">
      <c r="A1164" s="11"/>
      <c r="B1164" s="11"/>
      <c r="C1164" s="11"/>
      <c r="D1164" s="11"/>
      <c r="E1164" s="12"/>
    </row>
    <row r="1165" customHeight="1" spans="1:5">
      <c r="A1165" s="11"/>
      <c r="B1165" s="11"/>
      <c r="C1165" s="11"/>
      <c r="D1165" s="11"/>
      <c r="E1165" s="12"/>
    </row>
    <row r="1166" customHeight="1" spans="1:5">
      <c r="A1166" s="11"/>
      <c r="B1166" s="11"/>
      <c r="C1166" s="11"/>
      <c r="D1166" s="11"/>
      <c r="E1166" s="12"/>
    </row>
    <row r="1167" customHeight="1" spans="1:5">
      <c r="A1167" s="11"/>
      <c r="B1167" s="11"/>
      <c r="C1167" s="11"/>
      <c r="D1167" s="11"/>
      <c r="E1167" s="12"/>
    </row>
    <row r="1168" customHeight="1" spans="1:5">
      <c r="A1168" s="11"/>
      <c r="B1168" s="11"/>
      <c r="C1168" s="11"/>
      <c r="D1168" s="11"/>
      <c r="E1168" s="12"/>
    </row>
    <row r="1169" customHeight="1" spans="1:5">
      <c r="A1169" s="11"/>
      <c r="B1169" s="11"/>
      <c r="C1169" s="11"/>
      <c r="D1169" s="11"/>
      <c r="E1169" s="12"/>
    </row>
    <row r="1170" customHeight="1" spans="1:5">
      <c r="A1170" s="11"/>
      <c r="B1170" s="11"/>
      <c r="C1170" s="11"/>
      <c r="D1170" s="11"/>
      <c r="E1170" s="12"/>
    </row>
    <row r="1171" customHeight="1" spans="1:5">
      <c r="A1171" s="11"/>
      <c r="B1171" s="11"/>
      <c r="C1171" s="11"/>
      <c r="D1171" s="11"/>
      <c r="E1171" s="12"/>
    </row>
    <row r="1172" customHeight="1" spans="1:5">
      <c r="A1172" s="11"/>
      <c r="B1172" s="11"/>
      <c r="C1172" s="11"/>
      <c r="D1172" s="11"/>
      <c r="E1172" s="12"/>
    </row>
    <row r="1173" customHeight="1" spans="1:5">
      <c r="A1173" s="11"/>
      <c r="B1173" s="11"/>
      <c r="C1173" s="11"/>
      <c r="D1173" s="11"/>
      <c r="E1173" s="12"/>
    </row>
    <row r="1174" customHeight="1" spans="1:5">
      <c r="A1174" s="11"/>
      <c r="B1174" s="11"/>
      <c r="C1174" s="11"/>
      <c r="D1174" s="11"/>
      <c r="E1174" s="12"/>
    </row>
    <row r="1175" customHeight="1" spans="1:5">
      <c r="A1175" s="11"/>
      <c r="B1175" s="11"/>
      <c r="C1175" s="11"/>
      <c r="D1175" s="11"/>
      <c r="E1175" s="12"/>
    </row>
    <row r="1176" customHeight="1" spans="1:5">
      <c r="A1176" s="11"/>
      <c r="B1176" s="11"/>
      <c r="C1176" s="11"/>
      <c r="D1176" s="11"/>
      <c r="E1176" s="12"/>
    </row>
    <row r="1177" customHeight="1" spans="1:5">
      <c r="A1177" s="11"/>
      <c r="B1177" s="11"/>
      <c r="C1177" s="11"/>
      <c r="D1177" s="11"/>
      <c r="E1177" s="12"/>
    </row>
    <row r="1178" customHeight="1" spans="1:5">
      <c r="A1178" s="11"/>
      <c r="B1178" s="11"/>
      <c r="C1178" s="11"/>
      <c r="D1178" s="11"/>
      <c r="E1178" s="12"/>
    </row>
    <row r="1179" customHeight="1" spans="1:5">
      <c r="A1179" s="11"/>
      <c r="B1179" s="11"/>
      <c r="C1179" s="11"/>
      <c r="D1179" s="11"/>
      <c r="E1179" s="12"/>
    </row>
    <row r="1180" customHeight="1" spans="1:5">
      <c r="A1180" s="11"/>
      <c r="B1180" s="11"/>
      <c r="C1180" s="11"/>
      <c r="D1180" s="11"/>
      <c r="E1180" s="12"/>
    </row>
    <row r="1181" customHeight="1" spans="1:5">
      <c r="A1181" s="11"/>
      <c r="B1181" s="11"/>
      <c r="C1181" s="11"/>
      <c r="D1181" s="11"/>
      <c r="E1181" s="12"/>
    </row>
    <row r="1182" customHeight="1" spans="1:5">
      <c r="A1182" s="11"/>
      <c r="B1182" s="11"/>
      <c r="C1182" s="11"/>
      <c r="D1182" s="11"/>
      <c r="E1182" s="12"/>
    </row>
    <row r="1183" customHeight="1" spans="1:5">
      <c r="A1183" s="11"/>
      <c r="B1183" s="11"/>
      <c r="C1183" s="11"/>
      <c r="D1183" s="11"/>
      <c r="E1183" s="12"/>
    </row>
    <row r="1184" customHeight="1" spans="1:5">
      <c r="A1184" s="11"/>
      <c r="B1184" s="11"/>
      <c r="C1184" s="11"/>
      <c r="D1184" s="11"/>
      <c r="E1184" s="12"/>
    </row>
    <row r="1185" customHeight="1" spans="1:5">
      <c r="A1185" s="11"/>
      <c r="B1185" s="11"/>
      <c r="C1185" s="11"/>
      <c r="D1185" s="11"/>
      <c r="E1185" s="12"/>
    </row>
    <row r="1186" customHeight="1" spans="1:5">
      <c r="A1186" s="11"/>
      <c r="B1186" s="11"/>
      <c r="C1186" s="11"/>
      <c r="D1186" s="11"/>
      <c r="E1186" s="12"/>
    </row>
    <row r="1187" customHeight="1" spans="1:5">
      <c r="A1187" s="11"/>
      <c r="B1187" s="11"/>
      <c r="C1187" s="11"/>
      <c r="D1187" s="11"/>
      <c r="E1187" s="12"/>
    </row>
    <row r="1188" customHeight="1" spans="1:5">
      <c r="A1188" s="11"/>
      <c r="B1188" s="11"/>
      <c r="C1188" s="11"/>
      <c r="D1188" s="11"/>
      <c r="E1188" s="12"/>
    </row>
    <row r="1189" customHeight="1" spans="1:5">
      <c r="A1189" s="11"/>
      <c r="B1189" s="11"/>
      <c r="C1189" s="11"/>
      <c r="D1189" s="11"/>
      <c r="E1189" s="12"/>
    </row>
    <row r="1190" customHeight="1" spans="1:5">
      <c r="A1190" s="11"/>
      <c r="B1190" s="11"/>
      <c r="C1190" s="11"/>
      <c r="D1190" s="11"/>
      <c r="E1190" s="12"/>
    </row>
    <row r="1191" customHeight="1" spans="1:5">
      <c r="A1191" s="11"/>
      <c r="B1191" s="11"/>
      <c r="C1191" s="11"/>
      <c r="D1191" s="11"/>
      <c r="E1191" s="12"/>
    </row>
    <row r="1192" customHeight="1" spans="1:5">
      <c r="A1192" s="11"/>
      <c r="B1192" s="11"/>
      <c r="C1192" s="11"/>
      <c r="D1192" s="11"/>
      <c r="E1192" s="12"/>
    </row>
    <row r="1193" customHeight="1" spans="1:5">
      <c r="A1193" s="11"/>
      <c r="B1193" s="11"/>
      <c r="C1193" s="11"/>
      <c r="D1193" s="11"/>
      <c r="E1193" s="12"/>
    </row>
    <row r="1194" customHeight="1" spans="1:5">
      <c r="A1194" s="11"/>
      <c r="B1194" s="11"/>
      <c r="C1194" s="11"/>
      <c r="D1194" s="11"/>
      <c r="E1194" s="12"/>
    </row>
    <row r="1195" customHeight="1" spans="1:5">
      <c r="A1195" s="11"/>
      <c r="B1195" s="11"/>
      <c r="C1195" s="11"/>
      <c r="D1195" s="11"/>
      <c r="E1195" s="12"/>
    </row>
    <row r="1196" customHeight="1" spans="1:5">
      <c r="A1196" s="11"/>
      <c r="B1196" s="11"/>
      <c r="C1196" s="11"/>
      <c r="D1196" s="11"/>
      <c r="E1196" s="12"/>
    </row>
    <row r="1197" customHeight="1" spans="1:5">
      <c r="A1197" s="11"/>
      <c r="B1197" s="11"/>
      <c r="C1197" s="11"/>
      <c r="D1197" s="11"/>
      <c r="E1197" s="12"/>
    </row>
    <row r="1198" customHeight="1" spans="1:5">
      <c r="A1198" s="11"/>
      <c r="B1198" s="11"/>
      <c r="C1198" s="11"/>
      <c r="D1198" s="11"/>
      <c r="E1198" s="12"/>
    </row>
    <row r="1199" customHeight="1" spans="1:5">
      <c r="A1199" s="11"/>
      <c r="B1199" s="11"/>
      <c r="C1199" s="11"/>
      <c r="D1199" s="11"/>
      <c r="E1199" s="12"/>
    </row>
    <row r="1200" customHeight="1" spans="1:5">
      <c r="A1200" s="11"/>
      <c r="B1200" s="11"/>
      <c r="C1200" s="11"/>
      <c r="D1200" s="11"/>
      <c r="E1200" s="12"/>
    </row>
    <row r="1201" customHeight="1" spans="1:5">
      <c r="A1201" s="11"/>
      <c r="B1201" s="11"/>
      <c r="C1201" s="11"/>
      <c r="D1201" s="11"/>
      <c r="E1201" s="12"/>
    </row>
    <row r="1202" customHeight="1" spans="1:5">
      <c r="A1202" s="11"/>
      <c r="B1202" s="11"/>
      <c r="C1202" s="11"/>
      <c r="D1202" s="11"/>
      <c r="E1202" s="12"/>
    </row>
    <row r="1203" customHeight="1" spans="1:5">
      <c r="A1203" s="11"/>
      <c r="B1203" s="11"/>
      <c r="C1203" s="11"/>
      <c r="D1203" s="11"/>
      <c r="E1203" s="12"/>
    </row>
    <row r="1204" customHeight="1" spans="1:5">
      <c r="A1204" s="11"/>
      <c r="B1204" s="11"/>
      <c r="C1204" s="11"/>
      <c r="D1204" s="11"/>
      <c r="E1204" s="12"/>
    </row>
    <row r="1205" customHeight="1" spans="1:5">
      <c r="A1205" s="11"/>
      <c r="B1205" s="11"/>
      <c r="C1205" s="11"/>
      <c r="D1205" s="11"/>
      <c r="E1205" s="12"/>
    </row>
    <row r="1206" customHeight="1" spans="1:5">
      <c r="A1206" s="11"/>
      <c r="B1206" s="11"/>
      <c r="C1206" s="11"/>
      <c r="D1206" s="11"/>
      <c r="E1206" s="12"/>
    </row>
    <row r="1207" customHeight="1" spans="1:5">
      <c r="A1207" s="11"/>
      <c r="B1207" s="11"/>
      <c r="C1207" s="11"/>
      <c r="D1207" s="11"/>
      <c r="E1207" s="12"/>
    </row>
    <row r="1208" customHeight="1" spans="1:5">
      <c r="A1208" s="11"/>
      <c r="B1208" s="11"/>
      <c r="C1208" s="11"/>
      <c r="D1208" s="11"/>
      <c r="E1208" s="12"/>
    </row>
    <row r="1209" customHeight="1" spans="1:5">
      <c r="A1209" s="11"/>
      <c r="B1209" s="11"/>
      <c r="C1209" s="11"/>
      <c r="D1209" s="11"/>
      <c r="E1209" s="12"/>
    </row>
    <row r="1210" customHeight="1" spans="1:5">
      <c r="A1210" s="11"/>
      <c r="B1210" s="11"/>
      <c r="C1210" s="11"/>
      <c r="D1210" s="11"/>
      <c r="E1210" s="12"/>
    </row>
    <row r="1211" customHeight="1" spans="1:5">
      <c r="A1211" s="11"/>
      <c r="B1211" s="11"/>
      <c r="C1211" s="11"/>
      <c r="D1211" s="11"/>
      <c r="E1211" s="12"/>
    </row>
    <row r="1212" customHeight="1" spans="1:5">
      <c r="A1212" s="11"/>
      <c r="B1212" s="11"/>
      <c r="C1212" s="11"/>
      <c r="D1212" s="11"/>
      <c r="E1212" s="12"/>
    </row>
    <row r="1213" customHeight="1" spans="1:5">
      <c r="A1213" s="11"/>
      <c r="B1213" s="11"/>
      <c r="C1213" s="11"/>
      <c r="D1213" s="11"/>
      <c r="E1213" s="12"/>
    </row>
    <row r="1214" customHeight="1" spans="1:5">
      <c r="A1214" s="11"/>
      <c r="B1214" s="11"/>
      <c r="C1214" s="11"/>
      <c r="D1214" s="11"/>
      <c r="E1214" s="12"/>
    </row>
    <row r="1215" customHeight="1" spans="1:5">
      <c r="A1215" s="11"/>
      <c r="B1215" s="11"/>
      <c r="C1215" s="11"/>
      <c r="D1215" s="11"/>
      <c r="E1215" s="12"/>
    </row>
    <row r="1216" customHeight="1" spans="1:5">
      <c r="A1216" s="11"/>
      <c r="B1216" s="11"/>
      <c r="C1216" s="11"/>
      <c r="D1216" s="11"/>
      <c r="E1216" s="12"/>
    </row>
    <row r="1217" customHeight="1" spans="1:5">
      <c r="A1217" s="11"/>
      <c r="B1217" s="11"/>
      <c r="C1217" s="11"/>
      <c r="D1217" s="11"/>
      <c r="E1217" s="12"/>
    </row>
    <row r="1218" customHeight="1" spans="1:5">
      <c r="A1218" s="11"/>
      <c r="B1218" s="11"/>
      <c r="C1218" s="11"/>
      <c r="D1218" s="11"/>
      <c r="E1218" s="12"/>
    </row>
    <row r="1219" customHeight="1" spans="1:5">
      <c r="A1219" s="11"/>
      <c r="B1219" s="11"/>
      <c r="C1219" s="11"/>
      <c r="D1219" s="11"/>
      <c r="E1219" s="12"/>
    </row>
    <row r="1220" customHeight="1" spans="1:5">
      <c r="A1220" s="11"/>
      <c r="B1220" s="11"/>
      <c r="C1220" s="11"/>
      <c r="D1220" s="11"/>
      <c r="E1220" s="12"/>
    </row>
    <row r="1221" customHeight="1" spans="1:5">
      <c r="A1221" s="11"/>
      <c r="B1221" s="11"/>
      <c r="C1221" s="11"/>
      <c r="D1221" s="11"/>
      <c r="E1221" s="12"/>
    </row>
    <row r="1222" customHeight="1" spans="1:5">
      <c r="A1222" s="11"/>
      <c r="B1222" s="11"/>
      <c r="C1222" s="11"/>
      <c r="D1222" s="11"/>
      <c r="E1222" s="12"/>
    </row>
    <row r="1223" customHeight="1" spans="1:5">
      <c r="A1223" s="11"/>
      <c r="B1223" s="11"/>
      <c r="C1223" s="11"/>
      <c r="D1223" s="11"/>
      <c r="E1223" s="12"/>
    </row>
    <row r="1224" customHeight="1" spans="1:5">
      <c r="A1224" s="11"/>
      <c r="B1224" s="11"/>
      <c r="C1224" s="11"/>
      <c r="D1224" s="11"/>
      <c r="E1224" s="12"/>
    </row>
    <row r="1225" customHeight="1" spans="1:5">
      <c r="A1225" s="11"/>
      <c r="B1225" s="11"/>
      <c r="C1225" s="11"/>
      <c r="D1225" s="11"/>
      <c r="E1225" s="12"/>
    </row>
    <row r="1226" customHeight="1" spans="1:5">
      <c r="A1226" s="11"/>
      <c r="B1226" s="11"/>
      <c r="C1226" s="11"/>
      <c r="D1226" s="11"/>
      <c r="E1226" s="12"/>
    </row>
    <row r="1227" customHeight="1" spans="1:5">
      <c r="A1227" s="11"/>
      <c r="B1227" s="11"/>
      <c r="C1227" s="11"/>
      <c r="D1227" s="11"/>
      <c r="E1227" s="12"/>
    </row>
    <row r="1228" customHeight="1" spans="1:5">
      <c r="A1228" s="11"/>
      <c r="B1228" s="11"/>
      <c r="C1228" s="11"/>
      <c r="D1228" s="11"/>
      <c r="E1228" s="12"/>
    </row>
    <row r="1229" customHeight="1" spans="1:5">
      <c r="A1229" s="11"/>
      <c r="B1229" s="11"/>
      <c r="C1229" s="11"/>
      <c r="D1229" s="11"/>
      <c r="E1229" s="12"/>
    </row>
    <row r="1230" customHeight="1" spans="1:5">
      <c r="A1230" s="11"/>
      <c r="B1230" s="11"/>
      <c r="C1230" s="11"/>
      <c r="D1230" s="11"/>
      <c r="E1230" s="12"/>
    </row>
    <row r="1231" customHeight="1" spans="1:5">
      <c r="A1231" s="11"/>
      <c r="B1231" s="11"/>
      <c r="C1231" s="11"/>
      <c r="D1231" s="11"/>
      <c r="E1231" s="12"/>
    </row>
    <row r="1232" customHeight="1" spans="1:5">
      <c r="A1232" s="11"/>
      <c r="B1232" s="11"/>
      <c r="C1232" s="11"/>
      <c r="D1232" s="11"/>
      <c r="E1232" s="12"/>
    </row>
    <row r="1233" customHeight="1" spans="1:5">
      <c r="A1233" s="11"/>
      <c r="B1233" s="11"/>
      <c r="C1233" s="11"/>
      <c r="D1233" s="11"/>
      <c r="E1233" s="12"/>
    </row>
    <row r="1234" customHeight="1" spans="1:5">
      <c r="A1234" s="11"/>
      <c r="B1234" s="11"/>
      <c r="C1234" s="11"/>
      <c r="D1234" s="11"/>
      <c r="E1234" s="12"/>
    </row>
    <row r="1235" customHeight="1" spans="1:5">
      <c r="A1235" s="11"/>
      <c r="B1235" s="11"/>
      <c r="C1235" s="11"/>
      <c r="D1235" s="11"/>
      <c r="E1235" s="12"/>
    </row>
    <row r="1236" customHeight="1" spans="1:5">
      <c r="A1236" s="11"/>
      <c r="B1236" s="11"/>
      <c r="C1236" s="11"/>
      <c r="D1236" s="11"/>
      <c r="E1236" s="12"/>
    </row>
    <row r="1237" customHeight="1" spans="1:5">
      <c r="A1237" s="11"/>
      <c r="B1237" s="11"/>
      <c r="C1237" s="11"/>
      <c r="D1237" s="11"/>
      <c r="E1237" s="12"/>
    </row>
    <row r="1238" customHeight="1" spans="1:5">
      <c r="A1238" s="11"/>
      <c r="B1238" s="11"/>
      <c r="C1238" s="11"/>
      <c r="D1238" s="11"/>
      <c r="E1238" s="12"/>
    </row>
    <row r="1239" customHeight="1" spans="1:5">
      <c r="A1239" s="11"/>
      <c r="B1239" s="11"/>
      <c r="C1239" s="11"/>
      <c r="D1239" s="11"/>
      <c r="E1239" s="12"/>
    </row>
    <row r="1240" customHeight="1" spans="1:5">
      <c r="A1240" s="11"/>
      <c r="B1240" s="11"/>
      <c r="C1240" s="11"/>
      <c r="D1240" s="11"/>
      <c r="E1240" s="12"/>
    </row>
    <row r="1241" customHeight="1" spans="1:5">
      <c r="A1241" s="11"/>
      <c r="B1241" s="11"/>
      <c r="C1241" s="11"/>
      <c r="D1241" s="11"/>
      <c r="E1241" s="12"/>
    </row>
    <row r="1242" customHeight="1" spans="1:5">
      <c r="A1242" s="11"/>
      <c r="B1242" s="11"/>
      <c r="C1242" s="11"/>
      <c r="D1242" s="11"/>
      <c r="E1242" s="12"/>
    </row>
    <row r="1243" customHeight="1" spans="1:5">
      <c r="A1243" s="11"/>
      <c r="B1243" s="11"/>
      <c r="C1243" s="11"/>
      <c r="D1243" s="11"/>
      <c r="E1243" s="12"/>
    </row>
    <row r="1244" customHeight="1" spans="1:5">
      <c r="A1244" s="11"/>
      <c r="B1244" s="11"/>
      <c r="C1244" s="11"/>
      <c r="D1244" s="11"/>
      <c r="E1244" s="12"/>
    </row>
    <row r="1245" customHeight="1" spans="1:5">
      <c r="A1245" s="11"/>
      <c r="B1245" s="11"/>
      <c r="C1245" s="11"/>
      <c r="D1245" s="11"/>
      <c r="E1245" s="12"/>
    </row>
    <row r="1246" customHeight="1" spans="1:5">
      <c r="A1246" s="11"/>
      <c r="B1246" s="11"/>
      <c r="C1246" s="11"/>
      <c r="D1246" s="11"/>
      <c r="E1246" s="12"/>
    </row>
    <row r="1247" customHeight="1" spans="1:5">
      <c r="A1247" s="11"/>
      <c r="B1247" s="11"/>
      <c r="C1247" s="11"/>
      <c r="D1247" s="11"/>
      <c r="E1247" s="12"/>
    </row>
    <row r="1248" customHeight="1" spans="1:5">
      <c r="A1248" s="11"/>
      <c r="B1248" s="11"/>
      <c r="C1248" s="11"/>
      <c r="D1248" s="11"/>
      <c r="E1248" s="12"/>
    </row>
    <row r="1249" customHeight="1" spans="1:5">
      <c r="A1249" s="11"/>
      <c r="B1249" s="11"/>
      <c r="C1249" s="11"/>
      <c r="D1249" s="11"/>
      <c r="E1249" s="12"/>
    </row>
    <row r="1250" customHeight="1" spans="1:5">
      <c r="A1250" s="11"/>
      <c r="B1250" s="11"/>
      <c r="C1250" s="11"/>
      <c r="D1250" s="11"/>
      <c r="E1250" s="12"/>
    </row>
    <row r="1251" customHeight="1" spans="1:5">
      <c r="A1251" s="11"/>
      <c r="B1251" s="11"/>
      <c r="C1251" s="11"/>
      <c r="D1251" s="11"/>
      <c r="E1251" s="12"/>
    </row>
    <row r="1252" customHeight="1" spans="1:5">
      <c r="A1252" s="11"/>
      <c r="B1252" s="11"/>
      <c r="C1252" s="11"/>
      <c r="D1252" s="11"/>
      <c r="E1252" s="12"/>
    </row>
    <row r="1253" customHeight="1" spans="1:5">
      <c r="A1253" s="11"/>
      <c r="B1253" s="11"/>
      <c r="C1253" s="11"/>
      <c r="D1253" s="11"/>
      <c r="E1253" s="12"/>
    </row>
    <row r="1254" customHeight="1" spans="1:5">
      <c r="A1254" s="11"/>
      <c r="B1254" s="11"/>
      <c r="C1254" s="11"/>
      <c r="D1254" s="11"/>
      <c r="E1254" s="12"/>
    </row>
    <row r="1255" customHeight="1" spans="1:5">
      <c r="A1255" s="11"/>
      <c r="B1255" s="11"/>
      <c r="C1255" s="11"/>
      <c r="D1255" s="11"/>
      <c r="E1255" s="12"/>
    </row>
    <row r="1256" customHeight="1" spans="1:5">
      <c r="A1256" s="11"/>
      <c r="B1256" s="11"/>
      <c r="C1256" s="11"/>
      <c r="D1256" s="11"/>
      <c r="E1256" s="12"/>
    </row>
    <row r="1257" customHeight="1" spans="1:5">
      <c r="A1257" s="11"/>
      <c r="B1257" s="11"/>
      <c r="C1257" s="11"/>
      <c r="D1257" s="11"/>
      <c r="E1257" s="12"/>
    </row>
    <row r="1258" customHeight="1" spans="1:5">
      <c r="A1258" s="11"/>
      <c r="B1258" s="11"/>
      <c r="C1258" s="11"/>
      <c r="D1258" s="11"/>
      <c r="E1258" s="12"/>
    </row>
    <row r="1259" customHeight="1" spans="1:5">
      <c r="A1259" s="11"/>
      <c r="B1259" s="11"/>
      <c r="C1259" s="11"/>
      <c r="D1259" s="11"/>
      <c r="E1259" s="12"/>
    </row>
    <row r="1260" customHeight="1" spans="1:5">
      <c r="A1260" s="11"/>
      <c r="B1260" s="11"/>
      <c r="C1260" s="11"/>
      <c r="D1260" s="11"/>
      <c r="E1260" s="12"/>
    </row>
    <row r="1261" customHeight="1" spans="1:5">
      <c r="A1261" s="11"/>
      <c r="B1261" s="11"/>
      <c r="C1261" s="11"/>
      <c r="D1261" s="11"/>
      <c r="E1261" s="12"/>
    </row>
    <row r="1262" customHeight="1" spans="1:5">
      <c r="A1262" s="11"/>
      <c r="B1262" s="11"/>
      <c r="C1262" s="11"/>
      <c r="D1262" s="11"/>
      <c r="E1262" s="12"/>
    </row>
    <row r="1263" customHeight="1" spans="1:5">
      <c r="A1263" s="11"/>
      <c r="B1263" s="11"/>
      <c r="C1263" s="11"/>
      <c r="D1263" s="11"/>
      <c r="E1263" s="12"/>
    </row>
    <row r="1264" customHeight="1" spans="1:5">
      <c r="A1264" s="11"/>
      <c r="B1264" s="11"/>
      <c r="C1264" s="11"/>
      <c r="D1264" s="11"/>
      <c r="E1264" s="12"/>
    </row>
    <row r="1265" customHeight="1" spans="1:5">
      <c r="A1265" s="11"/>
      <c r="B1265" s="11"/>
      <c r="C1265" s="11"/>
      <c r="D1265" s="11"/>
      <c r="E1265" s="12"/>
    </row>
    <row r="1266" customHeight="1" spans="1:5">
      <c r="A1266" s="11"/>
      <c r="B1266" s="11"/>
      <c r="C1266" s="11"/>
      <c r="D1266" s="11"/>
      <c r="E1266" s="12"/>
    </row>
    <row r="1267" customHeight="1" spans="1:5">
      <c r="A1267" s="11"/>
      <c r="B1267" s="11"/>
      <c r="C1267" s="11"/>
      <c r="D1267" s="11"/>
      <c r="E1267" s="12"/>
    </row>
    <row r="1268" customHeight="1" spans="1:5">
      <c r="A1268" s="11"/>
      <c r="B1268" s="11"/>
      <c r="C1268" s="11"/>
      <c r="D1268" s="11"/>
      <c r="E1268" s="12"/>
    </row>
    <row r="1269" customHeight="1" spans="1:5">
      <c r="A1269" s="11"/>
      <c r="B1269" s="11"/>
      <c r="C1269" s="11"/>
      <c r="D1269" s="11"/>
      <c r="E1269" s="12"/>
    </row>
    <row r="1270" customHeight="1" spans="1:5">
      <c r="A1270" s="11"/>
      <c r="B1270" s="11"/>
      <c r="C1270" s="11"/>
      <c r="D1270" s="11"/>
      <c r="E1270" s="12"/>
    </row>
    <row r="1271" customHeight="1" spans="1:5">
      <c r="A1271" s="11"/>
      <c r="B1271" s="11"/>
      <c r="C1271" s="11"/>
      <c r="D1271" s="11"/>
      <c r="E1271" s="12"/>
    </row>
    <row r="1272" customHeight="1" spans="1:5">
      <c r="A1272" s="11"/>
      <c r="B1272" s="11"/>
      <c r="C1272" s="11"/>
      <c r="D1272" s="11"/>
      <c r="E1272" s="12"/>
    </row>
    <row r="1273" customHeight="1" spans="1:5">
      <c r="A1273" s="11"/>
      <c r="B1273" s="11"/>
      <c r="C1273" s="11"/>
      <c r="D1273" s="11"/>
      <c r="E1273" s="12"/>
    </row>
    <row r="1274" customHeight="1" spans="1:5">
      <c r="A1274" s="11"/>
      <c r="B1274" s="11"/>
      <c r="C1274" s="11"/>
      <c r="D1274" s="11"/>
      <c r="E1274" s="12"/>
    </row>
    <row r="1275" customHeight="1" spans="1:5">
      <c r="A1275" s="11"/>
      <c r="B1275" s="11"/>
      <c r="C1275" s="11"/>
      <c r="D1275" s="11"/>
      <c r="E1275" s="12"/>
    </row>
    <row r="1276" customHeight="1" spans="1:5">
      <c r="A1276" s="11"/>
      <c r="B1276" s="11"/>
      <c r="C1276" s="11"/>
      <c r="D1276" s="11"/>
      <c r="E1276" s="12"/>
    </row>
    <row r="1277" customHeight="1" spans="1:5">
      <c r="A1277" s="11"/>
      <c r="B1277" s="11"/>
      <c r="C1277" s="11"/>
      <c r="D1277" s="11"/>
      <c r="E1277" s="12"/>
    </row>
    <row r="1278" customHeight="1" spans="1:5">
      <c r="A1278" s="11"/>
      <c r="B1278" s="11"/>
      <c r="C1278" s="11"/>
      <c r="D1278" s="11"/>
      <c r="E1278" s="12"/>
    </row>
    <row r="1279" customHeight="1" spans="1:5">
      <c r="A1279" s="11"/>
      <c r="B1279" s="11"/>
      <c r="C1279" s="11"/>
      <c r="D1279" s="11"/>
      <c r="E1279" s="12"/>
    </row>
    <row r="1280" customHeight="1" spans="1:5">
      <c r="A1280" s="11"/>
      <c r="B1280" s="11"/>
      <c r="C1280" s="11"/>
      <c r="D1280" s="11"/>
      <c r="E1280" s="12"/>
    </row>
    <row r="1281" customHeight="1" spans="1:5">
      <c r="A1281" s="11"/>
      <c r="B1281" s="11"/>
      <c r="C1281" s="11"/>
      <c r="D1281" s="11"/>
      <c r="E1281" s="12"/>
    </row>
    <row r="1282" customHeight="1" spans="1:5">
      <c r="A1282" s="11"/>
      <c r="B1282" s="11"/>
      <c r="C1282" s="11"/>
      <c r="D1282" s="11"/>
      <c r="E1282" s="12"/>
    </row>
    <row r="1283" customHeight="1" spans="1:5">
      <c r="A1283" s="11"/>
      <c r="B1283" s="11"/>
      <c r="C1283" s="11"/>
      <c r="D1283" s="11"/>
      <c r="E1283" s="12"/>
    </row>
    <row r="1284" customHeight="1" spans="1:5">
      <c r="A1284" s="11"/>
      <c r="B1284" s="11"/>
      <c r="C1284" s="11"/>
      <c r="D1284" s="11"/>
      <c r="E1284" s="12"/>
    </row>
    <row r="1285" customHeight="1" spans="1:5">
      <c r="A1285" s="11"/>
      <c r="B1285" s="11"/>
      <c r="C1285" s="11"/>
      <c r="D1285" s="11"/>
      <c r="E1285" s="12"/>
    </row>
    <row r="1286" customHeight="1" spans="1:5">
      <c r="A1286" s="11"/>
      <c r="B1286" s="11"/>
      <c r="C1286" s="11"/>
      <c r="D1286" s="11"/>
      <c r="E1286" s="12"/>
    </row>
    <row r="1287" customHeight="1" spans="1:5">
      <c r="A1287" s="11"/>
      <c r="B1287" s="11"/>
      <c r="C1287" s="11"/>
      <c r="D1287" s="11"/>
      <c r="E1287" s="12"/>
    </row>
    <row r="1288" customHeight="1" spans="1:5">
      <c r="A1288" s="11"/>
      <c r="B1288" s="11"/>
      <c r="C1288" s="11"/>
      <c r="D1288" s="11"/>
      <c r="E1288" s="12"/>
    </row>
    <row r="1289" customHeight="1" spans="1:5">
      <c r="A1289" s="11"/>
      <c r="B1289" s="11"/>
      <c r="C1289" s="11"/>
      <c r="D1289" s="11"/>
      <c r="E1289" s="12"/>
    </row>
    <row r="1290" customHeight="1" spans="1:5">
      <c r="A1290" s="11"/>
      <c r="B1290" s="11"/>
      <c r="C1290" s="11"/>
      <c r="D1290" s="11"/>
      <c r="E1290" s="12"/>
    </row>
    <row r="1291" customHeight="1" spans="1:5">
      <c r="A1291" s="11"/>
      <c r="B1291" s="11"/>
      <c r="C1291" s="11"/>
      <c r="D1291" s="11"/>
      <c r="E1291" s="12"/>
    </row>
    <row r="1292" customHeight="1" spans="1:5">
      <c r="A1292" s="11"/>
      <c r="B1292" s="11"/>
      <c r="C1292" s="11"/>
      <c r="D1292" s="11"/>
      <c r="E1292" s="12"/>
    </row>
    <row r="1293" customHeight="1" spans="1:5">
      <c r="A1293" s="11"/>
      <c r="B1293" s="11"/>
      <c r="C1293" s="11"/>
      <c r="D1293" s="11"/>
      <c r="E1293" s="12"/>
    </row>
    <row r="1294" customHeight="1" spans="1:5">
      <c r="A1294" s="11"/>
      <c r="B1294" s="11"/>
      <c r="C1294" s="11"/>
      <c r="D1294" s="11"/>
      <c r="E1294" s="12"/>
    </row>
    <row r="1295" customHeight="1" spans="1:5">
      <c r="A1295" s="11"/>
      <c r="B1295" s="11"/>
      <c r="C1295" s="11"/>
      <c r="D1295" s="11"/>
      <c r="E1295" s="12"/>
    </row>
    <row r="1296" customHeight="1" spans="1:5">
      <c r="A1296" s="11"/>
      <c r="B1296" s="11"/>
      <c r="C1296" s="11"/>
      <c r="D1296" s="11"/>
      <c r="E1296" s="12"/>
    </row>
    <row r="1297" customHeight="1" spans="1:5">
      <c r="A1297" s="11"/>
      <c r="B1297" s="11"/>
      <c r="C1297" s="11"/>
      <c r="D1297" s="11"/>
      <c r="E1297" s="12"/>
    </row>
    <row r="1298" customHeight="1" spans="1:5">
      <c r="A1298" s="11"/>
      <c r="B1298" s="11"/>
      <c r="C1298" s="11"/>
      <c r="D1298" s="11"/>
      <c r="E1298" s="12"/>
    </row>
    <row r="1299" customHeight="1" spans="1:5">
      <c r="A1299" s="11"/>
      <c r="B1299" s="11"/>
      <c r="C1299" s="11"/>
      <c r="D1299" s="11"/>
      <c r="E1299" s="12"/>
    </row>
    <row r="1300" customHeight="1" spans="1:5">
      <c r="A1300" s="11"/>
      <c r="B1300" s="11"/>
      <c r="C1300" s="11"/>
      <c r="D1300" s="11"/>
      <c r="E1300" s="12"/>
    </row>
    <row r="1301" customHeight="1" spans="1:5">
      <c r="A1301" s="11"/>
      <c r="B1301" s="11"/>
      <c r="C1301" s="11"/>
      <c r="D1301" s="11"/>
      <c r="E1301" s="12"/>
    </row>
    <row r="1302" customHeight="1" spans="1:5">
      <c r="A1302" s="11"/>
      <c r="B1302" s="11"/>
      <c r="C1302" s="11"/>
      <c r="D1302" s="11"/>
      <c r="E1302" s="12"/>
    </row>
    <row r="1303" customHeight="1" spans="1:5">
      <c r="A1303" s="11"/>
      <c r="B1303" s="11"/>
      <c r="C1303" s="11"/>
      <c r="D1303" s="11"/>
      <c r="E1303" s="12"/>
    </row>
    <row r="1304" customHeight="1" spans="1:5">
      <c r="A1304" s="11"/>
      <c r="B1304" s="11"/>
      <c r="C1304" s="11"/>
      <c r="D1304" s="11"/>
      <c r="E1304" s="12"/>
    </row>
    <row r="1305" customHeight="1" spans="1:5">
      <c r="A1305" s="11"/>
      <c r="B1305" s="11"/>
      <c r="C1305" s="11"/>
      <c r="D1305" s="11"/>
      <c r="E1305" s="12"/>
    </row>
    <row r="1306" customHeight="1" spans="1:5">
      <c r="A1306" s="11"/>
      <c r="B1306" s="11"/>
      <c r="C1306" s="11"/>
      <c r="D1306" s="11"/>
      <c r="E1306" s="12"/>
    </row>
    <row r="1307" customHeight="1" spans="1:5">
      <c r="A1307" s="11"/>
      <c r="B1307" s="11"/>
      <c r="C1307" s="11"/>
      <c r="D1307" s="11"/>
      <c r="E1307" s="12"/>
    </row>
    <row r="1308" customHeight="1" spans="1:5">
      <c r="A1308" s="11"/>
      <c r="B1308" s="11"/>
      <c r="C1308" s="11"/>
      <c r="D1308" s="11"/>
      <c r="E1308" s="12"/>
    </row>
    <row r="1309" customHeight="1" spans="1:5">
      <c r="A1309" s="11"/>
      <c r="B1309" s="11"/>
      <c r="C1309" s="11"/>
      <c r="D1309" s="11"/>
      <c r="E1309" s="12"/>
    </row>
    <row r="1310" customHeight="1" spans="1:5">
      <c r="A1310" s="11"/>
      <c r="B1310" s="11"/>
      <c r="C1310" s="11"/>
      <c r="D1310" s="11"/>
      <c r="E1310" s="12"/>
    </row>
    <row r="1311" customHeight="1" spans="1:5">
      <c r="A1311" s="11"/>
      <c r="B1311" s="11"/>
      <c r="C1311" s="11"/>
      <c r="D1311" s="11"/>
      <c r="E1311" s="12"/>
    </row>
    <row r="1312" customHeight="1" spans="1:5">
      <c r="A1312" s="11"/>
      <c r="B1312" s="11"/>
      <c r="C1312" s="11"/>
      <c r="D1312" s="11"/>
      <c r="E1312" s="12"/>
    </row>
    <row r="1313" customHeight="1" spans="1:5">
      <c r="A1313" s="11"/>
      <c r="B1313" s="11"/>
      <c r="C1313" s="11"/>
      <c r="D1313" s="11"/>
      <c r="E1313" s="12"/>
    </row>
    <row r="1314" customHeight="1" spans="1:5">
      <c r="A1314" s="11"/>
      <c r="B1314" s="11"/>
      <c r="C1314" s="11"/>
      <c r="D1314" s="11"/>
      <c r="E1314" s="12"/>
    </row>
    <row r="1315" customHeight="1" spans="1:5">
      <c r="A1315" s="11"/>
      <c r="B1315" s="11"/>
      <c r="C1315" s="11"/>
      <c r="D1315" s="11"/>
      <c r="E1315" s="12"/>
    </row>
    <row r="1316" customHeight="1" spans="1:5">
      <c r="A1316" s="11"/>
      <c r="B1316" s="11"/>
      <c r="C1316" s="11"/>
      <c r="D1316" s="11"/>
      <c r="E1316" s="12"/>
    </row>
    <row r="1317" customHeight="1" spans="1:5">
      <c r="A1317" s="11"/>
      <c r="B1317" s="11"/>
      <c r="C1317" s="11"/>
      <c r="D1317" s="11"/>
      <c r="E1317" s="12"/>
    </row>
    <row r="1318" customHeight="1" spans="1:5">
      <c r="A1318" s="11"/>
      <c r="B1318" s="11"/>
      <c r="C1318" s="11"/>
      <c r="D1318" s="11"/>
      <c r="E1318" s="12"/>
    </row>
    <row r="1319" customHeight="1" spans="1:5">
      <c r="A1319" s="11"/>
      <c r="B1319" s="11"/>
      <c r="C1319" s="11"/>
      <c r="D1319" s="11"/>
      <c r="E1319" s="12"/>
    </row>
    <row r="1320" customHeight="1" spans="1:5">
      <c r="A1320" s="11"/>
      <c r="B1320" s="11"/>
      <c r="C1320" s="11"/>
      <c r="D1320" s="11"/>
      <c r="E1320" s="12"/>
    </row>
    <row r="1321" customHeight="1" spans="1:5">
      <c r="A1321" s="11"/>
      <c r="B1321" s="11"/>
      <c r="C1321" s="11"/>
      <c r="D1321" s="11"/>
      <c r="E1321" s="12"/>
    </row>
    <row r="1322" customHeight="1" spans="1:5">
      <c r="A1322" s="11"/>
      <c r="B1322" s="11"/>
      <c r="C1322" s="11"/>
      <c r="D1322" s="11"/>
      <c r="E1322" s="12"/>
    </row>
    <row r="1323" customHeight="1" spans="1:5">
      <c r="A1323" s="11"/>
      <c r="B1323" s="11"/>
      <c r="C1323" s="11"/>
      <c r="D1323" s="11"/>
      <c r="E1323" s="12"/>
    </row>
    <row r="1324" customHeight="1" spans="1:5">
      <c r="A1324" s="11"/>
      <c r="B1324" s="11"/>
      <c r="C1324" s="11"/>
      <c r="D1324" s="11"/>
      <c r="E1324" s="12"/>
    </row>
    <row r="1325" customHeight="1" spans="1:5">
      <c r="A1325" s="11"/>
      <c r="B1325" s="11"/>
      <c r="C1325" s="11"/>
      <c r="D1325" s="11"/>
      <c r="E1325" s="12"/>
    </row>
    <row r="1326" customHeight="1" spans="1:5">
      <c r="A1326" s="11"/>
      <c r="B1326" s="11"/>
      <c r="C1326" s="11"/>
      <c r="D1326" s="11"/>
      <c r="E1326" s="12"/>
    </row>
    <row r="1327" customHeight="1" spans="1:5">
      <c r="A1327" s="11"/>
      <c r="B1327" s="11"/>
      <c r="C1327" s="11"/>
      <c r="D1327" s="11"/>
      <c r="E1327" s="12"/>
    </row>
    <row r="1328" customHeight="1" spans="1:5">
      <c r="A1328" s="11"/>
      <c r="B1328" s="11"/>
      <c r="C1328" s="11"/>
      <c r="D1328" s="11"/>
      <c r="E1328" s="12"/>
    </row>
    <row r="1329" customHeight="1" spans="1:5">
      <c r="A1329" s="11"/>
      <c r="B1329" s="11"/>
      <c r="C1329" s="11"/>
      <c r="D1329" s="11"/>
      <c r="E1329" s="12"/>
    </row>
    <row r="1330" customHeight="1" spans="1:5">
      <c r="A1330" s="11"/>
      <c r="B1330" s="11"/>
      <c r="C1330" s="11"/>
      <c r="D1330" s="11"/>
      <c r="E1330" s="12"/>
    </row>
    <row r="1331" customHeight="1" spans="1:5">
      <c r="A1331" s="11"/>
      <c r="B1331" s="11"/>
      <c r="C1331" s="11"/>
      <c r="D1331" s="11"/>
      <c r="E1331" s="12"/>
    </row>
    <row r="1332" customHeight="1" spans="1:5">
      <c r="A1332" s="11"/>
      <c r="B1332" s="11"/>
      <c r="C1332" s="11"/>
      <c r="D1332" s="11"/>
      <c r="E1332" s="12"/>
    </row>
    <row r="1333" customHeight="1" spans="1:5">
      <c r="A1333" s="11"/>
      <c r="B1333" s="11"/>
      <c r="C1333" s="11"/>
      <c r="D1333" s="11"/>
      <c r="E1333" s="12"/>
    </row>
    <row r="1334" customHeight="1" spans="1:5">
      <c r="A1334" s="11"/>
      <c r="B1334" s="11"/>
      <c r="C1334" s="11"/>
      <c r="D1334" s="11"/>
      <c r="E1334" s="12"/>
    </row>
    <row r="1335" customHeight="1" spans="1:5">
      <c r="A1335" s="11"/>
      <c r="B1335" s="11"/>
      <c r="C1335" s="11"/>
      <c r="D1335" s="11"/>
      <c r="E1335" s="12"/>
    </row>
    <row r="1336" customHeight="1" spans="1:5">
      <c r="A1336" s="11"/>
      <c r="B1336" s="11"/>
      <c r="C1336" s="11"/>
      <c r="D1336" s="11"/>
      <c r="E1336" s="12"/>
    </row>
    <row r="1337" customHeight="1" spans="1:5">
      <c r="A1337" s="11"/>
      <c r="B1337" s="11"/>
      <c r="C1337" s="11"/>
      <c r="D1337" s="11"/>
      <c r="E1337" s="12"/>
    </row>
    <row r="1338" customHeight="1" spans="1:5">
      <c r="A1338" s="11"/>
      <c r="B1338" s="11"/>
      <c r="C1338" s="11"/>
      <c r="D1338" s="11"/>
      <c r="E1338" s="12"/>
    </row>
    <row r="1339" customHeight="1" spans="1:5">
      <c r="A1339" s="11"/>
      <c r="B1339" s="11"/>
      <c r="C1339" s="11"/>
      <c r="D1339" s="11"/>
      <c r="E1339" s="12"/>
    </row>
    <row r="1340" customHeight="1" spans="1:5">
      <c r="A1340" s="11"/>
      <c r="B1340" s="11"/>
      <c r="C1340" s="11"/>
      <c r="D1340" s="11"/>
      <c r="E1340" s="12"/>
    </row>
    <row r="1341" customHeight="1" spans="1:5">
      <c r="A1341" s="11"/>
      <c r="B1341" s="11"/>
      <c r="C1341" s="11"/>
      <c r="D1341" s="11"/>
      <c r="E1341" s="12"/>
    </row>
    <row r="1342" customHeight="1" spans="1:5">
      <c r="A1342" s="11"/>
      <c r="B1342" s="11"/>
      <c r="C1342" s="11"/>
      <c r="D1342" s="11"/>
      <c r="E1342" s="12"/>
    </row>
    <row r="1343" customHeight="1" spans="1:5">
      <c r="A1343" s="11"/>
      <c r="B1343" s="11"/>
      <c r="C1343" s="11"/>
      <c r="D1343" s="11"/>
      <c r="E1343" s="12"/>
    </row>
    <row r="1344" customHeight="1" spans="1:5">
      <c r="A1344" s="11"/>
      <c r="B1344" s="11"/>
      <c r="C1344" s="11"/>
      <c r="D1344" s="11"/>
      <c r="E1344" s="12"/>
    </row>
    <row r="1345" customHeight="1" spans="1:5">
      <c r="A1345" s="11"/>
      <c r="B1345" s="11"/>
      <c r="C1345" s="11"/>
      <c r="D1345" s="11"/>
      <c r="E1345" s="12"/>
    </row>
    <row r="1346" customHeight="1" spans="1:5">
      <c r="A1346" s="11"/>
      <c r="B1346" s="11"/>
      <c r="C1346" s="11"/>
      <c r="D1346" s="11"/>
      <c r="E1346" s="12"/>
    </row>
    <row r="1347" customHeight="1" spans="1:5">
      <c r="A1347" s="11"/>
      <c r="B1347" s="11"/>
      <c r="C1347" s="11"/>
      <c r="D1347" s="11"/>
      <c r="E1347" s="12"/>
    </row>
    <row r="1348" customHeight="1" spans="1:5">
      <c r="A1348" s="11"/>
      <c r="B1348" s="11"/>
      <c r="C1348" s="11"/>
      <c r="D1348" s="11"/>
      <c r="E1348" s="12"/>
    </row>
    <row r="1349" customHeight="1" spans="1:5">
      <c r="A1349" s="11"/>
      <c r="B1349" s="11"/>
      <c r="C1349" s="11"/>
      <c r="D1349" s="11"/>
      <c r="E1349" s="12"/>
    </row>
    <row r="1350" customHeight="1" spans="1:5">
      <c r="A1350" s="11"/>
      <c r="B1350" s="11"/>
      <c r="C1350" s="11"/>
      <c r="D1350" s="11"/>
      <c r="E1350" s="12"/>
    </row>
    <row r="1351" customHeight="1" spans="1:5">
      <c r="A1351" s="11"/>
      <c r="B1351" s="11"/>
      <c r="C1351" s="11"/>
      <c r="D1351" s="11"/>
      <c r="E1351" s="12"/>
    </row>
    <row r="1352" customHeight="1" spans="1:5">
      <c r="A1352" s="11"/>
      <c r="B1352" s="11"/>
      <c r="C1352" s="11"/>
      <c r="D1352" s="11"/>
      <c r="E1352" s="12"/>
    </row>
    <row r="1353" customHeight="1" spans="1:5">
      <c r="A1353" s="11"/>
      <c r="B1353" s="11"/>
      <c r="C1353" s="11"/>
      <c r="D1353" s="11"/>
      <c r="E1353" s="12"/>
    </row>
    <row r="1354" customHeight="1" spans="1:5">
      <c r="A1354" s="11"/>
      <c r="B1354" s="11"/>
      <c r="C1354" s="11"/>
      <c r="D1354" s="11"/>
      <c r="E1354" s="12"/>
    </row>
    <row r="1355" customHeight="1" spans="1:5">
      <c r="A1355" s="11"/>
      <c r="B1355" s="11"/>
      <c r="C1355" s="11"/>
      <c r="D1355" s="11"/>
      <c r="E1355" s="12"/>
    </row>
    <row r="1356" customHeight="1" spans="1:5">
      <c r="A1356" s="11"/>
      <c r="B1356" s="11"/>
      <c r="C1356" s="11"/>
      <c r="D1356" s="11"/>
      <c r="E1356" s="12"/>
    </row>
    <row r="1357" customHeight="1" spans="1:5">
      <c r="A1357" s="11"/>
      <c r="B1357" s="11"/>
      <c r="C1357" s="11"/>
      <c r="D1357" s="11"/>
      <c r="E1357" s="12"/>
    </row>
    <row r="1358" customHeight="1" spans="1:5">
      <c r="A1358" s="11"/>
      <c r="B1358" s="11"/>
      <c r="C1358" s="11"/>
      <c r="D1358" s="11"/>
      <c r="E1358" s="12"/>
    </row>
    <row r="1359" customHeight="1" spans="1:5">
      <c r="A1359" s="11"/>
      <c r="B1359" s="11"/>
      <c r="C1359" s="11"/>
      <c r="D1359" s="11"/>
      <c r="E1359" s="12"/>
    </row>
    <row r="1360" customHeight="1" spans="1:5">
      <c r="A1360" s="11"/>
      <c r="B1360" s="11"/>
      <c r="C1360" s="11"/>
      <c r="D1360" s="11"/>
      <c r="E1360" s="12"/>
    </row>
    <row r="1361" customHeight="1" spans="1:5">
      <c r="A1361" s="11"/>
      <c r="B1361" s="11"/>
      <c r="C1361" s="11"/>
      <c r="D1361" s="11"/>
      <c r="E1361" s="12"/>
    </row>
    <row r="1362" customHeight="1" spans="1:5">
      <c r="A1362" s="11"/>
      <c r="B1362" s="11"/>
      <c r="C1362" s="11"/>
      <c r="D1362" s="11"/>
      <c r="E1362" s="12"/>
    </row>
    <row r="1363" customHeight="1" spans="1:5">
      <c r="A1363" s="11"/>
      <c r="B1363" s="11"/>
      <c r="C1363" s="11"/>
      <c r="D1363" s="11"/>
      <c r="E1363" s="12"/>
    </row>
    <row r="1364" customHeight="1" spans="1:5">
      <c r="A1364" s="11"/>
      <c r="B1364" s="11"/>
      <c r="C1364" s="11"/>
      <c r="D1364" s="11"/>
      <c r="E1364" s="12"/>
    </row>
    <row r="1365" customHeight="1" spans="1:5">
      <c r="A1365" s="11"/>
      <c r="B1365" s="11"/>
      <c r="C1365" s="11"/>
      <c r="D1365" s="11"/>
      <c r="E1365" s="12"/>
    </row>
    <row r="1366" customHeight="1" spans="1:5">
      <c r="A1366" s="11"/>
      <c r="B1366" s="11"/>
      <c r="C1366" s="11"/>
      <c r="D1366" s="11"/>
      <c r="E1366" s="12"/>
    </row>
    <row r="1367" customHeight="1" spans="1:5">
      <c r="A1367" s="11"/>
      <c r="B1367" s="11"/>
      <c r="C1367" s="11"/>
      <c r="D1367" s="11"/>
      <c r="E1367" s="12"/>
    </row>
    <row r="1368" customHeight="1" spans="1:5">
      <c r="A1368" s="11"/>
      <c r="B1368" s="11"/>
      <c r="C1368" s="11"/>
      <c r="D1368" s="11"/>
      <c r="E1368" s="12"/>
    </row>
    <row r="1369" customHeight="1" spans="1:5">
      <c r="A1369" s="11"/>
      <c r="B1369" s="11"/>
      <c r="C1369" s="11"/>
      <c r="D1369" s="11"/>
      <c r="E1369" s="12"/>
    </row>
    <row r="1370" customHeight="1" spans="1:5">
      <c r="A1370" s="11"/>
      <c r="B1370" s="11"/>
      <c r="C1370" s="11"/>
      <c r="D1370" s="11"/>
      <c r="E1370" s="12"/>
    </row>
    <row r="1371" customHeight="1" spans="1:5">
      <c r="A1371" s="11"/>
      <c r="B1371" s="11"/>
      <c r="C1371" s="11"/>
      <c r="D1371" s="11"/>
      <c r="E1371" s="12"/>
    </row>
    <row r="1372" customHeight="1" spans="1:5">
      <c r="A1372" s="11"/>
      <c r="B1372" s="11"/>
      <c r="C1372" s="11"/>
      <c r="D1372" s="11"/>
      <c r="E1372" s="12"/>
    </row>
    <row r="1373" customHeight="1" spans="1:5">
      <c r="A1373" s="11"/>
      <c r="B1373" s="11"/>
      <c r="C1373" s="11"/>
      <c r="D1373" s="11"/>
      <c r="E1373" s="12"/>
    </row>
    <row r="1374" customHeight="1" spans="1:5">
      <c r="A1374" s="11"/>
      <c r="B1374" s="11"/>
      <c r="C1374" s="11"/>
      <c r="D1374" s="11"/>
      <c r="E1374" s="12"/>
    </row>
    <row r="1375" customHeight="1" spans="1:5">
      <c r="A1375" s="11"/>
      <c r="B1375" s="11"/>
      <c r="C1375" s="11"/>
      <c r="D1375" s="11"/>
      <c r="E1375" s="12"/>
    </row>
    <row r="1376" customHeight="1" spans="1:5">
      <c r="A1376" s="11"/>
      <c r="B1376" s="11"/>
      <c r="C1376" s="11"/>
      <c r="D1376" s="11"/>
      <c r="E1376" s="12"/>
    </row>
    <row r="1377" customHeight="1" spans="1:5">
      <c r="A1377" s="11"/>
      <c r="B1377" s="11"/>
      <c r="C1377" s="11"/>
      <c r="D1377" s="11"/>
      <c r="E1377" s="12"/>
    </row>
    <row r="1378" customHeight="1" spans="1:5">
      <c r="A1378" s="11"/>
      <c r="B1378" s="11"/>
      <c r="C1378" s="11"/>
      <c r="D1378" s="11"/>
      <c r="E1378" s="12"/>
    </row>
    <row r="1379" customHeight="1" spans="1:5">
      <c r="A1379" s="11"/>
      <c r="B1379" s="11"/>
      <c r="C1379" s="11"/>
      <c r="D1379" s="11"/>
      <c r="E1379" s="12"/>
    </row>
    <row r="1380" customHeight="1" spans="1:5">
      <c r="A1380" s="11"/>
      <c r="B1380" s="11"/>
      <c r="C1380" s="11"/>
      <c r="D1380" s="11"/>
      <c r="E1380" s="12"/>
    </row>
    <row r="1381" customHeight="1" spans="1:5">
      <c r="A1381" s="11"/>
      <c r="B1381" s="11"/>
      <c r="C1381" s="11"/>
      <c r="D1381" s="11"/>
      <c r="E1381" s="12"/>
    </row>
    <row r="1382" customHeight="1" spans="1:5">
      <c r="A1382" s="11"/>
      <c r="B1382" s="11"/>
      <c r="C1382" s="11"/>
      <c r="D1382" s="11"/>
      <c r="E1382" s="12"/>
    </row>
    <row r="1383" customHeight="1" spans="1:5">
      <c r="A1383" s="11"/>
      <c r="B1383" s="11"/>
      <c r="C1383" s="11"/>
      <c r="D1383" s="11"/>
      <c r="E1383" s="12"/>
    </row>
    <row r="1384" customHeight="1" spans="1:5">
      <c r="A1384" s="11"/>
      <c r="B1384" s="11"/>
      <c r="C1384" s="11"/>
      <c r="D1384" s="11"/>
      <c r="E1384" s="12"/>
    </row>
    <row r="1385" customHeight="1" spans="1:5">
      <c r="A1385" s="11"/>
      <c r="B1385" s="11"/>
      <c r="C1385" s="11"/>
      <c r="D1385" s="11"/>
      <c r="E1385" s="12"/>
    </row>
    <row r="1386" customHeight="1" spans="1:5">
      <c r="A1386" s="11"/>
      <c r="B1386" s="11"/>
      <c r="C1386" s="11"/>
      <c r="D1386" s="11"/>
      <c r="E1386" s="12"/>
    </row>
    <row r="1387" customHeight="1" spans="1:5">
      <c r="A1387" s="11"/>
      <c r="B1387" s="11"/>
      <c r="C1387" s="11"/>
      <c r="D1387" s="11"/>
      <c r="E1387" s="12"/>
    </row>
    <row r="1388" customHeight="1" spans="1:5">
      <c r="A1388" s="11"/>
      <c r="B1388" s="11"/>
      <c r="C1388" s="11"/>
      <c r="D1388" s="11"/>
      <c r="E1388" s="12"/>
    </row>
    <row r="1389" customHeight="1" spans="1:5">
      <c r="A1389" s="11"/>
      <c r="B1389" s="11"/>
      <c r="C1389" s="11"/>
      <c r="D1389" s="11"/>
      <c r="E1389" s="12"/>
    </row>
    <row r="1390" customHeight="1" spans="1:5">
      <c r="A1390" s="11"/>
      <c r="B1390" s="11"/>
      <c r="C1390" s="11"/>
      <c r="D1390" s="11"/>
      <c r="E1390" s="12"/>
    </row>
    <row r="1391" customHeight="1" spans="1:5">
      <c r="A1391" s="11"/>
      <c r="B1391" s="11"/>
      <c r="C1391" s="11"/>
      <c r="D1391" s="11"/>
      <c r="E1391" s="12"/>
    </row>
    <row r="1392" customHeight="1" spans="1:5">
      <c r="A1392" s="11"/>
      <c r="B1392" s="11"/>
      <c r="C1392" s="11"/>
      <c r="D1392" s="11"/>
      <c r="E1392" s="12"/>
    </row>
    <row r="1393" customHeight="1" spans="1:5">
      <c r="A1393" s="11"/>
      <c r="B1393" s="11"/>
      <c r="C1393" s="11"/>
      <c r="D1393" s="11"/>
      <c r="E1393" s="12"/>
    </row>
    <row r="1394" customHeight="1" spans="1:5">
      <c r="A1394" s="11"/>
      <c r="B1394" s="11"/>
      <c r="C1394" s="11"/>
      <c r="D1394" s="11"/>
      <c r="E1394" s="12"/>
    </row>
    <row r="1395" customHeight="1" spans="1:5">
      <c r="A1395" s="11"/>
      <c r="B1395" s="11"/>
      <c r="C1395" s="11"/>
      <c r="D1395" s="11"/>
      <c r="E1395" s="12"/>
    </row>
    <row r="1396" customHeight="1" spans="1:5">
      <c r="A1396" s="11"/>
      <c r="B1396" s="11"/>
      <c r="C1396" s="11"/>
      <c r="D1396" s="11"/>
      <c r="E1396" s="12"/>
    </row>
    <row r="1397" customHeight="1" spans="1:5">
      <c r="A1397" s="11"/>
      <c r="B1397" s="11"/>
      <c r="C1397" s="11"/>
      <c r="D1397" s="11"/>
      <c r="E1397" s="12"/>
    </row>
    <row r="1398" customHeight="1" spans="1:5">
      <c r="A1398" s="11"/>
      <c r="B1398" s="11"/>
      <c r="C1398" s="11"/>
      <c r="D1398" s="11"/>
      <c r="E1398" s="12"/>
    </row>
    <row r="1399" customHeight="1" spans="1:5">
      <c r="A1399" s="11"/>
      <c r="B1399" s="11"/>
      <c r="C1399" s="11"/>
      <c r="D1399" s="11"/>
      <c r="E1399" s="12"/>
    </row>
    <row r="1400" customHeight="1" spans="1:5">
      <c r="A1400" s="11"/>
      <c r="B1400" s="11"/>
      <c r="C1400" s="11"/>
      <c r="D1400" s="11"/>
      <c r="E1400" s="12"/>
    </row>
    <row r="1401" customHeight="1" spans="1:5">
      <c r="A1401" s="11"/>
      <c r="B1401" s="11"/>
      <c r="C1401" s="11"/>
      <c r="D1401" s="11"/>
      <c r="E1401" s="12"/>
    </row>
    <row r="1402" customHeight="1" spans="1:5">
      <c r="A1402" s="11"/>
      <c r="B1402" s="11"/>
      <c r="C1402" s="11"/>
      <c r="D1402" s="11"/>
      <c r="E1402" s="12"/>
    </row>
    <row r="1403" customHeight="1" spans="1:5">
      <c r="A1403" s="11"/>
      <c r="B1403" s="11"/>
      <c r="C1403" s="11"/>
      <c r="D1403" s="11"/>
      <c r="E1403" s="12"/>
    </row>
    <row r="1404" customHeight="1" spans="1:5">
      <c r="A1404" s="11"/>
      <c r="B1404" s="11"/>
      <c r="C1404" s="11"/>
      <c r="D1404" s="11"/>
      <c r="E1404" s="12"/>
    </row>
    <row r="1405" customHeight="1" spans="1:5">
      <c r="A1405" s="11"/>
      <c r="B1405" s="11"/>
      <c r="C1405" s="11"/>
      <c r="D1405" s="11"/>
      <c r="E1405" s="12"/>
    </row>
    <row r="1406" customHeight="1" spans="1:5">
      <c r="A1406" s="11"/>
      <c r="B1406" s="11"/>
      <c r="C1406" s="11"/>
      <c r="D1406" s="11"/>
      <c r="E1406" s="12"/>
    </row>
    <row r="1407" customHeight="1" spans="1:5">
      <c r="A1407" s="11"/>
      <c r="B1407" s="11"/>
      <c r="C1407" s="11"/>
      <c r="D1407" s="11"/>
      <c r="E1407" s="12"/>
    </row>
    <row r="1408" customHeight="1" spans="1:5">
      <c r="A1408" s="11"/>
      <c r="B1408" s="11"/>
      <c r="C1408" s="11"/>
      <c r="D1408" s="11"/>
      <c r="E1408" s="12"/>
    </row>
    <row r="1409" customHeight="1" spans="1:5">
      <c r="A1409" s="11"/>
      <c r="B1409" s="11"/>
      <c r="C1409" s="11"/>
      <c r="D1409" s="11"/>
      <c r="E1409" s="12"/>
    </row>
    <row r="1410" customHeight="1" spans="1:5">
      <c r="A1410" s="11"/>
      <c r="B1410" s="11"/>
      <c r="C1410" s="11"/>
      <c r="D1410" s="11"/>
      <c r="E1410" s="12"/>
    </row>
    <row r="1411" customHeight="1" spans="1:5">
      <c r="A1411" s="11"/>
      <c r="B1411" s="11"/>
      <c r="C1411" s="11"/>
      <c r="D1411" s="11"/>
      <c r="E1411" s="12"/>
    </row>
    <row r="1412" customHeight="1" spans="1:5">
      <c r="A1412" s="11"/>
      <c r="B1412" s="11"/>
      <c r="C1412" s="11"/>
      <c r="D1412" s="11"/>
      <c r="E1412" s="12"/>
    </row>
    <row r="1413" customHeight="1" spans="1:5">
      <c r="A1413" s="11"/>
      <c r="B1413" s="11"/>
      <c r="C1413" s="11"/>
      <c r="D1413" s="11"/>
      <c r="E1413" s="12"/>
    </row>
    <row r="1414" customHeight="1" spans="1:5">
      <c r="A1414" s="11"/>
      <c r="B1414" s="11"/>
      <c r="C1414" s="11"/>
      <c r="D1414" s="11"/>
      <c r="E1414" s="12"/>
    </row>
    <row r="1415" customHeight="1" spans="1:5">
      <c r="A1415" s="11"/>
      <c r="B1415" s="11"/>
      <c r="C1415" s="11"/>
      <c r="D1415" s="11"/>
      <c r="E1415" s="12"/>
    </row>
    <row r="1416" customHeight="1" spans="1:5">
      <c r="A1416" s="11"/>
      <c r="B1416" s="11"/>
      <c r="C1416" s="11"/>
      <c r="D1416" s="11"/>
      <c r="E1416" s="12"/>
    </row>
    <row r="1417" customHeight="1" spans="1:5">
      <c r="A1417" s="11"/>
      <c r="B1417" s="11"/>
      <c r="C1417" s="11"/>
      <c r="D1417" s="11"/>
      <c r="E1417" s="12"/>
    </row>
    <row r="1418" customHeight="1" spans="1:5">
      <c r="A1418" s="11"/>
      <c r="B1418" s="11"/>
      <c r="C1418" s="11"/>
      <c r="D1418" s="11"/>
      <c r="E1418" s="12"/>
    </row>
    <row r="1419" customHeight="1" spans="1:5">
      <c r="A1419" s="11"/>
      <c r="B1419" s="11"/>
      <c r="C1419" s="11"/>
      <c r="D1419" s="11"/>
      <c r="E1419" s="12"/>
    </row>
    <row r="1420" customHeight="1" spans="1:5">
      <c r="A1420" s="11"/>
      <c r="B1420" s="11"/>
      <c r="C1420" s="11"/>
      <c r="D1420" s="11"/>
      <c r="E1420" s="12"/>
    </row>
    <row r="1421" customHeight="1" spans="1:5">
      <c r="A1421" s="11"/>
      <c r="B1421" s="11"/>
      <c r="C1421" s="11"/>
      <c r="D1421" s="11"/>
      <c r="E1421" s="12"/>
    </row>
    <row r="1422" customHeight="1" spans="1:5">
      <c r="A1422" s="11"/>
      <c r="B1422" s="11"/>
      <c r="C1422" s="11"/>
      <c r="D1422" s="11"/>
      <c r="E1422" s="12"/>
    </row>
    <row r="1423" customHeight="1" spans="1:5">
      <c r="A1423" s="11"/>
      <c r="B1423" s="11"/>
      <c r="C1423" s="11"/>
      <c r="D1423" s="11"/>
      <c r="E1423" s="12"/>
    </row>
    <row r="1424" customHeight="1" spans="1:5">
      <c r="A1424" s="11"/>
      <c r="B1424" s="11"/>
      <c r="C1424" s="11"/>
      <c r="D1424" s="11"/>
      <c r="E1424" s="12"/>
    </row>
    <row r="1425" customHeight="1" spans="1:5">
      <c r="A1425" s="11"/>
      <c r="B1425" s="11"/>
      <c r="C1425" s="11"/>
      <c r="D1425" s="11"/>
      <c r="E1425" s="12"/>
    </row>
    <row r="1426" customHeight="1" spans="1:5">
      <c r="A1426" s="11"/>
      <c r="B1426" s="11"/>
      <c r="C1426" s="11"/>
      <c r="D1426" s="11"/>
      <c r="E1426" s="12"/>
    </row>
    <row r="1427" customHeight="1" spans="1:5">
      <c r="A1427" s="11"/>
      <c r="B1427" s="11"/>
      <c r="C1427" s="11"/>
      <c r="D1427" s="11"/>
      <c r="E1427" s="12"/>
    </row>
    <row r="1428" customHeight="1" spans="1:5">
      <c r="A1428" s="11"/>
      <c r="B1428" s="11"/>
      <c r="C1428" s="11"/>
      <c r="D1428" s="11"/>
      <c r="E1428" s="12"/>
    </row>
    <row r="1429" customHeight="1" spans="1:5">
      <c r="A1429" s="11"/>
      <c r="B1429" s="11"/>
      <c r="C1429" s="11"/>
      <c r="D1429" s="11"/>
      <c r="E1429" s="12"/>
    </row>
    <row r="1430" customHeight="1" spans="1:5">
      <c r="A1430" s="11"/>
      <c r="B1430" s="11"/>
      <c r="C1430" s="11"/>
      <c r="D1430" s="11"/>
      <c r="E1430" s="12"/>
    </row>
    <row r="1431" customHeight="1" spans="1:5">
      <c r="A1431" s="11"/>
      <c r="B1431" s="11"/>
      <c r="C1431" s="11"/>
      <c r="D1431" s="11"/>
      <c r="E1431" s="12"/>
    </row>
    <row r="1432" customHeight="1" spans="1:5">
      <c r="A1432" s="11"/>
      <c r="B1432" s="11"/>
      <c r="C1432" s="11"/>
      <c r="D1432" s="11"/>
      <c r="E1432" s="12"/>
    </row>
    <row r="1433" customHeight="1" spans="1:5">
      <c r="A1433" s="11"/>
      <c r="B1433" s="11"/>
      <c r="C1433" s="11"/>
      <c r="D1433" s="11"/>
      <c r="E1433" s="12"/>
    </row>
    <row r="1434" customHeight="1" spans="1:5">
      <c r="A1434" s="11"/>
      <c r="B1434" s="11"/>
      <c r="C1434" s="11"/>
      <c r="D1434" s="11"/>
      <c r="E1434" s="12"/>
    </row>
    <row r="1435" customHeight="1" spans="1:5">
      <c r="A1435" s="11"/>
      <c r="B1435" s="11"/>
      <c r="C1435" s="11"/>
      <c r="D1435" s="11"/>
      <c r="E1435" s="12"/>
    </row>
    <row r="1436" customHeight="1" spans="1:5">
      <c r="A1436" s="11"/>
      <c r="B1436" s="11"/>
      <c r="C1436" s="11"/>
      <c r="D1436" s="11"/>
      <c r="E1436" s="12"/>
    </row>
    <row r="1437" customHeight="1" spans="1:5">
      <c r="A1437" s="11"/>
      <c r="B1437" s="11"/>
      <c r="C1437" s="11"/>
      <c r="D1437" s="11"/>
      <c r="E1437" s="12"/>
    </row>
    <row r="1438" customHeight="1" spans="1:5">
      <c r="A1438" s="11"/>
      <c r="B1438" s="11"/>
      <c r="C1438" s="11"/>
      <c r="D1438" s="11"/>
      <c r="E1438" s="12"/>
    </row>
    <row r="1439" customHeight="1" spans="1:5">
      <c r="A1439" s="11"/>
      <c r="B1439" s="11"/>
      <c r="C1439" s="11"/>
      <c r="D1439" s="11"/>
      <c r="E1439" s="12"/>
    </row>
    <row r="1440" customHeight="1" spans="1:5">
      <c r="A1440" s="11"/>
      <c r="B1440" s="11"/>
      <c r="C1440" s="11"/>
      <c r="D1440" s="11"/>
      <c r="E1440" s="12"/>
    </row>
    <row r="1441" customHeight="1" spans="1:5">
      <c r="A1441" s="11"/>
      <c r="B1441" s="11"/>
      <c r="C1441" s="11"/>
      <c r="D1441" s="11"/>
      <c r="E1441" s="12"/>
    </row>
    <row r="1442" customHeight="1" spans="1:5">
      <c r="A1442" s="11"/>
      <c r="B1442" s="11"/>
      <c r="C1442" s="11"/>
      <c r="D1442" s="11"/>
      <c r="E1442" s="12"/>
    </row>
    <row r="1443" customHeight="1" spans="1:5">
      <c r="A1443" s="11"/>
      <c r="B1443" s="11"/>
      <c r="C1443" s="11"/>
      <c r="D1443" s="11"/>
      <c r="E1443" s="12"/>
    </row>
    <row r="1444" customHeight="1" spans="1:5">
      <c r="A1444" s="11"/>
      <c r="B1444" s="11"/>
      <c r="C1444" s="11"/>
      <c r="D1444" s="11"/>
      <c r="E1444" s="12"/>
    </row>
    <row r="1445" customHeight="1" spans="1:5">
      <c r="A1445" s="11"/>
      <c r="B1445" s="11"/>
      <c r="C1445" s="11"/>
      <c r="D1445" s="11"/>
      <c r="E1445" s="12"/>
    </row>
    <row r="1446" customHeight="1" spans="1:5">
      <c r="A1446" s="11"/>
      <c r="B1446" s="11"/>
      <c r="C1446" s="11"/>
      <c r="D1446" s="11"/>
      <c r="E1446" s="12"/>
    </row>
    <row r="1447" customHeight="1" spans="1:5">
      <c r="A1447" s="11"/>
      <c r="B1447" s="11"/>
      <c r="C1447" s="11"/>
      <c r="D1447" s="11"/>
      <c r="E1447" s="12"/>
    </row>
    <row r="1448" customHeight="1" spans="1:5">
      <c r="A1448" s="11"/>
      <c r="B1448" s="11"/>
      <c r="C1448" s="11"/>
      <c r="D1448" s="11"/>
      <c r="E1448" s="12"/>
    </row>
    <row r="1449" customHeight="1" spans="1:5">
      <c r="A1449" s="11"/>
      <c r="B1449" s="11"/>
      <c r="C1449" s="11"/>
      <c r="D1449" s="11"/>
      <c r="E1449" s="12"/>
    </row>
    <row r="1450" customHeight="1" spans="1:5">
      <c r="A1450" s="11"/>
      <c r="B1450" s="11"/>
      <c r="C1450" s="11"/>
      <c r="D1450" s="11"/>
      <c r="E1450" s="12"/>
    </row>
    <row r="1451" customHeight="1" spans="1:5">
      <c r="A1451" s="11"/>
      <c r="B1451" s="11"/>
      <c r="C1451" s="11"/>
      <c r="D1451" s="11"/>
      <c r="E1451" s="12"/>
    </row>
    <row r="1452" customHeight="1" spans="1:5">
      <c r="A1452" s="11"/>
      <c r="B1452" s="11"/>
      <c r="C1452" s="11"/>
      <c r="D1452" s="11"/>
      <c r="E1452" s="12"/>
    </row>
    <row r="1453" customHeight="1" spans="1:5">
      <c r="A1453" s="11"/>
      <c r="B1453" s="11"/>
      <c r="C1453" s="11"/>
      <c r="D1453" s="11"/>
      <c r="E1453" s="12"/>
    </row>
    <row r="1454" customHeight="1" spans="1:5">
      <c r="A1454" s="11"/>
      <c r="B1454" s="11"/>
      <c r="C1454" s="11"/>
      <c r="D1454" s="11"/>
      <c r="E1454" s="12"/>
    </row>
    <row r="1455" customHeight="1" spans="1:5">
      <c r="A1455" s="11"/>
      <c r="B1455" s="11"/>
      <c r="C1455" s="11"/>
      <c r="D1455" s="11"/>
      <c r="E1455" s="12"/>
    </row>
    <row r="1456" customHeight="1" spans="1:5">
      <c r="A1456" s="11"/>
      <c r="B1456" s="11"/>
      <c r="C1456" s="11"/>
      <c r="D1456" s="11"/>
      <c r="E1456" s="12"/>
    </row>
    <row r="1457" customHeight="1" spans="1:5">
      <c r="A1457" s="11"/>
      <c r="B1457" s="11"/>
      <c r="C1457" s="11"/>
      <c r="D1457" s="11"/>
      <c r="E1457" s="12"/>
    </row>
    <row r="1458" customHeight="1" spans="1:5">
      <c r="A1458" s="11"/>
      <c r="B1458" s="11"/>
      <c r="C1458" s="11"/>
      <c r="D1458" s="11"/>
      <c r="E1458" s="12"/>
    </row>
    <row r="1459" customHeight="1" spans="1:5">
      <c r="A1459" s="11"/>
      <c r="B1459" s="11"/>
      <c r="C1459" s="11"/>
      <c r="D1459" s="11"/>
      <c r="E1459" s="12"/>
    </row>
    <row r="1460" customHeight="1" spans="1:5">
      <c r="A1460" s="11"/>
      <c r="B1460" s="11"/>
      <c r="C1460" s="11"/>
      <c r="D1460" s="11"/>
      <c r="E1460" s="12"/>
    </row>
    <row r="1461" customHeight="1" spans="1:5">
      <c r="A1461" s="11"/>
      <c r="B1461" s="11"/>
      <c r="C1461" s="11"/>
      <c r="D1461" s="11"/>
      <c r="E1461" s="12"/>
    </row>
    <row r="1462" customHeight="1" spans="1:5">
      <c r="A1462" s="11"/>
      <c r="B1462" s="11"/>
      <c r="C1462" s="11"/>
      <c r="D1462" s="11"/>
      <c r="E1462" s="12"/>
    </row>
    <row r="1463" customHeight="1" spans="1:5">
      <c r="A1463" s="11"/>
      <c r="B1463" s="11"/>
      <c r="C1463" s="11"/>
      <c r="D1463" s="11"/>
      <c r="E1463" s="12"/>
    </row>
    <row r="1464" customHeight="1" spans="1:5">
      <c r="A1464" s="11"/>
      <c r="B1464" s="11"/>
      <c r="C1464" s="11"/>
      <c r="D1464" s="11"/>
      <c r="E1464" s="12"/>
    </row>
    <row r="1465" customHeight="1" spans="1:5">
      <c r="A1465" s="11"/>
      <c r="B1465" s="11"/>
      <c r="C1465" s="11"/>
      <c r="D1465" s="11"/>
      <c r="E1465" s="12"/>
    </row>
    <row r="1466" customHeight="1" spans="1:5">
      <c r="A1466" s="11"/>
      <c r="B1466" s="11"/>
      <c r="C1466" s="11"/>
      <c r="D1466" s="11"/>
      <c r="E1466" s="12"/>
    </row>
    <row r="1467" customHeight="1" spans="1:5">
      <c r="A1467" s="11"/>
      <c r="B1467" s="11"/>
      <c r="C1467" s="11"/>
      <c r="D1467" s="11"/>
      <c r="E1467" s="12"/>
    </row>
    <row r="1468" customHeight="1" spans="1:5">
      <c r="A1468" s="11"/>
      <c r="B1468" s="11"/>
      <c r="C1468" s="11"/>
      <c r="D1468" s="11"/>
      <c r="E1468" s="12"/>
    </row>
    <row r="1469" customHeight="1" spans="1:5">
      <c r="A1469" s="11"/>
      <c r="B1469" s="11"/>
      <c r="C1469" s="11"/>
      <c r="D1469" s="11"/>
      <c r="E1469" s="12"/>
    </row>
    <row r="1470" customHeight="1" spans="1:5">
      <c r="A1470" s="11"/>
      <c r="B1470" s="11"/>
      <c r="C1470" s="11"/>
      <c r="D1470" s="11"/>
      <c r="E1470" s="12"/>
    </row>
    <row r="1471" customHeight="1" spans="1:5">
      <c r="A1471" s="11"/>
      <c r="B1471" s="11"/>
      <c r="C1471" s="11"/>
      <c r="D1471" s="11"/>
      <c r="E1471" s="12"/>
    </row>
    <row r="1472" customHeight="1" spans="1:5">
      <c r="A1472" s="11"/>
      <c r="B1472" s="11"/>
      <c r="C1472" s="11"/>
      <c r="D1472" s="11"/>
      <c r="E1472" s="12"/>
    </row>
    <row r="1473" customHeight="1" spans="1:5">
      <c r="A1473" s="11"/>
      <c r="B1473" s="11"/>
      <c r="C1473" s="11"/>
      <c r="D1473" s="11"/>
      <c r="E1473" s="12"/>
    </row>
    <row r="1474" customHeight="1" spans="1:5">
      <c r="A1474" s="11"/>
      <c r="B1474" s="11"/>
      <c r="C1474" s="11"/>
      <c r="D1474" s="11"/>
      <c r="E1474" s="12"/>
    </row>
    <row r="1475" customHeight="1" spans="1:5">
      <c r="A1475" s="11"/>
      <c r="B1475" s="11"/>
      <c r="C1475" s="11"/>
      <c r="D1475" s="11"/>
      <c r="E1475" s="12"/>
    </row>
    <row r="1476" customHeight="1" spans="1:5">
      <c r="A1476" s="11"/>
      <c r="B1476" s="11"/>
      <c r="C1476" s="11"/>
      <c r="D1476" s="11"/>
      <c r="E1476" s="12"/>
    </row>
    <row r="1477" customHeight="1" spans="1:5">
      <c r="A1477" s="11"/>
      <c r="B1477" s="11"/>
      <c r="C1477" s="11"/>
      <c r="D1477" s="11"/>
      <c r="E1477" s="12"/>
    </row>
    <row r="1478" customHeight="1" spans="1:5">
      <c r="A1478" s="11"/>
      <c r="B1478" s="11"/>
      <c r="C1478" s="11"/>
      <c r="D1478" s="11"/>
      <c r="E1478" s="12"/>
    </row>
    <row r="1479" customHeight="1" spans="1:5">
      <c r="A1479" s="11"/>
      <c r="B1479" s="11"/>
      <c r="C1479" s="11"/>
      <c r="D1479" s="11"/>
      <c r="E1479" s="12"/>
    </row>
    <row r="1480" customHeight="1" spans="1:5">
      <c r="A1480" s="11"/>
      <c r="B1480" s="11"/>
      <c r="C1480" s="11"/>
      <c r="D1480" s="11"/>
      <c r="E1480" s="12"/>
    </row>
    <row r="1481" customHeight="1" spans="1:5">
      <c r="A1481" s="11"/>
      <c r="B1481" s="11"/>
      <c r="C1481" s="11"/>
      <c r="D1481" s="11"/>
      <c r="E1481" s="12"/>
    </row>
    <row r="1482" customHeight="1" spans="1:5">
      <c r="A1482" s="11"/>
      <c r="B1482" s="11"/>
      <c r="C1482" s="11"/>
      <c r="D1482" s="11"/>
      <c r="E1482" s="12"/>
    </row>
    <row r="1483" customHeight="1" spans="1:5">
      <c r="A1483" s="11"/>
      <c r="B1483" s="11"/>
      <c r="C1483" s="11"/>
      <c r="D1483" s="11"/>
      <c r="E1483" s="12"/>
    </row>
    <row r="1484" customHeight="1" spans="1:5">
      <c r="A1484" s="11"/>
      <c r="B1484" s="11"/>
      <c r="C1484" s="11"/>
      <c r="D1484" s="11"/>
      <c r="E1484" s="12"/>
    </row>
    <row r="1485" customHeight="1" spans="1:5">
      <c r="A1485" s="11"/>
      <c r="B1485" s="11"/>
      <c r="C1485" s="11"/>
      <c r="D1485" s="11"/>
      <c r="E1485" s="12"/>
    </row>
    <row r="1486" customHeight="1" spans="1:5">
      <c r="A1486" s="11"/>
      <c r="B1486" s="11"/>
      <c r="C1486" s="11"/>
      <c r="D1486" s="11"/>
      <c r="E1486" s="12"/>
    </row>
    <row r="1487" customHeight="1" spans="1:5">
      <c r="A1487" s="11"/>
      <c r="B1487" s="11"/>
      <c r="C1487" s="11"/>
      <c r="D1487" s="11"/>
      <c r="E1487" s="12"/>
    </row>
    <row r="1488" customHeight="1" spans="1:5">
      <c r="A1488" s="11"/>
      <c r="B1488" s="11"/>
      <c r="C1488" s="11"/>
      <c r="D1488" s="11"/>
      <c r="E1488" s="12"/>
    </row>
    <row r="1489" customHeight="1" spans="1:5">
      <c r="A1489" s="11"/>
      <c r="B1489" s="11"/>
      <c r="C1489" s="11"/>
      <c r="D1489" s="11"/>
      <c r="E1489" s="12"/>
    </row>
    <row r="1490" customHeight="1" spans="1:5">
      <c r="A1490" s="11"/>
      <c r="B1490" s="11"/>
      <c r="C1490" s="11"/>
      <c r="D1490" s="11"/>
      <c r="E1490" s="12"/>
    </row>
    <row r="1491" customHeight="1" spans="1:5">
      <c r="A1491" s="11"/>
      <c r="B1491" s="11"/>
      <c r="C1491" s="11"/>
      <c r="D1491" s="11"/>
      <c r="E1491" s="12"/>
    </row>
    <row r="1492" customHeight="1" spans="1:5">
      <c r="A1492" s="11"/>
      <c r="B1492" s="11"/>
      <c r="C1492" s="11"/>
      <c r="D1492" s="11"/>
      <c r="E1492" s="12"/>
    </row>
    <row r="1493" customHeight="1" spans="1:5">
      <c r="A1493" s="11"/>
      <c r="B1493" s="11"/>
      <c r="C1493" s="11"/>
      <c r="D1493" s="11"/>
      <c r="E1493" s="12"/>
    </row>
    <row r="1494" customHeight="1" spans="1:5">
      <c r="A1494" s="11"/>
      <c r="B1494" s="11"/>
      <c r="C1494" s="11"/>
      <c r="D1494" s="11"/>
      <c r="E1494" s="12"/>
    </row>
    <row r="1495" customHeight="1" spans="1:5">
      <c r="A1495" s="11"/>
      <c r="B1495" s="11"/>
      <c r="C1495" s="11"/>
      <c r="D1495" s="11"/>
      <c r="E1495" s="12"/>
    </row>
    <row r="1496" customHeight="1" spans="1:5">
      <c r="A1496" s="11"/>
      <c r="B1496" s="11"/>
      <c r="C1496" s="11"/>
      <c r="D1496" s="11"/>
      <c r="E1496" s="12"/>
    </row>
    <row r="1497" customHeight="1" spans="1:5">
      <c r="A1497" s="11"/>
      <c r="B1497" s="11"/>
      <c r="C1497" s="11"/>
      <c r="D1497" s="11"/>
      <c r="E1497" s="12"/>
    </row>
    <row r="1498" customHeight="1" spans="1:5">
      <c r="A1498" s="11"/>
      <c r="B1498" s="11"/>
      <c r="C1498" s="11"/>
      <c r="D1498" s="11"/>
      <c r="E1498" s="12"/>
    </row>
    <row r="1499" customHeight="1" spans="1:5">
      <c r="A1499" s="11"/>
      <c r="B1499" s="11"/>
      <c r="C1499" s="11"/>
      <c r="D1499" s="11"/>
      <c r="E1499" s="12"/>
    </row>
    <row r="1500" customHeight="1" spans="1:5">
      <c r="A1500" s="11"/>
      <c r="B1500" s="11"/>
      <c r="C1500" s="11"/>
      <c r="D1500" s="11"/>
      <c r="E1500" s="12"/>
    </row>
    <row r="1501" customHeight="1" spans="1:5">
      <c r="A1501" s="11"/>
      <c r="B1501" s="11"/>
      <c r="C1501" s="11"/>
      <c r="D1501" s="11"/>
      <c r="E1501" s="12"/>
    </row>
    <row r="1502" customHeight="1" spans="1:5">
      <c r="A1502" s="11"/>
      <c r="B1502" s="11"/>
      <c r="C1502" s="11"/>
      <c r="D1502" s="11"/>
      <c r="E1502" s="12"/>
    </row>
    <row r="1503" customHeight="1" spans="1:5">
      <c r="A1503" s="11"/>
      <c r="B1503" s="11"/>
      <c r="C1503" s="11"/>
      <c r="D1503" s="11"/>
      <c r="E1503" s="12"/>
    </row>
    <row r="1504" customHeight="1" spans="1:5">
      <c r="A1504" s="11"/>
      <c r="B1504" s="11"/>
      <c r="C1504" s="11"/>
      <c r="D1504" s="11"/>
      <c r="E1504" s="12"/>
    </row>
    <row r="1505" customHeight="1" spans="1:5">
      <c r="A1505" s="11"/>
      <c r="B1505" s="11"/>
      <c r="C1505" s="11"/>
      <c r="D1505" s="11"/>
      <c r="E1505" s="12"/>
    </row>
    <row r="1506" customHeight="1" spans="1:5">
      <c r="A1506" s="11"/>
      <c r="B1506" s="11"/>
      <c r="C1506" s="11"/>
      <c r="D1506" s="11"/>
      <c r="E1506" s="12"/>
    </row>
    <row r="1507" customHeight="1" spans="1:5">
      <c r="A1507" s="11"/>
      <c r="B1507" s="11"/>
      <c r="C1507" s="11"/>
      <c r="D1507" s="11"/>
      <c r="E1507" s="12"/>
    </row>
    <row r="1508" customHeight="1" spans="1:5">
      <c r="A1508" s="11"/>
      <c r="B1508" s="11"/>
      <c r="C1508" s="11"/>
      <c r="D1508" s="11"/>
      <c r="E1508" s="12"/>
    </row>
    <row r="1509" customHeight="1" spans="1:5">
      <c r="A1509" s="11"/>
      <c r="B1509" s="11"/>
      <c r="C1509" s="11"/>
      <c r="D1509" s="11"/>
      <c r="E1509" s="12"/>
    </row>
    <row r="1510" customHeight="1" spans="1:5">
      <c r="A1510" s="11"/>
      <c r="B1510" s="11"/>
      <c r="C1510" s="11"/>
      <c r="D1510" s="11"/>
      <c r="E1510" s="12"/>
    </row>
    <row r="1511" customHeight="1" spans="1:5">
      <c r="A1511" s="11"/>
      <c r="B1511" s="11"/>
      <c r="C1511" s="11"/>
      <c r="D1511" s="11"/>
      <c r="E1511" s="12"/>
    </row>
    <row r="1512" customHeight="1" spans="1:5">
      <c r="A1512" s="11"/>
      <c r="B1512" s="11"/>
      <c r="C1512" s="11"/>
      <c r="D1512" s="11"/>
      <c r="E1512" s="12"/>
    </row>
    <row r="1513" customHeight="1" spans="1:5">
      <c r="A1513" s="11"/>
      <c r="B1513" s="11"/>
      <c r="C1513" s="11"/>
      <c r="D1513" s="11"/>
      <c r="E1513" s="12"/>
    </row>
    <row r="1514" customHeight="1" spans="1:5">
      <c r="A1514" s="11"/>
      <c r="B1514" s="11"/>
      <c r="C1514" s="11"/>
      <c r="D1514" s="11"/>
      <c r="E1514" s="12"/>
    </row>
    <row r="1515" customHeight="1" spans="1:5">
      <c r="A1515" s="11"/>
      <c r="B1515" s="11"/>
      <c r="C1515" s="11"/>
      <c r="D1515" s="11"/>
      <c r="E1515" s="12"/>
    </row>
    <row r="1516" customHeight="1" spans="1:5">
      <c r="A1516" s="11"/>
      <c r="B1516" s="11"/>
      <c r="C1516" s="11"/>
      <c r="D1516" s="11"/>
      <c r="E1516" s="12"/>
    </row>
    <row r="1517" customHeight="1" spans="1:5">
      <c r="A1517" s="11"/>
      <c r="B1517" s="11"/>
      <c r="C1517" s="11"/>
      <c r="D1517" s="11"/>
      <c r="E1517" s="12"/>
    </row>
    <row r="1518" customHeight="1" spans="1:5">
      <c r="A1518" s="11"/>
      <c r="B1518" s="11"/>
      <c r="C1518" s="11"/>
      <c r="D1518" s="11"/>
      <c r="E1518" s="12"/>
    </row>
    <row r="1519" customHeight="1" spans="1:5">
      <c r="A1519" s="11"/>
      <c r="B1519" s="11"/>
      <c r="C1519" s="11"/>
      <c r="D1519" s="11"/>
      <c r="E1519" s="12"/>
    </row>
    <row r="1520" customHeight="1" spans="1:5">
      <c r="A1520" s="11"/>
      <c r="B1520" s="11"/>
      <c r="C1520" s="11"/>
      <c r="D1520" s="11"/>
      <c r="E1520" s="12"/>
    </row>
    <row r="1521" customHeight="1" spans="1:5">
      <c r="A1521" s="11"/>
      <c r="B1521" s="11"/>
      <c r="C1521" s="11"/>
      <c r="D1521" s="11"/>
      <c r="E1521" s="12"/>
    </row>
    <row r="1522" customHeight="1" spans="1:5">
      <c r="A1522" s="11"/>
      <c r="B1522" s="11"/>
      <c r="C1522" s="11"/>
      <c r="D1522" s="11"/>
      <c r="E1522" s="12"/>
    </row>
    <row r="1523" customHeight="1" spans="1:5">
      <c r="A1523" s="11"/>
      <c r="B1523" s="11"/>
      <c r="C1523" s="11"/>
      <c r="D1523" s="11"/>
      <c r="E1523" s="12"/>
    </row>
    <row r="1524" customHeight="1" spans="1:5">
      <c r="A1524" s="11"/>
      <c r="B1524" s="11"/>
      <c r="C1524" s="11"/>
      <c r="D1524" s="11"/>
      <c r="E1524" s="12"/>
    </row>
    <row r="1525" customHeight="1" spans="1:5">
      <c r="A1525" s="11"/>
      <c r="B1525" s="11"/>
      <c r="C1525" s="11"/>
      <c r="D1525" s="11"/>
      <c r="E1525" s="12"/>
    </row>
    <row r="1526" customHeight="1" spans="1:5">
      <c r="A1526" s="11"/>
      <c r="B1526" s="11"/>
      <c r="C1526" s="11"/>
      <c r="D1526" s="11"/>
      <c r="E1526" s="12"/>
    </row>
    <row r="1527" customHeight="1" spans="1:5">
      <c r="A1527" s="11"/>
      <c r="B1527" s="11"/>
      <c r="C1527" s="11"/>
      <c r="D1527" s="11"/>
      <c r="E1527" s="12"/>
    </row>
    <row r="1528" customHeight="1" spans="1:5">
      <c r="A1528" s="11"/>
      <c r="B1528" s="11"/>
      <c r="C1528" s="11"/>
      <c r="D1528" s="11"/>
      <c r="E1528" s="12"/>
    </row>
    <row r="1529" customHeight="1" spans="1:5">
      <c r="A1529" s="11"/>
      <c r="B1529" s="11"/>
      <c r="C1529" s="11"/>
      <c r="D1529" s="11"/>
      <c r="E1529" s="12"/>
    </row>
    <row r="1530" customHeight="1" spans="1:5">
      <c r="A1530" s="11"/>
      <c r="B1530" s="11"/>
      <c r="C1530" s="11"/>
      <c r="D1530" s="11"/>
      <c r="E1530" s="12"/>
    </row>
    <row r="1531" customHeight="1" spans="1:5">
      <c r="A1531" s="11"/>
      <c r="B1531" s="11"/>
      <c r="C1531" s="11"/>
      <c r="D1531" s="11"/>
      <c r="E1531" s="12"/>
    </row>
    <row r="1532" customHeight="1" spans="1:5">
      <c r="A1532" s="11"/>
      <c r="B1532" s="11"/>
      <c r="C1532" s="11"/>
      <c r="D1532" s="11"/>
      <c r="E1532" s="12"/>
    </row>
    <row r="1533" customHeight="1" spans="1:5">
      <c r="A1533" s="11"/>
      <c r="B1533" s="11"/>
      <c r="C1533" s="11"/>
      <c r="D1533" s="11"/>
      <c r="E1533" s="12"/>
    </row>
    <row r="1534" customHeight="1" spans="1:5">
      <c r="A1534" s="11"/>
      <c r="B1534" s="11"/>
      <c r="C1534" s="11"/>
      <c r="D1534" s="11"/>
      <c r="E1534" s="12"/>
    </row>
    <row r="1535" customHeight="1" spans="1:5">
      <c r="A1535" s="11"/>
      <c r="B1535" s="11"/>
      <c r="C1535" s="11"/>
      <c r="D1535" s="11"/>
      <c r="E1535" s="12"/>
    </row>
    <row r="1536" customHeight="1" spans="1:5">
      <c r="A1536" s="11"/>
      <c r="B1536" s="11"/>
      <c r="C1536" s="11"/>
      <c r="D1536" s="11"/>
      <c r="E1536" s="12"/>
    </row>
    <row r="1537" customHeight="1" spans="1:5">
      <c r="A1537" s="11"/>
      <c r="B1537" s="11"/>
      <c r="C1537" s="11"/>
      <c r="D1537" s="11"/>
      <c r="E1537" s="12"/>
    </row>
    <row r="1538" customHeight="1" spans="1:5">
      <c r="A1538" s="11"/>
      <c r="B1538" s="11"/>
      <c r="C1538" s="11"/>
      <c r="D1538" s="11"/>
      <c r="E1538" s="12"/>
    </row>
    <row r="1539" customHeight="1" spans="1:5">
      <c r="A1539" s="11"/>
      <c r="B1539" s="11"/>
      <c r="C1539" s="11"/>
      <c r="D1539" s="11"/>
      <c r="E1539" s="12"/>
    </row>
    <row r="1540" customHeight="1" spans="1:5">
      <c r="A1540" s="11"/>
      <c r="B1540" s="11"/>
      <c r="C1540" s="11"/>
      <c r="D1540" s="11"/>
      <c r="E1540" s="12"/>
    </row>
    <row r="1541" customHeight="1" spans="1:5">
      <c r="A1541" s="11"/>
      <c r="B1541" s="11"/>
      <c r="C1541" s="11"/>
      <c r="D1541" s="11"/>
      <c r="E1541" s="12"/>
    </row>
    <row r="1542" customHeight="1" spans="1:5">
      <c r="A1542" s="11"/>
      <c r="B1542" s="11"/>
      <c r="C1542" s="11"/>
      <c r="D1542" s="11"/>
      <c r="E1542" s="12"/>
    </row>
    <row r="1543" customHeight="1" spans="1:5">
      <c r="A1543" s="11"/>
      <c r="B1543" s="11"/>
      <c r="C1543" s="11"/>
      <c r="D1543" s="11"/>
      <c r="E1543" s="12"/>
    </row>
    <row r="1544" customHeight="1" spans="1:5">
      <c r="A1544" s="11"/>
      <c r="B1544" s="11"/>
      <c r="C1544" s="11"/>
      <c r="D1544" s="11"/>
      <c r="E1544" s="12"/>
    </row>
    <row r="1545" customHeight="1" spans="1:5">
      <c r="A1545" s="11"/>
      <c r="B1545" s="11"/>
      <c r="C1545" s="11"/>
      <c r="D1545" s="11"/>
      <c r="E1545" s="12"/>
    </row>
    <row r="1546" customHeight="1" spans="1:5">
      <c r="A1546" s="11"/>
      <c r="B1546" s="11"/>
      <c r="C1546" s="11"/>
      <c r="D1546" s="11"/>
      <c r="E1546" s="12"/>
    </row>
    <row r="1547" customHeight="1" spans="1:5">
      <c r="A1547" s="11"/>
      <c r="B1547" s="11"/>
      <c r="C1547" s="11"/>
      <c r="D1547" s="11"/>
      <c r="E1547" s="12"/>
    </row>
    <row r="1548" customHeight="1" spans="1:5">
      <c r="A1548" s="11"/>
      <c r="B1548" s="11"/>
      <c r="C1548" s="11"/>
      <c r="D1548" s="11"/>
      <c r="E1548" s="12"/>
    </row>
    <row r="1549" customHeight="1" spans="1:5">
      <c r="A1549" s="11"/>
      <c r="B1549" s="11"/>
      <c r="C1549" s="11"/>
      <c r="D1549" s="11"/>
      <c r="E1549" s="12"/>
    </row>
    <row r="1550" customHeight="1" spans="1:5">
      <c r="A1550" s="11"/>
      <c r="B1550" s="11"/>
      <c r="C1550" s="11"/>
      <c r="D1550" s="11"/>
      <c r="E1550" s="12"/>
    </row>
    <row r="1551" customHeight="1" spans="1:5">
      <c r="A1551" s="11"/>
      <c r="B1551" s="11"/>
      <c r="C1551" s="11"/>
      <c r="D1551" s="11"/>
      <c r="E1551" s="12"/>
    </row>
    <row r="1552" customHeight="1" spans="1:5">
      <c r="A1552" s="11"/>
      <c r="B1552" s="11"/>
      <c r="C1552" s="11"/>
      <c r="D1552" s="11"/>
      <c r="E1552" s="12"/>
    </row>
    <row r="1553" customHeight="1" spans="1:5">
      <c r="A1553" s="11"/>
      <c r="B1553" s="11"/>
      <c r="C1553" s="11"/>
      <c r="D1553" s="11"/>
      <c r="E1553" s="12"/>
    </row>
    <row r="1554" customHeight="1" spans="1:5">
      <c r="A1554" s="11"/>
      <c r="B1554" s="11"/>
      <c r="C1554" s="11"/>
      <c r="D1554" s="11"/>
      <c r="E1554" s="12"/>
    </row>
    <row r="1555" customHeight="1" spans="1:5">
      <c r="A1555" s="11"/>
      <c r="B1555" s="11"/>
      <c r="C1555" s="11"/>
      <c r="D1555" s="11"/>
      <c r="E1555" s="12"/>
    </row>
    <row r="1556" customHeight="1" spans="1:5">
      <c r="A1556" s="11"/>
      <c r="B1556" s="11"/>
      <c r="C1556" s="11"/>
      <c r="D1556" s="11"/>
      <c r="E1556" s="12"/>
    </row>
    <row r="1557" customHeight="1" spans="1:5">
      <c r="A1557" s="11"/>
      <c r="B1557" s="11"/>
      <c r="C1557" s="11"/>
      <c r="D1557" s="11"/>
      <c r="E1557" s="12"/>
    </row>
    <row r="1558" customHeight="1" spans="1:5">
      <c r="A1558" s="11"/>
      <c r="B1558" s="11"/>
      <c r="C1558" s="11"/>
      <c r="D1558" s="11"/>
      <c r="E1558" s="12"/>
    </row>
    <row r="1559" customHeight="1" spans="1:5">
      <c r="A1559" s="11"/>
      <c r="B1559" s="11"/>
      <c r="C1559" s="11"/>
      <c r="D1559" s="11"/>
      <c r="E1559" s="12"/>
    </row>
    <row r="1560" customHeight="1" spans="1:5">
      <c r="A1560" s="11"/>
      <c r="B1560" s="11"/>
      <c r="C1560" s="11"/>
      <c r="D1560" s="11"/>
      <c r="E1560" s="12"/>
    </row>
    <row r="1561" customHeight="1" spans="1:5">
      <c r="A1561" s="11"/>
      <c r="B1561" s="11"/>
      <c r="C1561" s="11"/>
      <c r="D1561" s="11"/>
      <c r="E1561" s="12"/>
    </row>
    <row r="1562" customHeight="1" spans="1:5">
      <c r="A1562" s="11"/>
      <c r="B1562" s="11"/>
      <c r="C1562" s="11"/>
      <c r="D1562" s="11"/>
      <c r="E1562" s="12"/>
    </row>
    <row r="1563" customHeight="1" spans="1:5">
      <c r="A1563" s="11"/>
      <c r="B1563" s="11"/>
      <c r="C1563" s="11"/>
      <c r="D1563" s="11"/>
      <c r="E1563" s="12"/>
    </row>
    <row r="1564" customHeight="1" spans="1:5">
      <c r="A1564" s="11"/>
      <c r="B1564" s="11"/>
      <c r="C1564" s="11"/>
      <c r="D1564" s="11"/>
      <c r="E1564" s="12"/>
    </row>
    <row r="1565" customHeight="1" spans="1:5">
      <c r="A1565" s="11"/>
      <c r="B1565" s="11"/>
      <c r="C1565" s="11"/>
      <c r="D1565" s="11"/>
      <c r="E1565" s="12"/>
    </row>
    <row r="1566" customHeight="1" spans="1:5">
      <c r="A1566" s="11"/>
      <c r="B1566" s="11"/>
      <c r="C1566" s="11"/>
      <c r="D1566" s="11"/>
      <c r="E1566" s="12"/>
    </row>
    <row r="1567" customHeight="1" spans="1:5">
      <c r="A1567" s="11"/>
      <c r="B1567" s="11"/>
      <c r="C1567" s="11"/>
      <c r="D1567" s="11"/>
      <c r="E1567" s="12"/>
    </row>
    <row r="1568" customHeight="1" spans="1:5">
      <c r="A1568" s="11"/>
      <c r="B1568" s="11"/>
      <c r="C1568" s="11"/>
      <c r="D1568" s="11"/>
      <c r="E1568" s="12"/>
    </row>
    <row r="1569" customHeight="1" spans="1:5">
      <c r="A1569" s="11"/>
      <c r="B1569" s="11"/>
      <c r="C1569" s="11"/>
      <c r="D1569" s="11"/>
      <c r="E1569" s="12"/>
    </row>
    <row r="1570" customHeight="1" spans="1:5">
      <c r="A1570" s="11"/>
      <c r="B1570" s="11"/>
      <c r="C1570" s="11"/>
      <c r="D1570" s="11"/>
      <c r="E1570" s="12"/>
    </row>
    <row r="1571" customHeight="1" spans="1:5">
      <c r="A1571" s="11"/>
      <c r="B1571" s="11"/>
      <c r="C1571" s="11"/>
      <c r="D1571" s="11"/>
      <c r="E1571" s="12"/>
    </row>
    <row r="1572" customHeight="1" spans="1:5">
      <c r="A1572" s="11"/>
      <c r="B1572" s="11"/>
      <c r="C1572" s="11"/>
      <c r="D1572" s="11"/>
      <c r="E1572" s="12"/>
    </row>
    <row r="1573" customHeight="1" spans="1:5">
      <c r="A1573" s="11"/>
      <c r="B1573" s="11"/>
      <c r="C1573" s="11"/>
      <c r="D1573" s="11"/>
      <c r="E1573" s="12"/>
    </row>
    <row r="1574" customHeight="1" spans="1:5">
      <c r="A1574" s="11"/>
      <c r="B1574" s="11"/>
      <c r="C1574" s="11"/>
      <c r="D1574" s="11"/>
      <c r="E1574" s="12"/>
    </row>
    <row r="1575" customHeight="1" spans="1:5">
      <c r="A1575" s="11"/>
      <c r="B1575" s="11"/>
      <c r="C1575" s="11"/>
      <c r="D1575" s="11"/>
      <c r="E1575" s="12"/>
    </row>
    <row r="1576" customHeight="1" spans="1:5">
      <c r="A1576" s="11"/>
      <c r="B1576" s="11"/>
      <c r="C1576" s="11"/>
      <c r="D1576" s="11"/>
      <c r="E1576" s="12"/>
    </row>
    <row r="1577" customHeight="1" spans="1:5">
      <c r="A1577" s="11"/>
      <c r="B1577" s="11"/>
      <c r="C1577" s="11"/>
      <c r="D1577" s="11"/>
      <c r="E1577" s="12"/>
    </row>
    <row r="1578" customHeight="1" spans="1:5">
      <c r="A1578" s="11"/>
      <c r="B1578" s="11"/>
      <c r="C1578" s="11"/>
      <c r="D1578" s="11"/>
      <c r="E1578" s="12"/>
    </row>
    <row r="1579" customHeight="1" spans="1:5">
      <c r="A1579" s="11"/>
      <c r="B1579" s="11"/>
      <c r="C1579" s="11"/>
      <c r="D1579" s="11"/>
      <c r="E1579" s="12"/>
    </row>
    <row r="1580" customHeight="1" spans="1:5">
      <c r="A1580" s="11"/>
      <c r="B1580" s="11"/>
      <c r="C1580" s="11"/>
      <c r="D1580" s="11"/>
      <c r="E1580" s="12"/>
    </row>
    <row r="1581" customHeight="1" spans="1:5">
      <c r="A1581" s="11"/>
      <c r="B1581" s="11"/>
      <c r="C1581" s="11"/>
      <c r="D1581" s="11"/>
      <c r="E1581" s="12"/>
    </row>
    <row r="1582" customHeight="1" spans="1:5">
      <c r="A1582" s="11"/>
      <c r="B1582" s="11"/>
      <c r="C1582" s="11"/>
      <c r="D1582" s="11"/>
      <c r="E1582" s="12"/>
    </row>
    <row r="1583" customHeight="1" spans="1:5">
      <c r="A1583" s="11"/>
      <c r="B1583" s="11"/>
      <c r="C1583" s="11"/>
      <c r="D1583" s="11"/>
      <c r="E1583" s="12"/>
    </row>
    <row r="1584" customHeight="1" spans="1:5">
      <c r="A1584" s="11"/>
      <c r="B1584" s="11"/>
      <c r="C1584" s="11"/>
      <c r="D1584" s="11"/>
      <c r="E1584" s="12"/>
    </row>
    <row r="1585" customHeight="1" spans="1:5">
      <c r="A1585" s="11"/>
      <c r="B1585" s="11"/>
      <c r="C1585" s="11"/>
      <c r="D1585" s="11"/>
      <c r="E1585" s="12"/>
    </row>
    <row r="1586" customHeight="1" spans="1:5">
      <c r="A1586" s="11"/>
      <c r="B1586" s="11"/>
      <c r="C1586" s="11"/>
      <c r="D1586" s="11"/>
      <c r="E1586" s="12"/>
    </row>
    <row r="1587" customHeight="1" spans="1:5">
      <c r="A1587" s="11"/>
      <c r="B1587" s="11"/>
      <c r="C1587" s="11"/>
      <c r="D1587" s="11"/>
      <c r="E1587" s="12"/>
    </row>
    <row r="1588" customHeight="1" spans="1:5">
      <c r="A1588" s="11"/>
      <c r="B1588" s="11"/>
      <c r="C1588" s="11"/>
      <c r="D1588" s="11"/>
      <c r="E1588" s="12"/>
    </row>
    <row r="1589" customHeight="1" spans="1:5">
      <c r="A1589" s="11"/>
      <c r="B1589" s="11"/>
      <c r="C1589" s="11"/>
      <c r="D1589" s="11"/>
      <c r="E1589" s="12"/>
    </row>
    <row r="1590" customHeight="1" spans="1:5">
      <c r="A1590" s="11"/>
      <c r="B1590" s="11"/>
      <c r="C1590" s="11"/>
      <c r="D1590" s="11"/>
      <c r="E1590" s="12"/>
    </row>
    <row r="1591" customHeight="1" spans="1:5">
      <c r="A1591" s="11"/>
      <c r="B1591" s="11"/>
      <c r="C1591" s="11"/>
      <c r="D1591" s="11"/>
      <c r="E1591" s="12"/>
    </row>
    <row r="1592" customHeight="1" spans="1:5">
      <c r="A1592" s="11"/>
      <c r="B1592" s="11"/>
      <c r="C1592" s="11"/>
      <c r="D1592" s="11"/>
      <c r="E1592" s="12"/>
    </row>
    <row r="1593" customHeight="1" spans="1:5">
      <c r="A1593" s="11"/>
      <c r="B1593" s="11"/>
      <c r="C1593" s="11"/>
      <c r="D1593" s="11"/>
      <c r="E1593" s="12"/>
    </row>
    <row r="1594" customHeight="1" spans="1:5">
      <c r="A1594" s="11"/>
      <c r="B1594" s="11"/>
      <c r="C1594" s="11"/>
      <c r="D1594" s="11"/>
      <c r="E1594" s="12"/>
    </row>
    <row r="1595" customHeight="1" spans="1:5">
      <c r="A1595" s="11"/>
      <c r="B1595" s="11"/>
      <c r="C1595" s="11"/>
      <c r="D1595" s="11"/>
      <c r="E1595" s="12"/>
    </row>
    <row r="1596" customHeight="1" spans="1:5">
      <c r="A1596" s="11"/>
      <c r="B1596" s="11"/>
      <c r="C1596" s="11"/>
      <c r="D1596" s="11"/>
      <c r="E1596" s="12"/>
    </row>
    <row r="1597" customHeight="1" spans="1:5">
      <c r="A1597" s="11"/>
      <c r="B1597" s="11"/>
      <c r="C1597" s="11"/>
      <c r="D1597" s="11"/>
      <c r="E1597" s="12"/>
    </row>
    <row r="1598" customHeight="1" spans="1:5">
      <c r="A1598" s="11"/>
      <c r="B1598" s="11"/>
      <c r="C1598" s="11"/>
      <c r="D1598" s="11"/>
      <c r="E1598" s="12"/>
    </row>
    <row r="1599" customHeight="1" spans="1:5">
      <c r="A1599" s="11"/>
      <c r="B1599" s="11"/>
      <c r="C1599" s="11"/>
      <c r="D1599" s="11"/>
      <c r="E1599" s="12"/>
    </row>
    <row r="1600" customHeight="1" spans="1:5">
      <c r="A1600" s="11"/>
      <c r="B1600" s="11"/>
      <c r="C1600" s="11"/>
      <c r="D1600" s="11"/>
      <c r="E1600" s="12"/>
    </row>
    <row r="1601" customHeight="1" spans="1:5">
      <c r="A1601" s="11"/>
      <c r="B1601" s="11"/>
      <c r="C1601" s="11"/>
      <c r="D1601" s="11"/>
      <c r="E1601" s="12"/>
    </row>
    <row r="1602" customHeight="1" spans="1:5">
      <c r="A1602" s="11"/>
      <c r="B1602" s="11"/>
      <c r="C1602" s="11"/>
      <c r="D1602" s="11"/>
      <c r="E1602" s="12"/>
    </row>
    <row r="1603" customHeight="1" spans="1:5">
      <c r="A1603" s="11"/>
      <c r="B1603" s="11"/>
      <c r="C1603" s="11"/>
      <c r="D1603" s="11"/>
      <c r="E1603" s="12"/>
    </row>
    <row r="1604" customHeight="1" spans="1:5">
      <c r="A1604" s="11"/>
      <c r="B1604" s="11"/>
      <c r="C1604" s="11"/>
      <c r="D1604" s="11"/>
      <c r="E1604" s="12"/>
    </row>
    <row r="1605" customHeight="1" spans="1:5">
      <c r="A1605" s="11"/>
      <c r="B1605" s="11"/>
      <c r="C1605" s="11"/>
      <c r="D1605" s="11"/>
      <c r="E1605" s="12"/>
    </row>
    <row r="1606" customHeight="1" spans="1:5">
      <c r="A1606" s="11"/>
      <c r="B1606" s="11"/>
      <c r="C1606" s="11"/>
      <c r="D1606" s="11"/>
      <c r="E1606" s="12"/>
    </row>
    <row r="1607" customHeight="1" spans="1:5">
      <c r="A1607" s="11"/>
      <c r="B1607" s="11"/>
      <c r="C1607" s="11"/>
      <c r="D1607" s="11"/>
      <c r="E1607" s="12"/>
    </row>
    <row r="1608" customHeight="1" spans="1:5">
      <c r="A1608" s="11"/>
      <c r="B1608" s="11"/>
      <c r="C1608" s="11"/>
      <c r="D1608" s="11"/>
      <c r="E1608" s="12"/>
    </row>
    <row r="1609" customHeight="1" spans="1:5">
      <c r="A1609" s="11"/>
      <c r="B1609" s="11"/>
      <c r="C1609" s="11"/>
      <c r="D1609" s="11"/>
      <c r="E1609" s="12"/>
    </row>
    <row r="1610" customHeight="1" spans="1:5">
      <c r="A1610" s="11"/>
      <c r="B1610" s="11"/>
      <c r="C1610" s="11"/>
      <c r="D1610" s="11"/>
      <c r="E1610" s="12"/>
    </row>
    <row r="1611" customHeight="1" spans="1:5">
      <c r="A1611" s="11"/>
      <c r="B1611" s="11"/>
      <c r="C1611" s="11"/>
      <c r="D1611" s="11"/>
      <c r="E1611" s="12"/>
    </row>
    <row r="1612" customHeight="1" spans="1:5">
      <c r="A1612" s="11"/>
      <c r="B1612" s="11"/>
      <c r="C1612" s="11"/>
      <c r="D1612" s="11"/>
      <c r="E1612" s="12"/>
    </row>
    <row r="1613" customHeight="1" spans="1:5">
      <c r="A1613" s="11"/>
      <c r="B1613" s="11"/>
      <c r="C1613" s="11"/>
      <c r="D1613" s="11"/>
      <c r="E1613" s="12"/>
    </row>
    <row r="1614" customHeight="1" spans="1:5">
      <c r="A1614" s="11"/>
      <c r="B1614" s="11"/>
      <c r="C1614" s="11"/>
      <c r="D1614" s="11"/>
      <c r="E1614" s="12"/>
    </row>
    <row r="1615" customHeight="1" spans="1:5">
      <c r="A1615" s="11"/>
      <c r="B1615" s="11"/>
      <c r="C1615" s="11"/>
      <c r="D1615" s="11"/>
      <c r="E1615" s="12"/>
    </row>
    <row r="1616" customHeight="1" spans="1:5">
      <c r="A1616" s="11"/>
      <c r="B1616" s="11"/>
      <c r="C1616" s="11"/>
      <c r="D1616" s="11"/>
      <c r="E1616" s="12"/>
    </row>
    <row r="1617" customHeight="1" spans="1:5">
      <c r="A1617" s="11"/>
      <c r="B1617" s="11"/>
      <c r="C1617" s="11"/>
      <c r="D1617" s="11"/>
      <c r="E1617" s="12"/>
    </row>
    <row r="1618" customHeight="1" spans="1:5">
      <c r="A1618" s="11"/>
      <c r="B1618" s="11"/>
      <c r="C1618" s="11"/>
      <c r="D1618" s="11"/>
      <c r="E1618" s="12"/>
    </row>
    <row r="1619" customHeight="1" spans="1:5">
      <c r="A1619" s="11"/>
      <c r="B1619" s="11"/>
      <c r="C1619" s="11"/>
      <c r="D1619" s="11"/>
      <c r="E1619" s="12"/>
    </row>
    <row r="1620" customHeight="1" spans="1:5">
      <c r="A1620" s="11"/>
      <c r="B1620" s="11"/>
      <c r="C1620" s="11"/>
      <c r="D1620" s="11"/>
      <c r="E1620" s="12"/>
    </row>
    <row r="1621" customHeight="1" spans="1:5">
      <c r="A1621" s="11"/>
      <c r="B1621" s="11"/>
      <c r="C1621" s="11"/>
      <c r="D1621" s="11"/>
      <c r="E1621" s="12"/>
    </row>
    <row r="1622" customHeight="1" spans="1:5">
      <c r="A1622" s="11"/>
      <c r="B1622" s="11"/>
      <c r="C1622" s="11"/>
      <c r="D1622" s="11"/>
      <c r="E1622" s="12"/>
    </row>
    <row r="1623" customHeight="1" spans="1:5">
      <c r="A1623" s="11"/>
      <c r="B1623" s="11"/>
      <c r="C1623" s="11"/>
      <c r="D1623" s="11"/>
      <c r="E1623" s="12"/>
    </row>
    <row r="1624" customHeight="1" spans="1:5">
      <c r="A1624" s="11"/>
      <c r="B1624" s="11"/>
      <c r="C1624" s="11"/>
      <c r="D1624" s="11"/>
      <c r="E1624" s="12"/>
    </row>
    <row r="1625" customHeight="1" spans="1:5">
      <c r="A1625" s="11"/>
      <c r="B1625" s="11"/>
      <c r="C1625" s="11"/>
      <c r="D1625" s="11"/>
      <c r="E1625" s="12"/>
    </row>
    <row r="1626" customHeight="1" spans="1:5">
      <c r="A1626" s="11"/>
      <c r="B1626" s="11"/>
      <c r="C1626" s="11"/>
      <c r="D1626" s="11"/>
      <c r="E1626" s="12"/>
    </row>
    <row r="1627" customHeight="1" spans="1:5">
      <c r="A1627" s="11"/>
      <c r="B1627" s="11"/>
      <c r="C1627" s="11"/>
      <c r="D1627" s="11"/>
      <c r="E1627" s="12"/>
    </row>
    <row r="1628" customHeight="1" spans="1:5">
      <c r="A1628" s="11"/>
      <c r="B1628" s="11"/>
      <c r="C1628" s="11"/>
      <c r="D1628" s="11"/>
      <c r="E1628" s="12"/>
    </row>
    <row r="1629" customHeight="1" spans="1:5">
      <c r="A1629" s="11"/>
      <c r="B1629" s="11"/>
      <c r="C1629" s="11"/>
      <c r="D1629" s="11"/>
      <c r="E1629" s="12"/>
    </row>
    <row r="1630" customHeight="1" spans="1:5">
      <c r="A1630" s="11"/>
      <c r="B1630" s="11"/>
      <c r="C1630" s="11"/>
      <c r="D1630" s="11"/>
      <c r="E1630" s="12"/>
    </row>
    <row r="1631" customHeight="1" spans="1:5">
      <c r="A1631" s="11"/>
      <c r="B1631" s="11"/>
      <c r="C1631" s="11"/>
      <c r="D1631" s="11"/>
      <c r="E1631" s="12"/>
    </row>
    <row r="1632" customHeight="1" spans="1:5">
      <c r="A1632" s="11"/>
      <c r="B1632" s="11"/>
      <c r="C1632" s="11"/>
      <c r="D1632" s="11"/>
      <c r="E1632" s="12"/>
    </row>
    <row r="1633" customHeight="1" spans="1:5">
      <c r="A1633" s="11"/>
      <c r="B1633" s="11"/>
      <c r="C1633" s="11"/>
      <c r="D1633" s="11"/>
      <c r="E1633" s="12"/>
    </row>
    <row r="1634" customHeight="1" spans="1:5">
      <c r="A1634" s="11"/>
      <c r="B1634" s="11"/>
      <c r="C1634" s="11"/>
      <c r="D1634" s="11"/>
      <c r="E1634" s="12"/>
    </row>
    <row r="1635" customHeight="1" spans="1:5">
      <c r="A1635" s="11"/>
      <c r="B1635" s="11"/>
      <c r="C1635" s="11"/>
      <c r="D1635" s="11"/>
      <c r="E1635" s="12"/>
    </row>
    <row r="1636" customHeight="1" spans="1:5">
      <c r="A1636" s="11"/>
      <c r="B1636" s="11"/>
      <c r="C1636" s="11"/>
      <c r="D1636" s="11"/>
      <c r="E1636" s="12"/>
    </row>
    <row r="1637" customHeight="1" spans="1:5">
      <c r="A1637" s="11"/>
      <c r="B1637" s="11"/>
      <c r="C1637" s="11"/>
      <c r="D1637" s="11"/>
      <c r="E1637" s="12"/>
    </row>
    <row r="1638" customHeight="1" spans="1:5">
      <c r="A1638" s="11"/>
      <c r="B1638" s="11"/>
      <c r="C1638" s="11"/>
      <c r="D1638" s="11"/>
      <c r="E1638" s="12"/>
    </row>
    <row r="1639" customHeight="1" spans="1:5">
      <c r="A1639" s="11"/>
      <c r="B1639" s="11"/>
      <c r="C1639" s="11"/>
      <c r="D1639" s="11"/>
      <c r="E1639" s="12"/>
    </row>
    <row r="1640" customHeight="1" spans="1:5">
      <c r="A1640" s="11"/>
      <c r="B1640" s="11"/>
      <c r="C1640" s="11"/>
      <c r="D1640" s="11"/>
      <c r="E1640" s="12"/>
    </row>
    <row r="1641" customHeight="1" spans="1:5">
      <c r="A1641" s="11"/>
      <c r="B1641" s="11"/>
      <c r="C1641" s="11"/>
      <c r="D1641" s="11"/>
      <c r="E1641" s="12"/>
    </row>
    <row r="1642" customHeight="1" spans="1:5">
      <c r="A1642" s="11"/>
      <c r="B1642" s="11"/>
      <c r="C1642" s="11"/>
      <c r="D1642" s="11"/>
      <c r="E1642" s="12"/>
    </row>
    <row r="1643" customHeight="1" spans="1:5">
      <c r="A1643" s="11"/>
      <c r="B1643" s="11"/>
      <c r="C1643" s="11"/>
      <c r="D1643" s="11"/>
      <c r="E1643" s="12"/>
    </row>
    <row r="1644" customHeight="1" spans="1:5">
      <c r="A1644" s="11"/>
      <c r="B1644" s="11"/>
      <c r="C1644" s="11"/>
      <c r="D1644" s="11"/>
      <c r="E1644" s="12"/>
    </row>
    <row r="1645" customHeight="1" spans="1:5">
      <c r="A1645" s="11"/>
      <c r="B1645" s="11"/>
      <c r="C1645" s="11"/>
      <c r="D1645" s="11"/>
      <c r="E1645" s="12"/>
    </row>
    <row r="1646" customHeight="1" spans="1:5">
      <c r="A1646" s="11"/>
      <c r="B1646" s="11"/>
      <c r="C1646" s="11"/>
      <c r="D1646" s="11"/>
      <c r="E1646" s="12"/>
    </row>
    <row r="1647" customHeight="1" spans="1:5">
      <c r="A1647" s="11"/>
      <c r="B1647" s="11"/>
      <c r="C1647" s="11"/>
      <c r="D1647" s="11"/>
      <c r="E1647" s="12"/>
    </row>
    <row r="1648" customHeight="1" spans="1:5">
      <c r="A1648" s="11"/>
      <c r="B1648" s="11"/>
      <c r="C1648" s="11"/>
      <c r="D1648" s="11"/>
      <c r="E1648" s="12"/>
    </row>
    <row r="1649" customHeight="1" spans="1:5">
      <c r="A1649" s="11"/>
      <c r="B1649" s="11"/>
      <c r="C1649" s="11"/>
      <c r="D1649" s="11"/>
      <c r="E1649" s="12"/>
    </row>
    <row r="1650" customHeight="1" spans="1:5">
      <c r="A1650" s="11"/>
      <c r="B1650" s="11"/>
      <c r="C1650" s="11"/>
      <c r="D1650" s="11"/>
      <c r="E1650" s="12"/>
    </row>
    <row r="1651" customHeight="1" spans="1:5">
      <c r="A1651" s="11"/>
      <c r="B1651" s="11"/>
      <c r="C1651" s="11"/>
      <c r="D1651" s="11"/>
      <c r="E1651" s="12"/>
    </row>
    <row r="1652" customHeight="1" spans="1:5">
      <c r="A1652" s="11"/>
      <c r="B1652" s="11"/>
      <c r="C1652" s="11"/>
      <c r="D1652" s="11"/>
      <c r="E1652" s="12"/>
    </row>
    <row r="1653" customHeight="1" spans="1:5">
      <c r="A1653" s="11"/>
      <c r="B1653" s="11"/>
      <c r="C1653" s="11"/>
      <c r="D1653" s="11"/>
      <c r="E1653" s="12"/>
    </row>
    <row r="1654" customHeight="1" spans="1:5">
      <c r="A1654" s="11"/>
      <c r="B1654" s="11"/>
      <c r="C1654" s="11"/>
      <c r="D1654" s="11"/>
      <c r="E1654" s="12"/>
    </row>
    <row r="1655" customHeight="1" spans="1:5">
      <c r="A1655" s="11"/>
      <c r="B1655" s="11"/>
      <c r="C1655" s="11"/>
      <c r="D1655" s="11"/>
      <c r="E1655" s="12"/>
    </row>
    <row r="1656" customHeight="1" spans="1:5">
      <c r="A1656" s="11"/>
      <c r="B1656" s="11"/>
      <c r="C1656" s="11"/>
      <c r="D1656" s="11"/>
      <c r="E1656" s="12"/>
    </row>
    <row r="1657" customHeight="1" spans="1:5">
      <c r="A1657" s="11"/>
      <c r="B1657" s="11"/>
      <c r="C1657" s="11"/>
      <c r="D1657" s="11"/>
      <c r="E1657" s="12"/>
    </row>
    <row r="1658" customHeight="1" spans="1:5">
      <c r="A1658" s="11"/>
      <c r="B1658" s="11"/>
      <c r="C1658" s="11"/>
      <c r="D1658" s="11"/>
      <c r="E1658" s="12"/>
    </row>
    <row r="1659" customHeight="1" spans="1:5">
      <c r="A1659" s="11"/>
      <c r="B1659" s="11"/>
      <c r="C1659" s="11"/>
      <c r="D1659" s="11"/>
      <c r="E1659" s="12"/>
    </row>
    <row r="1660" customHeight="1" spans="1:5">
      <c r="A1660" s="11"/>
      <c r="B1660" s="11"/>
      <c r="C1660" s="11"/>
      <c r="D1660" s="11"/>
      <c r="E1660" s="12"/>
    </row>
    <row r="1661" customHeight="1" spans="1:5">
      <c r="A1661" s="11"/>
      <c r="B1661" s="11"/>
      <c r="C1661" s="11"/>
      <c r="D1661" s="11"/>
      <c r="E1661" s="12"/>
    </row>
    <row r="1662" customHeight="1" spans="1:5">
      <c r="A1662" s="11"/>
      <c r="B1662" s="11"/>
      <c r="C1662" s="11"/>
      <c r="D1662" s="11"/>
      <c r="E1662" s="12"/>
    </row>
    <row r="1663" customHeight="1" spans="1:5">
      <c r="A1663" s="11"/>
      <c r="B1663" s="11"/>
      <c r="C1663" s="11"/>
      <c r="D1663" s="11"/>
      <c r="E1663" s="12"/>
    </row>
    <row r="1664" customHeight="1" spans="1:5">
      <c r="A1664" s="11"/>
      <c r="B1664" s="11"/>
      <c r="C1664" s="11"/>
      <c r="D1664" s="11"/>
      <c r="E1664" s="12"/>
    </row>
    <row r="1665" customHeight="1" spans="1:5">
      <c r="A1665" s="11"/>
      <c r="B1665" s="11"/>
      <c r="C1665" s="11"/>
      <c r="D1665" s="11"/>
      <c r="E1665" s="12"/>
    </row>
    <row r="1666" customHeight="1" spans="1:5">
      <c r="A1666" s="11"/>
      <c r="B1666" s="11"/>
      <c r="C1666" s="11"/>
      <c r="D1666" s="11"/>
      <c r="E1666" s="12"/>
    </row>
    <row r="1667" customHeight="1" spans="1:5">
      <c r="A1667" s="11"/>
      <c r="B1667" s="11"/>
      <c r="C1667" s="11"/>
      <c r="D1667" s="11"/>
      <c r="E1667" s="12"/>
    </row>
    <row r="1668" customHeight="1" spans="1:5">
      <c r="A1668" s="11"/>
      <c r="B1668" s="11"/>
      <c r="C1668" s="11"/>
      <c r="D1668" s="11"/>
      <c r="E1668" s="12"/>
    </row>
    <row r="1669" customHeight="1" spans="1:5">
      <c r="A1669" s="11"/>
      <c r="B1669" s="11"/>
      <c r="C1669" s="11"/>
      <c r="D1669" s="11"/>
      <c r="E1669" s="12"/>
    </row>
    <row r="1670" customHeight="1" spans="1:5">
      <c r="A1670" s="11"/>
      <c r="B1670" s="11"/>
      <c r="C1670" s="11"/>
      <c r="D1670" s="11"/>
      <c r="E1670" s="12"/>
    </row>
    <row r="1671" customHeight="1" spans="1:5">
      <c r="A1671" s="11"/>
      <c r="B1671" s="11"/>
      <c r="C1671" s="11"/>
      <c r="D1671" s="11"/>
      <c r="E1671" s="12"/>
    </row>
    <row r="1672" customHeight="1" spans="1:5">
      <c r="A1672" s="11"/>
      <c r="B1672" s="11"/>
      <c r="C1672" s="11"/>
      <c r="D1672" s="11"/>
      <c r="E1672" s="12"/>
    </row>
    <row r="1673" customHeight="1" spans="1:5">
      <c r="A1673" s="11"/>
      <c r="B1673" s="11"/>
      <c r="C1673" s="11"/>
      <c r="D1673" s="11"/>
      <c r="E1673" s="12"/>
    </row>
    <row r="1674" customHeight="1" spans="1:5">
      <c r="A1674" s="11"/>
      <c r="B1674" s="11"/>
      <c r="C1674" s="11"/>
      <c r="D1674" s="11"/>
      <c r="E1674" s="12"/>
    </row>
    <row r="1675" customHeight="1" spans="1:5">
      <c r="A1675" s="11"/>
      <c r="B1675" s="11"/>
      <c r="C1675" s="11"/>
      <c r="D1675" s="11"/>
      <c r="E1675" s="12"/>
    </row>
    <row r="1676" customHeight="1" spans="1:5">
      <c r="A1676" s="11"/>
      <c r="B1676" s="11"/>
      <c r="C1676" s="11"/>
      <c r="D1676" s="11"/>
      <c r="E1676" s="12"/>
    </row>
    <row r="1677" customHeight="1" spans="1:5">
      <c r="A1677" s="11"/>
      <c r="B1677" s="11"/>
      <c r="C1677" s="11"/>
      <c r="D1677" s="11"/>
      <c r="E1677" s="12"/>
    </row>
    <row r="1678" customHeight="1" spans="1:5">
      <c r="A1678" s="11"/>
      <c r="B1678" s="11"/>
      <c r="C1678" s="11"/>
      <c r="D1678" s="11"/>
      <c r="E1678" s="12"/>
    </row>
    <row r="1679" customHeight="1" spans="1:5">
      <c r="A1679" s="11"/>
      <c r="B1679" s="11"/>
      <c r="C1679" s="11"/>
      <c r="D1679" s="11"/>
      <c r="E1679" s="12"/>
    </row>
    <row r="1680" customHeight="1" spans="1:5">
      <c r="A1680" s="11"/>
      <c r="B1680" s="11"/>
      <c r="C1680" s="11"/>
      <c r="D1680" s="11"/>
      <c r="E1680" s="12"/>
    </row>
    <row r="1681" customHeight="1" spans="1:5">
      <c r="A1681" s="11"/>
      <c r="B1681" s="11"/>
      <c r="C1681" s="11"/>
      <c r="D1681" s="11"/>
      <c r="E1681" s="12"/>
    </row>
    <row r="1682" customHeight="1" spans="1:5">
      <c r="A1682" s="11"/>
      <c r="B1682" s="11"/>
      <c r="C1682" s="11"/>
      <c r="D1682" s="11"/>
      <c r="E1682" s="12"/>
    </row>
    <row r="1683" customHeight="1" spans="1:5">
      <c r="A1683" s="11"/>
      <c r="B1683" s="11"/>
      <c r="C1683" s="11"/>
      <c r="D1683" s="11"/>
      <c r="E1683" s="12"/>
    </row>
    <row r="1684" customHeight="1" spans="1:5">
      <c r="A1684" s="11"/>
      <c r="B1684" s="11"/>
      <c r="C1684" s="11"/>
      <c r="D1684" s="11"/>
      <c r="E1684" s="12"/>
    </row>
    <row r="1685" customHeight="1" spans="1:5">
      <c r="A1685" s="11"/>
      <c r="B1685" s="11"/>
      <c r="C1685" s="11"/>
      <c r="D1685" s="11"/>
      <c r="E1685" s="12"/>
    </row>
    <row r="1686" customHeight="1" spans="1:5">
      <c r="A1686" s="11"/>
      <c r="B1686" s="11"/>
      <c r="C1686" s="11"/>
      <c r="D1686" s="11"/>
      <c r="E1686" s="12"/>
    </row>
    <row r="1687" customHeight="1" spans="1:5">
      <c r="A1687" s="11"/>
      <c r="B1687" s="11"/>
      <c r="C1687" s="11"/>
      <c r="D1687" s="11"/>
      <c r="E1687" s="12"/>
    </row>
    <row r="1688" customHeight="1" spans="1:5">
      <c r="A1688" s="11"/>
      <c r="B1688" s="11"/>
      <c r="C1688" s="11"/>
      <c r="D1688" s="11"/>
      <c r="E1688" s="12"/>
    </row>
    <row r="1689" customHeight="1" spans="1:5">
      <c r="A1689" s="11"/>
      <c r="B1689" s="11"/>
      <c r="C1689" s="11"/>
      <c r="D1689" s="11"/>
      <c r="E1689" s="12"/>
    </row>
    <row r="1690" customHeight="1" spans="1:5">
      <c r="A1690" s="11"/>
      <c r="B1690" s="11"/>
      <c r="C1690" s="11"/>
      <c r="D1690" s="11"/>
      <c r="E1690" s="12"/>
    </row>
    <row r="1691" customHeight="1" spans="1:5">
      <c r="A1691" s="11"/>
      <c r="B1691" s="11"/>
      <c r="C1691" s="11"/>
      <c r="D1691" s="11"/>
      <c r="E1691" s="12"/>
    </row>
    <row r="1692" customHeight="1" spans="1:5">
      <c r="A1692" s="11"/>
      <c r="B1692" s="11"/>
      <c r="C1692" s="11"/>
      <c r="D1692" s="11"/>
      <c r="E1692" s="12"/>
    </row>
    <row r="1693" customHeight="1" spans="1:5">
      <c r="A1693" s="11"/>
      <c r="B1693" s="11"/>
      <c r="C1693" s="11"/>
      <c r="D1693" s="11"/>
      <c r="E1693" s="12"/>
    </row>
    <row r="1694" customHeight="1" spans="1:5">
      <c r="A1694" s="11"/>
      <c r="B1694" s="11"/>
      <c r="C1694" s="11"/>
      <c r="D1694" s="11"/>
      <c r="E1694" s="12"/>
    </row>
    <row r="1695" customHeight="1" spans="1:5">
      <c r="A1695" s="11"/>
      <c r="B1695" s="11"/>
      <c r="C1695" s="11"/>
      <c r="D1695" s="11"/>
      <c r="E1695" s="12"/>
    </row>
    <row r="1696" customHeight="1" spans="1:5">
      <c r="A1696" s="11"/>
      <c r="B1696" s="11"/>
      <c r="C1696" s="11"/>
      <c r="D1696" s="11"/>
      <c r="E1696" s="12"/>
    </row>
    <row r="1697" customHeight="1" spans="1:5">
      <c r="A1697" s="11"/>
      <c r="B1697" s="11"/>
      <c r="C1697" s="11"/>
      <c r="D1697" s="11"/>
      <c r="E1697" s="12"/>
    </row>
    <row r="1698" customHeight="1" spans="1:5">
      <c r="A1698" s="11"/>
      <c r="B1698" s="11"/>
      <c r="C1698" s="11"/>
      <c r="D1698" s="11"/>
      <c r="E1698" s="12"/>
    </row>
    <row r="1699" customHeight="1" spans="1:5">
      <c r="A1699" s="11"/>
      <c r="B1699" s="11"/>
      <c r="C1699" s="11"/>
      <c r="D1699" s="11"/>
      <c r="E1699" s="12"/>
    </row>
    <row r="1700" customHeight="1" spans="1:5">
      <c r="A1700" s="11"/>
      <c r="B1700" s="11"/>
      <c r="C1700" s="11"/>
      <c r="D1700" s="11"/>
      <c r="E1700" s="12"/>
    </row>
    <row r="1701" customHeight="1" spans="1:5">
      <c r="A1701" s="11"/>
      <c r="B1701" s="11"/>
      <c r="C1701" s="11"/>
      <c r="D1701" s="11"/>
      <c r="E1701" s="12"/>
    </row>
    <row r="1702" customHeight="1" spans="1:5">
      <c r="A1702" s="11"/>
      <c r="B1702" s="11"/>
      <c r="C1702" s="11"/>
      <c r="D1702" s="11"/>
      <c r="E1702" s="12"/>
    </row>
    <row r="1703" customHeight="1" spans="1:5">
      <c r="A1703" s="11"/>
      <c r="B1703" s="11"/>
      <c r="C1703" s="11"/>
      <c r="D1703" s="11"/>
      <c r="E1703" s="12"/>
    </row>
    <row r="1704" customHeight="1" spans="1:5">
      <c r="A1704" s="11"/>
      <c r="B1704" s="11"/>
      <c r="C1704" s="11"/>
      <c r="D1704" s="11"/>
      <c r="E1704" s="12"/>
    </row>
    <row r="1705" customHeight="1" spans="1:5">
      <c r="A1705" s="11"/>
      <c r="B1705" s="11"/>
      <c r="C1705" s="11"/>
      <c r="D1705" s="11"/>
      <c r="E1705" s="12"/>
    </row>
    <row r="1706" customHeight="1" spans="1:5">
      <c r="A1706" s="11"/>
      <c r="B1706" s="11"/>
      <c r="C1706" s="11"/>
      <c r="D1706" s="11"/>
      <c r="E1706" s="12"/>
    </row>
    <row r="1707" customHeight="1" spans="1:5">
      <c r="A1707" s="11"/>
      <c r="B1707" s="11"/>
      <c r="C1707" s="11"/>
      <c r="D1707" s="11"/>
      <c r="E1707" s="12"/>
    </row>
    <row r="1708" customHeight="1" spans="1:5">
      <c r="A1708" s="11"/>
      <c r="B1708" s="11"/>
      <c r="C1708" s="11"/>
      <c r="D1708" s="11"/>
      <c r="E1708" s="12"/>
    </row>
    <row r="1709" customHeight="1" spans="1:5">
      <c r="A1709" s="11"/>
      <c r="B1709" s="11"/>
      <c r="C1709" s="11"/>
      <c r="D1709" s="11"/>
      <c r="E1709" s="12"/>
    </row>
    <row r="1710" customHeight="1" spans="1:5">
      <c r="A1710" s="11"/>
      <c r="B1710" s="11"/>
      <c r="C1710" s="11"/>
      <c r="D1710" s="11"/>
      <c r="E1710" s="12"/>
    </row>
    <row r="1711" customHeight="1" spans="1:5">
      <c r="A1711" s="11"/>
      <c r="B1711" s="11"/>
      <c r="C1711" s="11"/>
      <c r="D1711" s="11"/>
      <c r="E1711" s="12"/>
    </row>
    <row r="1712" customHeight="1" spans="1:5">
      <c r="A1712" s="11"/>
      <c r="B1712" s="11"/>
      <c r="C1712" s="11"/>
      <c r="D1712" s="11"/>
      <c r="E1712" s="12"/>
    </row>
    <row r="1713" customHeight="1" spans="1:5">
      <c r="A1713" s="11"/>
      <c r="B1713" s="11"/>
      <c r="C1713" s="11"/>
      <c r="D1713" s="11"/>
      <c r="E1713" s="12"/>
    </row>
    <row r="1714" customHeight="1" spans="1:5">
      <c r="A1714" s="11"/>
      <c r="B1714" s="11"/>
      <c r="C1714" s="11"/>
      <c r="D1714" s="11"/>
      <c r="E1714" s="12"/>
    </row>
    <row r="1715" customHeight="1" spans="1:5">
      <c r="A1715" s="11"/>
      <c r="B1715" s="11"/>
      <c r="C1715" s="11"/>
      <c r="D1715" s="11"/>
      <c r="E1715" s="12"/>
    </row>
    <row r="1716" customHeight="1" spans="1:5">
      <c r="A1716" s="11"/>
      <c r="B1716" s="11"/>
      <c r="C1716" s="11"/>
      <c r="D1716" s="11"/>
      <c r="E1716" s="12"/>
    </row>
    <row r="1717" customHeight="1" spans="1:5">
      <c r="A1717" s="11"/>
      <c r="B1717" s="11"/>
      <c r="C1717" s="11"/>
      <c r="D1717" s="11"/>
      <c r="E1717" s="12"/>
    </row>
    <row r="1718" customHeight="1" spans="1:5">
      <c r="A1718" s="11"/>
      <c r="B1718" s="11"/>
      <c r="C1718" s="11"/>
      <c r="D1718" s="11"/>
      <c r="E1718" s="12"/>
    </row>
    <row r="1719" customHeight="1" spans="1:5">
      <c r="A1719" s="11"/>
      <c r="B1719" s="11"/>
      <c r="C1719" s="11"/>
      <c r="D1719" s="11"/>
      <c r="E1719" s="12"/>
    </row>
    <row r="1720" customHeight="1" spans="1:5">
      <c r="A1720" s="11"/>
      <c r="B1720" s="11"/>
      <c r="C1720" s="11"/>
      <c r="D1720" s="11"/>
      <c r="E1720" s="12"/>
    </row>
    <row r="1721" customHeight="1" spans="1:5">
      <c r="A1721" s="11"/>
      <c r="B1721" s="11"/>
      <c r="C1721" s="11"/>
      <c r="D1721" s="11"/>
      <c r="E1721" s="12"/>
    </row>
    <row r="1722" customHeight="1" spans="1:5">
      <c r="A1722" s="11"/>
      <c r="B1722" s="11"/>
      <c r="C1722" s="11"/>
      <c r="D1722" s="11"/>
      <c r="E1722" s="12"/>
    </row>
    <row r="1723" customHeight="1" spans="1:5">
      <c r="A1723" s="11"/>
      <c r="B1723" s="11"/>
      <c r="C1723" s="11"/>
      <c r="D1723" s="11"/>
      <c r="E1723" s="12"/>
    </row>
    <row r="1724" customHeight="1" spans="1:5">
      <c r="A1724" s="11"/>
      <c r="B1724" s="11"/>
      <c r="C1724" s="11"/>
      <c r="D1724" s="11"/>
      <c r="E1724" s="12"/>
    </row>
    <row r="1725" customHeight="1" spans="1:5">
      <c r="A1725" s="11"/>
      <c r="B1725" s="11"/>
      <c r="C1725" s="11"/>
      <c r="D1725" s="11"/>
      <c r="E1725" s="12"/>
    </row>
    <row r="1726" customHeight="1" spans="1:5">
      <c r="A1726" s="11"/>
      <c r="B1726" s="11"/>
      <c r="C1726" s="11"/>
      <c r="D1726" s="11"/>
      <c r="E1726" s="12"/>
    </row>
    <row r="1727" customHeight="1" spans="1:5">
      <c r="A1727" s="11"/>
      <c r="B1727" s="11"/>
      <c r="C1727" s="11"/>
      <c r="D1727" s="11"/>
      <c r="E1727" s="12"/>
    </row>
    <row r="1728" customHeight="1" spans="1:5">
      <c r="A1728" s="11"/>
      <c r="B1728" s="11"/>
      <c r="C1728" s="11"/>
      <c r="D1728" s="11"/>
      <c r="E1728" s="12"/>
    </row>
    <row r="1729" customHeight="1" spans="1:5">
      <c r="A1729" s="11"/>
      <c r="B1729" s="11"/>
      <c r="C1729" s="11"/>
      <c r="D1729" s="11"/>
      <c r="E1729" s="12"/>
    </row>
    <row r="1730" customHeight="1" spans="1:5">
      <c r="A1730" s="11"/>
      <c r="B1730" s="11"/>
      <c r="C1730" s="11"/>
      <c r="D1730" s="11"/>
      <c r="E1730" s="12"/>
    </row>
    <row r="1731" customHeight="1" spans="1:5">
      <c r="A1731" s="11"/>
      <c r="B1731" s="11"/>
      <c r="C1731" s="11"/>
      <c r="D1731" s="11"/>
      <c r="E1731" s="12"/>
    </row>
    <row r="1732" customHeight="1" spans="1:5">
      <c r="A1732" s="11"/>
      <c r="B1732" s="11"/>
      <c r="C1732" s="11"/>
      <c r="D1732" s="11"/>
      <c r="E1732" s="12"/>
    </row>
    <row r="1733" customHeight="1" spans="1:5">
      <c r="A1733" s="11"/>
      <c r="B1733" s="11"/>
      <c r="C1733" s="11"/>
      <c r="D1733" s="11"/>
      <c r="E1733" s="12"/>
    </row>
    <row r="1734" customHeight="1" spans="1:5">
      <c r="A1734" s="11"/>
      <c r="B1734" s="11"/>
      <c r="C1734" s="11"/>
      <c r="D1734" s="11"/>
      <c r="E1734" s="12"/>
    </row>
    <row r="1735" customHeight="1" spans="1:5">
      <c r="A1735" s="11"/>
      <c r="B1735" s="11"/>
      <c r="C1735" s="11"/>
      <c r="D1735" s="11"/>
      <c r="E1735" s="12"/>
    </row>
    <row r="1736" customHeight="1" spans="1:5">
      <c r="A1736" s="11"/>
      <c r="B1736" s="11"/>
      <c r="C1736" s="11"/>
      <c r="D1736" s="11"/>
      <c r="E1736" s="12"/>
    </row>
    <row r="1737" customHeight="1" spans="1:5">
      <c r="A1737" s="11"/>
      <c r="B1737" s="11"/>
      <c r="C1737" s="11"/>
      <c r="D1737" s="11"/>
      <c r="E1737" s="12"/>
    </row>
    <row r="1738" customHeight="1" spans="1:5">
      <c r="A1738" s="11"/>
      <c r="B1738" s="11"/>
      <c r="C1738" s="11"/>
      <c r="D1738" s="11"/>
      <c r="E1738" s="12"/>
    </row>
    <row r="1739" customHeight="1" spans="1:5">
      <c r="A1739" s="11"/>
      <c r="B1739" s="11"/>
      <c r="C1739" s="11"/>
      <c r="D1739" s="11"/>
      <c r="E1739" s="12"/>
    </row>
    <row r="1740" customHeight="1" spans="1:5">
      <c r="A1740" s="11"/>
      <c r="B1740" s="11"/>
      <c r="C1740" s="11"/>
      <c r="D1740" s="11"/>
      <c r="E1740" s="12"/>
    </row>
    <row r="1741" customHeight="1" spans="1:5">
      <c r="A1741" s="11"/>
      <c r="B1741" s="11"/>
      <c r="C1741" s="11"/>
      <c r="D1741" s="11"/>
      <c r="E1741" s="12"/>
    </row>
    <row r="1742" customHeight="1" spans="1:5">
      <c r="A1742" s="11"/>
      <c r="B1742" s="11"/>
      <c r="C1742" s="11"/>
      <c r="D1742" s="11"/>
      <c r="E1742" s="12"/>
    </row>
    <row r="1743" customHeight="1" spans="1:5">
      <c r="A1743" s="11"/>
      <c r="B1743" s="11"/>
      <c r="C1743" s="11"/>
      <c r="D1743" s="11"/>
      <c r="E1743" s="12"/>
    </row>
    <row r="1744" customHeight="1" spans="1:5">
      <c r="A1744" s="11"/>
      <c r="B1744" s="11"/>
      <c r="C1744" s="11"/>
      <c r="D1744" s="11"/>
      <c r="E1744" s="12"/>
    </row>
    <row r="1745" customHeight="1" spans="1:5">
      <c r="A1745" s="11"/>
      <c r="B1745" s="11"/>
      <c r="C1745" s="11"/>
      <c r="D1745" s="11"/>
      <c r="E1745" s="12"/>
    </row>
    <row r="1746" customHeight="1" spans="1:5">
      <c r="A1746" s="11"/>
      <c r="B1746" s="11"/>
      <c r="C1746" s="11"/>
      <c r="D1746" s="11"/>
      <c r="E1746" s="12"/>
    </row>
    <row r="1747" customHeight="1" spans="1:5">
      <c r="A1747" s="11"/>
      <c r="B1747" s="11"/>
      <c r="C1747" s="11"/>
      <c r="D1747" s="11"/>
      <c r="E1747" s="12"/>
    </row>
    <row r="1748" customHeight="1" spans="1:5">
      <c r="A1748" s="11"/>
      <c r="B1748" s="11"/>
      <c r="C1748" s="11"/>
      <c r="D1748" s="11"/>
      <c r="E1748" s="12"/>
    </row>
    <row r="1749" customHeight="1" spans="1:5">
      <c r="A1749" s="11"/>
      <c r="B1749" s="11"/>
      <c r="C1749" s="11"/>
      <c r="D1749" s="11"/>
      <c r="E1749" s="12"/>
    </row>
    <row r="1750" customHeight="1" spans="1:5">
      <c r="A1750" s="11"/>
      <c r="B1750" s="11"/>
      <c r="C1750" s="11"/>
      <c r="D1750" s="11"/>
      <c r="E1750" s="12"/>
    </row>
    <row r="1751" customHeight="1" spans="1:5">
      <c r="A1751" s="11"/>
      <c r="B1751" s="11"/>
      <c r="C1751" s="11"/>
      <c r="D1751" s="11"/>
      <c r="E1751" s="12"/>
    </row>
    <row r="1752" customHeight="1" spans="1:5">
      <c r="A1752" s="11"/>
      <c r="B1752" s="11"/>
      <c r="C1752" s="11"/>
      <c r="D1752" s="11"/>
      <c r="E1752" s="12"/>
    </row>
    <row r="1753" customHeight="1" spans="1:5">
      <c r="A1753" s="11"/>
      <c r="B1753" s="11"/>
      <c r="C1753" s="11"/>
      <c r="D1753" s="11"/>
      <c r="E1753" s="12"/>
    </row>
    <row r="1754" customHeight="1" spans="1:5">
      <c r="A1754" s="11"/>
      <c r="B1754" s="11"/>
      <c r="C1754" s="11"/>
      <c r="D1754" s="11"/>
      <c r="E1754" s="12"/>
    </row>
    <row r="1755" customHeight="1" spans="1:5">
      <c r="A1755" s="11"/>
      <c r="B1755" s="11"/>
      <c r="C1755" s="11"/>
      <c r="D1755" s="11"/>
      <c r="E1755" s="12"/>
    </row>
    <row r="1756" customHeight="1" spans="1:5">
      <c r="A1756" s="11"/>
      <c r="B1756" s="11"/>
      <c r="C1756" s="11"/>
      <c r="D1756" s="11"/>
      <c r="E1756" s="12"/>
    </row>
    <row r="1757" customHeight="1" spans="1:5">
      <c r="A1757" s="11"/>
      <c r="B1757" s="11"/>
      <c r="C1757" s="11"/>
      <c r="D1757" s="11"/>
      <c r="E1757" s="12"/>
    </row>
    <row r="1758" customHeight="1" spans="1:5">
      <c r="A1758" s="11"/>
      <c r="B1758" s="11"/>
      <c r="C1758" s="11"/>
      <c r="D1758" s="11"/>
      <c r="E1758" s="12"/>
    </row>
    <row r="1759" customHeight="1" spans="1:5">
      <c r="A1759" s="11"/>
      <c r="B1759" s="11"/>
      <c r="C1759" s="11"/>
      <c r="D1759" s="11"/>
      <c r="E1759" s="12"/>
    </row>
    <row r="1760" customHeight="1" spans="1:5">
      <c r="A1760" s="11"/>
      <c r="B1760" s="11"/>
      <c r="C1760" s="11"/>
      <c r="D1760" s="11"/>
      <c r="E1760" s="12"/>
    </row>
    <row r="1761" customHeight="1" spans="1:5">
      <c r="A1761" s="11"/>
      <c r="B1761" s="11"/>
      <c r="C1761" s="11"/>
      <c r="D1761" s="11"/>
      <c r="E1761" s="12"/>
    </row>
    <row r="1762" customHeight="1" spans="1:5">
      <c r="A1762" s="11"/>
      <c r="B1762" s="11"/>
      <c r="C1762" s="11"/>
      <c r="D1762" s="11"/>
      <c r="E1762" s="12"/>
    </row>
    <row r="1763" customHeight="1" spans="1:5">
      <c r="A1763" s="11"/>
      <c r="B1763" s="11"/>
      <c r="C1763" s="11"/>
      <c r="D1763" s="11"/>
      <c r="E1763" s="12"/>
    </row>
    <row r="1764" customHeight="1" spans="1:5">
      <c r="A1764" s="11"/>
      <c r="B1764" s="11"/>
      <c r="C1764" s="11"/>
      <c r="D1764" s="11"/>
      <c r="E1764" s="12"/>
    </row>
    <row r="1765" customHeight="1" spans="1:5">
      <c r="A1765" s="11"/>
      <c r="B1765" s="11"/>
      <c r="C1765" s="11"/>
      <c r="D1765" s="11"/>
      <c r="E1765" s="12"/>
    </row>
    <row r="1766" customHeight="1" spans="1:5">
      <c r="A1766" s="11"/>
      <c r="B1766" s="11"/>
      <c r="C1766" s="11"/>
      <c r="D1766" s="11"/>
      <c r="E1766" s="12"/>
    </row>
    <row r="1767" customHeight="1" spans="1:5">
      <c r="A1767" s="11"/>
      <c r="B1767" s="11"/>
      <c r="C1767" s="11"/>
      <c r="D1767" s="11"/>
      <c r="E1767" s="12"/>
    </row>
    <row r="1768" customHeight="1" spans="1:5">
      <c r="A1768" s="11"/>
      <c r="B1768" s="11"/>
      <c r="C1768" s="11"/>
      <c r="D1768" s="11"/>
      <c r="E1768" s="12"/>
    </row>
    <row r="1769" customHeight="1" spans="1:5">
      <c r="A1769" s="11"/>
      <c r="B1769" s="11"/>
      <c r="C1769" s="11"/>
      <c r="D1769" s="11"/>
      <c r="E1769" s="12"/>
    </row>
    <row r="1770" customHeight="1" spans="1:5">
      <c r="A1770" s="11"/>
      <c r="B1770" s="11"/>
      <c r="C1770" s="11"/>
      <c r="D1770" s="11"/>
      <c r="E1770" s="12"/>
    </row>
    <row r="1771" customHeight="1" spans="1:5">
      <c r="A1771" s="11"/>
      <c r="B1771" s="11"/>
      <c r="C1771" s="11"/>
      <c r="D1771" s="11"/>
      <c r="E1771" s="12"/>
    </row>
    <row r="1772" customHeight="1" spans="1:5">
      <c r="A1772" s="11"/>
      <c r="B1772" s="11"/>
      <c r="C1772" s="11"/>
      <c r="D1772" s="11"/>
      <c r="E1772" s="12"/>
    </row>
    <row r="1773" customHeight="1" spans="1:5">
      <c r="A1773" s="11"/>
      <c r="B1773" s="11"/>
      <c r="C1773" s="11"/>
      <c r="D1773" s="11"/>
      <c r="E1773" s="12"/>
    </row>
    <row r="1774" customHeight="1" spans="1:5">
      <c r="A1774" s="11"/>
      <c r="B1774" s="11"/>
      <c r="C1774" s="11"/>
      <c r="D1774" s="11"/>
      <c r="E1774" s="12"/>
    </row>
    <row r="1775" customHeight="1" spans="1:5">
      <c r="A1775" s="11"/>
      <c r="B1775" s="11"/>
      <c r="C1775" s="11"/>
      <c r="D1775" s="11"/>
      <c r="E1775" s="12"/>
    </row>
    <row r="1776" customHeight="1" spans="1:5">
      <c r="A1776" s="11"/>
      <c r="B1776" s="11"/>
      <c r="C1776" s="11"/>
      <c r="D1776" s="11"/>
      <c r="E1776" s="12"/>
    </row>
    <row r="1777" customHeight="1" spans="1:5">
      <c r="A1777" s="11"/>
      <c r="B1777" s="11"/>
      <c r="C1777" s="11"/>
      <c r="D1777" s="11"/>
      <c r="E1777" s="12"/>
    </row>
    <row r="1778" customHeight="1" spans="1:5">
      <c r="A1778" s="11"/>
      <c r="B1778" s="11"/>
      <c r="C1778" s="11"/>
      <c r="D1778" s="11"/>
      <c r="E1778" s="12"/>
    </row>
    <row r="1779" customHeight="1" spans="1:5">
      <c r="A1779" s="11"/>
      <c r="B1779" s="11"/>
      <c r="C1779" s="11"/>
      <c r="D1779" s="11"/>
      <c r="E1779" s="12"/>
    </row>
    <row r="1780" customHeight="1" spans="1:5">
      <c r="A1780" s="11"/>
      <c r="B1780" s="11"/>
      <c r="C1780" s="11"/>
      <c r="D1780" s="11"/>
      <c r="E1780" s="12"/>
    </row>
    <row r="1781" customHeight="1" spans="1:5">
      <c r="A1781" s="11"/>
      <c r="B1781" s="11"/>
      <c r="C1781" s="11"/>
      <c r="D1781" s="11"/>
      <c r="E1781" s="12"/>
    </row>
    <row r="1782" customHeight="1" spans="1:5">
      <c r="A1782" s="11"/>
      <c r="B1782" s="11"/>
      <c r="C1782" s="11"/>
      <c r="D1782" s="11"/>
      <c r="E1782" s="12"/>
    </row>
    <row r="1783" customHeight="1" spans="1:5">
      <c r="A1783" s="11"/>
      <c r="B1783" s="11"/>
      <c r="C1783" s="11"/>
      <c r="D1783" s="11"/>
      <c r="E1783" s="12"/>
    </row>
    <row r="1784" customHeight="1" spans="1:5">
      <c r="A1784" s="11"/>
      <c r="B1784" s="11"/>
      <c r="C1784" s="11"/>
      <c r="D1784" s="11"/>
      <c r="E1784" s="12"/>
    </row>
    <row r="1785" customHeight="1" spans="1:5">
      <c r="A1785" s="11"/>
      <c r="B1785" s="11"/>
      <c r="C1785" s="11"/>
      <c r="D1785" s="11"/>
      <c r="E1785" s="12"/>
    </row>
    <row r="1786" customHeight="1" spans="1:5">
      <c r="A1786" s="11"/>
      <c r="B1786" s="11"/>
      <c r="C1786" s="11"/>
      <c r="D1786" s="11"/>
      <c r="E1786" s="12"/>
    </row>
    <row r="1787" customHeight="1" spans="1:5">
      <c r="A1787" s="11"/>
      <c r="B1787" s="11"/>
      <c r="C1787" s="11"/>
      <c r="D1787" s="11"/>
      <c r="E1787" s="12"/>
    </row>
    <row r="1788" customHeight="1" spans="1:5">
      <c r="A1788" s="11"/>
      <c r="B1788" s="11"/>
      <c r="C1788" s="11"/>
      <c r="D1788" s="11"/>
      <c r="E1788" s="12"/>
    </row>
    <row r="1789" customHeight="1" spans="1:5">
      <c r="A1789" s="11"/>
      <c r="B1789" s="11"/>
      <c r="C1789" s="11"/>
      <c r="D1789" s="11"/>
      <c r="E1789" s="12"/>
    </row>
    <row r="1790" customHeight="1" spans="1:5">
      <c r="A1790" s="11"/>
      <c r="B1790" s="11"/>
      <c r="C1790" s="11"/>
      <c r="D1790" s="11"/>
      <c r="E1790" s="12"/>
    </row>
    <row r="1791" customHeight="1" spans="1:5">
      <c r="A1791" s="11"/>
      <c r="B1791" s="11"/>
      <c r="C1791" s="11"/>
      <c r="D1791" s="11"/>
      <c r="E1791" s="12"/>
    </row>
    <row r="1792" customHeight="1" spans="1:5">
      <c r="A1792" s="11"/>
      <c r="B1792" s="11"/>
      <c r="C1792" s="11"/>
      <c r="D1792" s="11"/>
      <c r="E1792" s="12"/>
    </row>
    <row r="1793" customHeight="1" spans="1:5">
      <c r="A1793" s="11"/>
      <c r="B1793" s="11"/>
      <c r="C1793" s="11"/>
      <c r="D1793" s="11"/>
      <c r="E1793" s="12"/>
    </row>
    <row r="1794" customHeight="1" spans="1:5">
      <c r="A1794" s="11"/>
      <c r="B1794" s="11"/>
      <c r="C1794" s="11"/>
      <c r="D1794" s="11"/>
      <c r="E1794" s="12"/>
    </row>
  </sheetData>
  <pageMargins left="0.75" right="0.75" top="1" bottom="1" header="0.5" footer="0.5"/>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1000"/>
  <sheetViews>
    <sheetView showGridLines="0" workbookViewId="0">
      <selection activeCell="A1" sqref="A1"/>
    </sheetView>
  </sheetViews>
  <sheetFormatPr defaultColWidth="12.6296296296296" defaultRowHeight="15.75" customHeight="1"/>
  <sheetData>
    <row r="1" customHeight="1" spans="1:8">
      <c r="A1" s="4"/>
      <c r="B1" s="4"/>
      <c r="C1" s="5"/>
      <c r="D1" s="6" t="s">
        <v>4425</v>
      </c>
      <c r="E1" s="7" t="s">
        <v>4426</v>
      </c>
      <c r="H1" s="8" t="s">
        <v>4427</v>
      </c>
    </row>
    <row r="2" customHeight="1" spans="1:8">
      <c r="A2" s="4" t="s">
        <v>2878</v>
      </c>
      <c r="B2" s="4" t="s">
        <v>4428</v>
      </c>
      <c r="C2" s="9" t="s">
        <v>4429</v>
      </c>
      <c r="D2" s="10" t="e">
        <f t="shared" ref="D2:D102" si="0">C2/B2</f>
        <v>#VALUE!</v>
      </c>
      <c r="E2" s="11" t="e">
        <f t="shared" ref="E2:E102" si="1">IF(D2=1,1,0)</f>
        <v>#VALUE!</v>
      </c>
      <c r="H2" s="12" t="e">
        <f>SUM(E2:E101)/COUNT(E2:E101)</f>
        <v>#VALUE!</v>
      </c>
    </row>
    <row r="3" customHeight="1" spans="1:8">
      <c r="A3" s="4">
        <v>1</v>
      </c>
      <c r="B3" s="4">
        <v>15</v>
      </c>
      <c r="C3" s="9">
        <v>15</v>
      </c>
      <c r="D3" s="10">
        <f t="shared" si="0"/>
        <v>1</v>
      </c>
      <c r="E3" s="11">
        <f t="shared" si="1"/>
        <v>1</v>
      </c>
      <c r="H3" s="13"/>
    </row>
    <row r="4" customHeight="1" spans="1:8">
      <c r="A4" s="14">
        <v>2</v>
      </c>
      <c r="B4" s="15">
        <v>13</v>
      </c>
      <c r="C4" s="16">
        <v>13</v>
      </c>
      <c r="D4" s="10">
        <f t="shared" si="0"/>
        <v>1</v>
      </c>
      <c r="E4" s="11">
        <f t="shared" si="1"/>
        <v>1</v>
      </c>
      <c r="H4" s="13"/>
    </row>
    <row r="5" customHeight="1" spans="1:9">
      <c r="A5" s="14">
        <v>3</v>
      </c>
      <c r="B5" s="15">
        <v>16</v>
      </c>
      <c r="C5" s="16">
        <v>16</v>
      </c>
      <c r="D5" s="10">
        <f t="shared" si="0"/>
        <v>1</v>
      </c>
      <c r="E5" s="11">
        <f t="shared" si="1"/>
        <v>1</v>
      </c>
      <c r="H5" s="3" t="s">
        <v>4430</v>
      </c>
      <c r="I5" s="17">
        <f>IFERROR(__xludf.DUMMYFUNCTION("FILTER(A:A, D:D=1)"),1)</f>
        <v>1</v>
      </c>
    </row>
    <row r="6" customHeight="1" spans="1:9">
      <c r="A6" s="14">
        <v>4</v>
      </c>
      <c r="B6" s="15">
        <v>24</v>
      </c>
      <c r="C6" s="16">
        <v>24</v>
      </c>
      <c r="D6" s="10">
        <f t="shared" si="0"/>
        <v>1</v>
      </c>
      <c r="E6" s="11">
        <f t="shared" si="1"/>
        <v>1</v>
      </c>
      <c r="H6" s="13"/>
      <c r="I6" s="17">
        <f>IFERROR(__xludf.DUMMYFUNCTION("""COMPUTED_VALUE"""),2)</f>
        <v>2</v>
      </c>
    </row>
    <row r="7" customHeight="1" spans="1:9">
      <c r="A7" s="14">
        <v>5</v>
      </c>
      <c r="B7" s="15">
        <v>17</v>
      </c>
      <c r="C7" s="16">
        <v>17</v>
      </c>
      <c r="D7" s="10">
        <f t="shared" si="0"/>
        <v>1</v>
      </c>
      <c r="E7" s="11">
        <f t="shared" si="1"/>
        <v>1</v>
      </c>
      <c r="H7" s="13"/>
      <c r="I7" s="17">
        <f>IFERROR(__xludf.DUMMYFUNCTION("""COMPUTED_VALUE"""),3)</f>
        <v>3</v>
      </c>
    </row>
    <row r="8" customHeight="1" spans="1:9">
      <c r="A8" s="14">
        <v>6</v>
      </c>
      <c r="B8" s="15">
        <v>19</v>
      </c>
      <c r="C8" s="16">
        <v>19</v>
      </c>
      <c r="D8" s="10">
        <f t="shared" si="0"/>
        <v>1</v>
      </c>
      <c r="E8" s="11">
        <f t="shared" si="1"/>
        <v>1</v>
      </c>
      <c r="H8" s="13"/>
      <c r="I8" s="17">
        <f>IFERROR(__xludf.DUMMYFUNCTION("""COMPUTED_VALUE"""),4)</f>
        <v>4</v>
      </c>
    </row>
    <row r="9" customHeight="1" spans="1:9">
      <c r="A9" s="14">
        <v>7</v>
      </c>
      <c r="B9" s="15">
        <v>18</v>
      </c>
      <c r="C9" s="16">
        <v>18</v>
      </c>
      <c r="D9" s="10">
        <f t="shared" si="0"/>
        <v>1</v>
      </c>
      <c r="E9" s="11">
        <f t="shared" si="1"/>
        <v>1</v>
      </c>
      <c r="H9" s="13"/>
      <c r="I9" s="17">
        <f>IFERROR(__xludf.DUMMYFUNCTION("""COMPUTED_VALUE"""),5)</f>
        <v>5</v>
      </c>
    </row>
    <row r="10" customHeight="1" spans="1:9">
      <c r="A10" s="14">
        <v>8</v>
      </c>
      <c r="B10" s="15">
        <v>16</v>
      </c>
      <c r="C10" s="16">
        <v>16</v>
      </c>
      <c r="D10" s="10">
        <f t="shared" si="0"/>
        <v>1</v>
      </c>
      <c r="E10" s="11">
        <f t="shared" si="1"/>
        <v>1</v>
      </c>
      <c r="H10" s="13"/>
      <c r="I10" s="17">
        <f>IFERROR(__xludf.DUMMYFUNCTION("""COMPUTED_VALUE"""),6)</f>
        <v>6</v>
      </c>
    </row>
    <row r="11" customHeight="1" spans="1:9">
      <c r="A11" s="14">
        <v>9</v>
      </c>
      <c r="B11" s="15">
        <v>16</v>
      </c>
      <c r="C11" s="16">
        <v>16</v>
      </c>
      <c r="D11" s="10">
        <f t="shared" si="0"/>
        <v>1</v>
      </c>
      <c r="E11" s="11">
        <f t="shared" si="1"/>
        <v>1</v>
      </c>
      <c r="H11" s="13"/>
      <c r="I11" s="17">
        <f>IFERROR(__xludf.DUMMYFUNCTION("""COMPUTED_VALUE"""),7)</f>
        <v>7</v>
      </c>
    </row>
    <row r="12" customHeight="1" spans="1:9">
      <c r="A12" s="14">
        <v>10</v>
      </c>
      <c r="B12" s="15">
        <v>19</v>
      </c>
      <c r="C12" s="16">
        <v>19</v>
      </c>
      <c r="D12" s="10">
        <f t="shared" si="0"/>
        <v>1</v>
      </c>
      <c r="E12" s="11">
        <f t="shared" si="1"/>
        <v>1</v>
      </c>
      <c r="H12" s="13"/>
      <c r="I12" s="17">
        <f>IFERROR(__xludf.DUMMYFUNCTION("""COMPUTED_VALUE"""),8)</f>
        <v>8</v>
      </c>
    </row>
    <row r="13" customHeight="1" spans="1:9">
      <c r="A13" s="14">
        <v>11</v>
      </c>
      <c r="B13" s="15">
        <v>11</v>
      </c>
      <c r="C13" s="16">
        <v>11</v>
      </c>
      <c r="D13" s="10">
        <f t="shared" si="0"/>
        <v>1</v>
      </c>
      <c r="E13" s="11">
        <f t="shared" si="1"/>
        <v>1</v>
      </c>
      <c r="H13" s="13"/>
      <c r="I13" s="17">
        <f>IFERROR(__xludf.DUMMYFUNCTION("""COMPUTED_VALUE"""),9)</f>
        <v>9</v>
      </c>
    </row>
    <row r="14" customHeight="1" spans="1:9">
      <c r="A14" s="14">
        <v>12</v>
      </c>
      <c r="B14" s="15">
        <v>12</v>
      </c>
      <c r="C14" s="16">
        <v>12</v>
      </c>
      <c r="D14" s="10">
        <f t="shared" si="0"/>
        <v>1</v>
      </c>
      <c r="E14" s="11">
        <f t="shared" si="1"/>
        <v>1</v>
      </c>
      <c r="H14" s="13"/>
      <c r="I14" s="17">
        <f>IFERROR(__xludf.DUMMYFUNCTION("""COMPUTED_VALUE"""),10)</f>
        <v>10</v>
      </c>
    </row>
    <row r="15" customHeight="1" spans="1:9">
      <c r="A15" s="14">
        <v>13</v>
      </c>
      <c r="B15" s="15">
        <v>14</v>
      </c>
      <c r="C15" s="16">
        <v>14</v>
      </c>
      <c r="D15" s="10">
        <f t="shared" si="0"/>
        <v>1</v>
      </c>
      <c r="E15" s="11">
        <f t="shared" si="1"/>
        <v>1</v>
      </c>
      <c r="H15" s="13"/>
      <c r="I15" s="17">
        <f>IFERROR(__xludf.DUMMYFUNCTION("""COMPUTED_VALUE"""),11)</f>
        <v>11</v>
      </c>
    </row>
    <row r="16" customHeight="1" spans="1:9">
      <c r="A16" s="14">
        <v>14</v>
      </c>
      <c r="B16" s="15">
        <v>21</v>
      </c>
      <c r="C16" s="16">
        <v>21</v>
      </c>
      <c r="D16" s="10">
        <f t="shared" si="0"/>
        <v>1</v>
      </c>
      <c r="E16" s="11">
        <f t="shared" si="1"/>
        <v>1</v>
      </c>
      <c r="H16" s="13"/>
      <c r="I16" s="17">
        <f>IFERROR(__xludf.DUMMYFUNCTION("""COMPUTED_VALUE"""),12)</f>
        <v>12</v>
      </c>
    </row>
    <row r="17" customHeight="1" spans="1:9">
      <c r="A17" s="14">
        <v>15</v>
      </c>
      <c r="B17" s="15">
        <v>14</v>
      </c>
      <c r="C17" s="16">
        <v>14</v>
      </c>
      <c r="D17" s="10">
        <f t="shared" si="0"/>
        <v>1</v>
      </c>
      <c r="E17" s="11">
        <f t="shared" si="1"/>
        <v>1</v>
      </c>
      <c r="H17" s="13"/>
      <c r="I17" s="17">
        <f>IFERROR(__xludf.DUMMYFUNCTION("""COMPUTED_VALUE"""),13)</f>
        <v>13</v>
      </c>
    </row>
    <row r="18" customHeight="1" spans="1:9">
      <c r="A18" s="14">
        <v>16</v>
      </c>
      <c r="B18" s="15">
        <v>16</v>
      </c>
      <c r="C18" s="16">
        <v>16</v>
      </c>
      <c r="D18" s="10">
        <f t="shared" si="0"/>
        <v>1</v>
      </c>
      <c r="E18" s="11">
        <f t="shared" si="1"/>
        <v>1</v>
      </c>
      <c r="H18" s="13"/>
      <c r="I18" s="17">
        <f>IFERROR(__xludf.DUMMYFUNCTION("""COMPUTED_VALUE"""),14)</f>
        <v>14</v>
      </c>
    </row>
    <row r="19" customHeight="1" spans="1:9">
      <c r="A19" s="14">
        <v>17</v>
      </c>
      <c r="B19" s="15">
        <v>12</v>
      </c>
      <c r="C19" s="16">
        <v>12</v>
      </c>
      <c r="D19" s="10">
        <f t="shared" si="0"/>
        <v>1</v>
      </c>
      <c r="E19" s="11">
        <f t="shared" si="1"/>
        <v>1</v>
      </c>
      <c r="H19" s="13"/>
      <c r="I19" s="17">
        <f>IFERROR(__xludf.DUMMYFUNCTION("""COMPUTED_VALUE"""),15)</f>
        <v>15</v>
      </c>
    </row>
    <row r="20" customHeight="1" spans="1:9">
      <c r="A20" s="14">
        <v>18</v>
      </c>
      <c r="B20" s="15">
        <v>14</v>
      </c>
      <c r="C20" s="16">
        <v>14</v>
      </c>
      <c r="D20" s="10">
        <f t="shared" si="0"/>
        <v>1</v>
      </c>
      <c r="E20" s="11">
        <f t="shared" si="1"/>
        <v>1</v>
      </c>
      <c r="H20" s="13"/>
      <c r="I20" s="17">
        <f>IFERROR(__xludf.DUMMYFUNCTION("""COMPUTED_VALUE"""),16)</f>
        <v>16</v>
      </c>
    </row>
    <row r="21" customHeight="1" spans="1:9">
      <c r="A21" s="14">
        <v>19</v>
      </c>
      <c r="B21" s="15">
        <v>19</v>
      </c>
      <c r="C21" s="16">
        <v>19</v>
      </c>
      <c r="D21" s="10">
        <f t="shared" si="0"/>
        <v>1</v>
      </c>
      <c r="E21" s="11">
        <f t="shared" si="1"/>
        <v>1</v>
      </c>
      <c r="H21" s="13"/>
      <c r="I21" s="17">
        <f>IFERROR(__xludf.DUMMYFUNCTION("""COMPUTED_VALUE"""),17)</f>
        <v>17</v>
      </c>
    </row>
    <row r="22" customHeight="1" spans="1:9">
      <c r="A22" s="14">
        <v>20</v>
      </c>
      <c r="B22" s="15">
        <v>22</v>
      </c>
      <c r="C22" s="16">
        <v>22</v>
      </c>
      <c r="D22" s="10">
        <f t="shared" si="0"/>
        <v>1</v>
      </c>
      <c r="E22" s="11">
        <f t="shared" si="1"/>
        <v>1</v>
      </c>
      <c r="H22" s="13"/>
      <c r="I22" s="17">
        <f>IFERROR(__xludf.DUMMYFUNCTION("""COMPUTED_VALUE"""),18)</f>
        <v>18</v>
      </c>
    </row>
    <row r="23" customHeight="1" spans="1:9">
      <c r="A23" s="14">
        <v>21</v>
      </c>
      <c r="B23" s="15">
        <v>18</v>
      </c>
      <c r="C23" s="16">
        <v>18</v>
      </c>
      <c r="D23" s="10">
        <f t="shared" si="0"/>
        <v>1</v>
      </c>
      <c r="E23" s="11">
        <f t="shared" si="1"/>
        <v>1</v>
      </c>
      <c r="H23" s="13"/>
      <c r="I23" s="17">
        <f>IFERROR(__xludf.DUMMYFUNCTION("""COMPUTED_VALUE"""),19)</f>
        <v>19</v>
      </c>
    </row>
    <row r="24" customHeight="1" spans="1:9">
      <c r="A24" s="14">
        <v>22</v>
      </c>
      <c r="B24" s="15">
        <v>23</v>
      </c>
      <c r="C24" s="16">
        <v>23</v>
      </c>
      <c r="D24" s="10">
        <f t="shared" si="0"/>
        <v>1</v>
      </c>
      <c r="E24" s="11">
        <f t="shared" si="1"/>
        <v>1</v>
      </c>
      <c r="H24" s="13"/>
      <c r="I24" s="17">
        <f>IFERROR(__xludf.DUMMYFUNCTION("""COMPUTED_VALUE"""),20)</f>
        <v>20</v>
      </c>
    </row>
    <row r="25" customHeight="1" spans="1:9">
      <c r="A25" s="14">
        <v>23</v>
      </c>
      <c r="B25" s="15">
        <v>17</v>
      </c>
      <c r="C25" s="16">
        <v>17</v>
      </c>
      <c r="D25" s="10">
        <f t="shared" si="0"/>
        <v>1</v>
      </c>
      <c r="E25" s="11">
        <f t="shared" si="1"/>
        <v>1</v>
      </c>
      <c r="H25" s="13"/>
      <c r="I25" s="17">
        <f>IFERROR(__xludf.DUMMYFUNCTION("""COMPUTED_VALUE"""),21)</f>
        <v>21</v>
      </c>
    </row>
    <row r="26" customHeight="1" spans="1:9">
      <c r="A26" s="14">
        <v>24</v>
      </c>
      <c r="B26" s="15">
        <v>7</v>
      </c>
      <c r="C26" s="16">
        <v>7</v>
      </c>
      <c r="D26" s="10">
        <f t="shared" si="0"/>
        <v>1</v>
      </c>
      <c r="E26" s="11">
        <f t="shared" si="1"/>
        <v>1</v>
      </c>
      <c r="H26" s="13"/>
      <c r="I26" s="17">
        <f>IFERROR(__xludf.DUMMYFUNCTION("""COMPUTED_VALUE"""),22)</f>
        <v>22</v>
      </c>
    </row>
    <row r="27" customHeight="1" spans="1:9">
      <c r="A27" s="14">
        <v>25</v>
      </c>
      <c r="B27" s="15">
        <v>18</v>
      </c>
      <c r="C27" s="16">
        <v>18</v>
      </c>
      <c r="D27" s="10">
        <f t="shared" si="0"/>
        <v>1</v>
      </c>
      <c r="E27" s="11">
        <f t="shared" si="1"/>
        <v>1</v>
      </c>
      <c r="H27" s="13"/>
      <c r="I27" s="17">
        <f>IFERROR(__xludf.DUMMYFUNCTION("""COMPUTED_VALUE"""),23)</f>
        <v>23</v>
      </c>
    </row>
    <row r="28" customHeight="1" spans="1:9">
      <c r="A28" s="14">
        <v>26</v>
      </c>
      <c r="B28" s="15">
        <v>16</v>
      </c>
      <c r="C28" s="16">
        <v>16</v>
      </c>
      <c r="D28" s="10">
        <f t="shared" si="0"/>
        <v>1</v>
      </c>
      <c r="E28" s="11">
        <f t="shared" si="1"/>
        <v>1</v>
      </c>
      <c r="H28" s="13"/>
      <c r="I28" s="17">
        <f>IFERROR(__xludf.DUMMYFUNCTION("""COMPUTED_VALUE"""),24)</f>
        <v>24</v>
      </c>
    </row>
    <row r="29" customHeight="1" spans="1:9">
      <c r="A29" s="14">
        <v>27</v>
      </c>
      <c r="B29" s="15">
        <v>15</v>
      </c>
      <c r="C29" s="16">
        <v>15</v>
      </c>
      <c r="D29" s="10">
        <f t="shared" si="0"/>
        <v>1</v>
      </c>
      <c r="E29" s="11">
        <f t="shared" si="1"/>
        <v>1</v>
      </c>
      <c r="H29" s="13"/>
      <c r="I29" s="17">
        <f>IFERROR(__xludf.DUMMYFUNCTION("""COMPUTED_VALUE"""),25)</f>
        <v>25</v>
      </c>
    </row>
    <row r="30" customHeight="1" spans="1:9">
      <c r="A30" s="14">
        <v>28</v>
      </c>
      <c r="B30" s="15">
        <v>21</v>
      </c>
      <c r="C30" s="16">
        <v>21</v>
      </c>
      <c r="D30" s="10">
        <f t="shared" si="0"/>
        <v>1</v>
      </c>
      <c r="E30" s="11">
        <f t="shared" si="1"/>
        <v>1</v>
      </c>
      <c r="H30" s="13"/>
      <c r="I30" s="17">
        <f>IFERROR(__xludf.DUMMYFUNCTION("""COMPUTED_VALUE"""),26)</f>
        <v>26</v>
      </c>
    </row>
    <row r="31" customHeight="1" spans="1:9">
      <c r="A31" s="14">
        <v>29</v>
      </c>
      <c r="B31" s="15">
        <v>14</v>
      </c>
      <c r="C31" s="16">
        <v>14</v>
      </c>
      <c r="D31" s="10">
        <f t="shared" si="0"/>
        <v>1</v>
      </c>
      <c r="E31" s="11">
        <f t="shared" si="1"/>
        <v>1</v>
      </c>
      <c r="H31" s="13"/>
      <c r="I31" s="17">
        <f>IFERROR(__xludf.DUMMYFUNCTION("""COMPUTED_VALUE"""),27)</f>
        <v>27</v>
      </c>
    </row>
    <row r="32" customHeight="1" spans="1:9">
      <c r="A32" s="14">
        <v>30</v>
      </c>
      <c r="B32" s="15">
        <v>14</v>
      </c>
      <c r="C32" s="16">
        <v>14</v>
      </c>
      <c r="D32" s="10">
        <f t="shared" si="0"/>
        <v>1</v>
      </c>
      <c r="E32" s="11">
        <f t="shared" si="1"/>
        <v>1</v>
      </c>
      <c r="H32" s="13"/>
      <c r="I32" s="17">
        <f>IFERROR(__xludf.DUMMYFUNCTION("""COMPUTED_VALUE"""),28)</f>
        <v>28</v>
      </c>
    </row>
    <row r="33" customHeight="1" spans="1:9">
      <c r="A33" s="14">
        <v>31</v>
      </c>
      <c r="B33" s="15">
        <v>18</v>
      </c>
      <c r="C33" s="16">
        <v>18</v>
      </c>
      <c r="D33" s="10">
        <f t="shared" si="0"/>
        <v>1</v>
      </c>
      <c r="E33" s="11">
        <f t="shared" si="1"/>
        <v>1</v>
      </c>
      <c r="H33" s="13"/>
      <c r="I33" s="17">
        <f>IFERROR(__xludf.DUMMYFUNCTION("""COMPUTED_VALUE"""),29)</f>
        <v>29</v>
      </c>
    </row>
    <row r="34" customHeight="1" spans="1:9">
      <c r="A34" s="14">
        <v>32</v>
      </c>
      <c r="B34" s="15">
        <v>11</v>
      </c>
      <c r="C34" s="16">
        <v>11</v>
      </c>
      <c r="D34" s="10">
        <f t="shared" si="0"/>
        <v>1</v>
      </c>
      <c r="E34" s="11">
        <f t="shared" si="1"/>
        <v>1</v>
      </c>
      <c r="H34" s="13"/>
      <c r="I34" s="17">
        <f>IFERROR(__xludf.DUMMYFUNCTION("""COMPUTED_VALUE"""),30)</f>
        <v>30</v>
      </c>
    </row>
    <row r="35" customHeight="1" spans="1:9">
      <c r="A35" s="14">
        <v>33</v>
      </c>
      <c r="B35" s="15">
        <v>11</v>
      </c>
      <c r="C35" s="16">
        <v>11</v>
      </c>
      <c r="D35" s="10">
        <f t="shared" si="0"/>
        <v>1</v>
      </c>
      <c r="E35" s="11">
        <f t="shared" si="1"/>
        <v>1</v>
      </c>
      <c r="H35" s="13"/>
      <c r="I35" s="17">
        <f>IFERROR(__xludf.DUMMYFUNCTION("""COMPUTED_VALUE"""),31)</f>
        <v>31</v>
      </c>
    </row>
    <row r="36" customHeight="1" spans="1:9">
      <c r="A36" s="14">
        <v>34</v>
      </c>
      <c r="B36" s="15">
        <v>9</v>
      </c>
      <c r="C36" s="16">
        <v>9</v>
      </c>
      <c r="D36" s="10">
        <f t="shared" si="0"/>
        <v>1</v>
      </c>
      <c r="E36" s="11">
        <f t="shared" si="1"/>
        <v>1</v>
      </c>
      <c r="H36" s="13"/>
      <c r="I36" s="17">
        <f>IFERROR(__xludf.DUMMYFUNCTION("""COMPUTED_VALUE"""),32)</f>
        <v>32</v>
      </c>
    </row>
    <row r="37" customHeight="1" spans="1:9">
      <c r="A37" s="14">
        <v>35</v>
      </c>
      <c r="B37" s="15">
        <v>19</v>
      </c>
      <c r="C37" s="16">
        <v>14</v>
      </c>
      <c r="D37" s="10">
        <f t="shared" si="0"/>
        <v>0.736842105263158</v>
      </c>
      <c r="E37" s="11">
        <f t="shared" si="1"/>
        <v>0</v>
      </c>
      <c r="H37" s="13"/>
      <c r="I37" s="17">
        <f>IFERROR(__xludf.DUMMYFUNCTION("""COMPUTED_VALUE"""),33)</f>
        <v>33</v>
      </c>
    </row>
    <row r="38" customHeight="1" spans="1:9">
      <c r="A38" s="14">
        <v>36</v>
      </c>
      <c r="B38" s="15">
        <v>12</v>
      </c>
      <c r="C38" s="16">
        <v>10</v>
      </c>
      <c r="D38" s="10">
        <f t="shared" si="0"/>
        <v>0.833333333333333</v>
      </c>
      <c r="E38" s="11">
        <f t="shared" si="1"/>
        <v>0</v>
      </c>
      <c r="H38" s="13"/>
      <c r="I38" s="17">
        <f>IFERROR(__xludf.DUMMYFUNCTION("""COMPUTED_VALUE"""),34)</f>
        <v>34</v>
      </c>
    </row>
    <row r="39" customHeight="1" spans="1:9">
      <c r="A39" s="14">
        <v>37</v>
      </c>
      <c r="B39" s="15">
        <v>16</v>
      </c>
      <c r="C39" s="16">
        <v>15</v>
      </c>
      <c r="D39" s="10">
        <f t="shared" si="0"/>
        <v>0.9375</v>
      </c>
      <c r="E39" s="11">
        <f t="shared" si="1"/>
        <v>0</v>
      </c>
      <c r="H39" s="13"/>
      <c r="I39" s="17">
        <f>IFERROR(__xludf.DUMMYFUNCTION("""COMPUTED_VALUE"""),39)</f>
        <v>39</v>
      </c>
    </row>
    <row r="40" customHeight="1" spans="1:9">
      <c r="A40" s="14">
        <v>38</v>
      </c>
      <c r="B40" s="15">
        <v>16</v>
      </c>
      <c r="C40" s="16">
        <v>15</v>
      </c>
      <c r="D40" s="10">
        <f t="shared" si="0"/>
        <v>0.9375</v>
      </c>
      <c r="E40" s="11">
        <f t="shared" si="1"/>
        <v>0</v>
      </c>
      <c r="H40" s="13"/>
      <c r="I40" s="17">
        <f>IFERROR(__xludf.DUMMYFUNCTION("""COMPUTED_VALUE"""),41)</f>
        <v>41</v>
      </c>
    </row>
    <row r="41" customHeight="1" spans="1:9">
      <c r="A41" s="14">
        <v>39</v>
      </c>
      <c r="B41" s="15">
        <v>16</v>
      </c>
      <c r="C41" s="16">
        <v>16</v>
      </c>
      <c r="D41" s="10">
        <f t="shared" si="0"/>
        <v>1</v>
      </c>
      <c r="E41" s="11">
        <f t="shared" si="1"/>
        <v>1</v>
      </c>
      <c r="H41" s="13"/>
      <c r="I41" s="17">
        <f>IFERROR(__xludf.DUMMYFUNCTION("""COMPUTED_VALUE"""),42)</f>
        <v>42</v>
      </c>
    </row>
    <row r="42" customHeight="1" spans="1:9">
      <c r="A42" s="14">
        <v>40</v>
      </c>
      <c r="B42" s="15">
        <v>12</v>
      </c>
      <c r="C42" s="16">
        <v>10</v>
      </c>
      <c r="D42" s="10">
        <f t="shared" si="0"/>
        <v>0.833333333333333</v>
      </c>
      <c r="E42" s="11">
        <f t="shared" si="1"/>
        <v>0</v>
      </c>
      <c r="H42" s="13"/>
      <c r="I42" s="17">
        <f>IFERROR(__xludf.DUMMYFUNCTION("""COMPUTED_VALUE"""),43)</f>
        <v>43</v>
      </c>
    </row>
    <row r="43" customHeight="1" spans="1:9">
      <c r="A43" s="14">
        <v>41</v>
      </c>
      <c r="B43" s="15">
        <v>24</v>
      </c>
      <c r="C43" s="16">
        <v>24</v>
      </c>
      <c r="D43" s="10">
        <f t="shared" si="0"/>
        <v>1</v>
      </c>
      <c r="E43" s="11">
        <f t="shared" si="1"/>
        <v>1</v>
      </c>
      <c r="H43" s="13"/>
      <c r="I43" s="17">
        <f>IFERROR(__xludf.DUMMYFUNCTION("""COMPUTED_VALUE"""),44)</f>
        <v>44</v>
      </c>
    </row>
    <row r="44" customHeight="1" spans="1:9">
      <c r="A44" s="14">
        <v>42</v>
      </c>
      <c r="B44" s="15">
        <v>17</v>
      </c>
      <c r="C44" s="16">
        <v>17</v>
      </c>
      <c r="D44" s="10">
        <f t="shared" si="0"/>
        <v>1</v>
      </c>
      <c r="E44" s="11">
        <f t="shared" si="1"/>
        <v>1</v>
      </c>
      <c r="H44" s="13"/>
      <c r="I44" s="17">
        <f>IFERROR(__xludf.DUMMYFUNCTION("""COMPUTED_VALUE"""),56)</f>
        <v>56</v>
      </c>
    </row>
    <row r="45" customHeight="1" spans="1:9">
      <c r="A45" s="14">
        <v>43</v>
      </c>
      <c r="B45" s="15">
        <v>17</v>
      </c>
      <c r="C45" s="16">
        <v>17</v>
      </c>
      <c r="D45" s="10">
        <f t="shared" si="0"/>
        <v>1</v>
      </c>
      <c r="E45" s="11">
        <f t="shared" si="1"/>
        <v>1</v>
      </c>
      <c r="H45" s="13"/>
      <c r="I45" s="17">
        <f>IFERROR(__xludf.DUMMYFUNCTION("""COMPUTED_VALUE"""),58)</f>
        <v>58</v>
      </c>
    </row>
    <row r="46" customHeight="1" spans="1:9">
      <c r="A46" s="14">
        <v>44</v>
      </c>
      <c r="B46" s="15">
        <v>18</v>
      </c>
      <c r="C46" s="16">
        <v>18</v>
      </c>
      <c r="D46" s="10">
        <f t="shared" si="0"/>
        <v>1</v>
      </c>
      <c r="E46" s="11">
        <f t="shared" si="1"/>
        <v>1</v>
      </c>
      <c r="H46" s="13"/>
      <c r="I46" s="17">
        <f>IFERROR(__xludf.DUMMYFUNCTION("""COMPUTED_VALUE"""),59)</f>
        <v>59</v>
      </c>
    </row>
    <row r="47" customHeight="1" spans="1:9">
      <c r="A47" s="14">
        <v>45</v>
      </c>
      <c r="B47" s="15">
        <v>21</v>
      </c>
      <c r="C47" s="16">
        <v>17</v>
      </c>
      <c r="D47" s="10">
        <f t="shared" si="0"/>
        <v>0.80952380952381</v>
      </c>
      <c r="E47" s="11">
        <f t="shared" si="1"/>
        <v>0</v>
      </c>
      <c r="H47" s="13"/>
      <c r="I47" s="17">
        <f>IFERROR(__xludf.DUMMYFUNCTION("""COMPUTED_VALUE"""),61)</f>
        <v>61</v>
      </c>
    </row>
    <row r="48" customHeight="1" spans="1:9">
      <c r="A48" s="14">
        <v>46</v>
      </c>
      <c r="B48" s="15">
        <v>11</v>
      </c>
      <c r="C48" s="16">
        <v>10</v>
      </c>
      <c r="D48" s="10">
        <f t="shared" si="0"/>
        <v>0.909090909090909</v>
      </c>
      <c r="E48" s="11">
        <f t="shared" si="1"/>
        <v>0</v>
      </c>
      <c r="H48" s="13"/>
      <c r="I48" s="17">
        <f>IFERROR(__xludf.DUMMYFUNCTION("""COMPUTED_VALUE"""),64)</f>
        <v>64</v>
      </c>
    </row>
    <row r="49" customHeight="1" spans="1:9">
      <c r="A49" s="14">
        <v>47</v>
      </c>
      <c r="B49" s="15">
        <v>13</v>
      </c>
      <c r="C49" s="16">
        <v>10</v>
      </c>
      <c r="D49" s="10">
        <f t="shared" si="0"/>
        <v>0.769230769230769</v>
      </c>
      <c r="E49" s="11">
        <f t="shared" si="1"/>
        <v>0</v>
      </c>
      <c r="H49" s="13"/>
      <c r="I49" s="17">
        <f>IFERROR(__xludf.DUMMYFUNCTION("""COMPUTED_VALUE"""),65)</f>
        <v>65</v>
      </c>
    </row>
    <row r="50" customHeight="1" spans="1:9">
      <c r="A50" s="14">
        <v>48</v>
      </c>
      <c r="B50" s="15">
        <v>20</v>
      </c>
      <c r="C50" s="16">
        <v>15</v>
      </c>
      <c r="D50" s="10">
        <f t="shared" si="0"/>
        <v>0.75</v>
      </c>
      <c r="E50" s="11">
        <f t="shared" si="1"/>
        <v>0</v>
      </c>
      <c r="H50" s="13"/>
      <c r="I50" s="17">
        <f>IFERROR(__xludf.DUMMYFUNCTION("""COMPUTED_VALUE"""),67)</f>
        <v>67</v>
      </c>
    </row>
    <row r="51" customHeight="1" spans="1:9">
      <c r="A51" s="14">
        <v>49</v>
      </c>
      <c r="B51" s="15">
        <v>11</v>
      </c>
      <c r="C51" s="16">
        <v>7</v>
      </c>
      <c r="D51" s="10">
        <f t="shared" si="0"/>
        <v>0.636363636363636</v>
      </c>
      <c r="E51" s="11">
        <f t="shared" si="1"/>
        <v>0</v>
      </c>
      <c r="H51" s="13"/>
      <c r="I51" s="17">
        <f>IFERROR(__xludf.DUMMYFUNCTION("""COMPUTED_VALUE"""),72)</f>
        <v>72</v>
      </c>
    </row>
    <row r="52" customHeight="1" spans="1:9">
      <c r="A52" s="14">
        <v>50</v>
      </c>
      <c r="B52" s="15">
        <v>17</v>
      </c>
      <c r="C52" s="16">
        <v>14</v>
      </c>
      <c r="D52" s="10">
        <f t="shared" si="0"/>
        <v>0.823529411764706</v>
      </c>
      <c r="E52" s="11">
        <f t="shared" si="1"/>
        <v>0</v>
      </c>
      <c r="H52" s="13"/>
      <c r="I52" s="17">
        <f>IFERROR(__xludf.DUMMYFUNCTION("""COMPUTED_VALUE"""),73)</f>
        <v>73</v>
      </c>
    </row>
    <row r="53" customHeight="1" spans="1:9">
      <c r="A53" s="14">
        <v>51</v>
      </c>
      <c r="B53" s="15">
        <v>14</v>
      </c>
      <c r="C53" s="16">
        <v>11</v>
      </c>
      <c r="D53" s="10">
        <f t="shared" si="0"/>
        <v>0.785714285714286</v>
      </c>
      <c r="E53" s="11">
        <f t="shared" si="1"/>
        <v>0</v>
      </c>
      <c r="H53" s="13"/>
      <c r="I53" s="17">
        <f>IFERROR(__xludf.DUMMYFUNCTION("""COMPUTED_VALUE"""),76)</f>
        <v>76</v>
      </c>
    </row>
    <row r="54" customHeight="1" spans="1:9">
      <c r="A54" s="14">
        <v>52</v>
      </c>
      <c r="B54" s="15">
        <v>13</v>
      </c>
      <c r="C54" s="16">
        <v>10</v>
      </c>
      <c r="D54" s="10">
        <f t="shared" si="0"/>
        <v>0.769230769230769</v>
      </c>
      <c r="E54" s="11">
        <f t="shared" si="1"/>
        <v>0</v>
      </c>
      <c r="H54" s="13"/>
      <c r="I54" s="17">
        <f>IFERROR(__xludf.DUMMYFUNCTION("""COMPUTED_VALUE"""),78)</f>
        <v>78</v>
      </c>
    </row>
    <row r="55" customHeight="1" spans="1:9">
      <c r="A55" s="14">
        <v>53</v>
      </c>
      <c r="B55" s="15">
        <v>16</v>
      </c>
      <c r="C55" s="16">
        <v>13</v>
      </c>
      <c r="D55" s="10">
        <f t="shared" si="0"/>
        <v>0.8125</v>
      </c>
      <c r="E55" s="11">
        <f t="shared" si="1"/>
        <v>0</v>
      </c>
      <c r="H55" s="13"/>
      <c r="I55" s="17">
        <f>IFERROR(__xludf.DUMMYFUNCTION("""COMPUTED_VALUE"""),79)</f>
        <v>79</v>
      </c>
    </row>
    <row r="56" customHeight="1" spans="1:9">
      <c r="A56" s="14">
        <v>54</v>
      </c>
      <c r="B56" s="15">
        <v>14</v>
      </c>
      <c r="C56" s="16">
        <v>9</v>
      </c>
      <c r="D56" s="10">
        <f t="shared" si="0"/>
        <v>0.642857142857143</v>
      </c>
      <c r="E56" s="11">
        <f t="shared" si="1"/>
        <v>0</v>
      </c>
      <c r="H56" s="13"/>
      <c r="I56" s="17">
        <f>IFERROR(__xludf.DUMMYFUNCTION("""COMPUTED_VALUE"""),80)</f>
        <v>80</v>
      </c>
    </row>
    <row r="57" customHeight="1" spans="1:9">
      <c r="A57" s="14">
        <v>55</v>
      </c>
      <c r="B57" s="15">
        <v>13</v>
      </c>
      <c r="C57" s="16">
        <v>12</v>
      </c>
      <c r="D57" s="10">
        <f t="shared" si="0"/>
        <v>0.923076923076923</v>
      </c>
      <c r="E57" s="11">
        <f t="shared" si="1"/>
        <v>0</v>
      </c>
      <c r="H57" s="13"/>
      <c r="I57" s="17">
        <f>IFERROR(__xludf.DUMMYFUNCTION("""COMPUTED_VALUE"""),81)</f>
        <v>81</v>
      </c>
    </row>
    <row r="58" customHeight="1" spans="1:9">
      <c r="A58" s="14">
        <v>56</v>
      </c>
      <c r="B58" s="15">
        <v>20</v>
      </c>
      <c r="C58" s="16">
        <v>20</v>
      </c>
      <c r="D58" s="10">
        <f t="shared" si="0"/>
        <v>1</v>
      </c>
      <c r="E58" s="11">
        <f t="shared" si="1"/>
        <v>1</v>
      </c>
      <c r="H58" s="13"/>
      <c r="I58" s="17">
        <f>IFERROR(__xludf.DUMMYFUNCTION("""COMPUTED_VALUE"""),82)</f>
        <v>82</v>
      </c>
    </row>
    <row r="59" customHeight="1" spans="1:9">
      <c r="A59" s="14">
        <v>57</v>
      </c>
      <c r="B59" s="15">
        <v>16</v>
      </c>
      <c r="C59" s="16">
        <v>15</v>
      </c>
      <c r="D59" s="10">
        <f t="shared" si="0"/>
        <v>0.9375</v>
      </c>
      <c r="E59" s="11">
        <f t="shared" si="1"/>
        <v>0</v>
      </c>
      <c r="H59" s="13"/>
      <c r="I59" s="17">
        <f>IFERROR(__xludf.DUMMYFUNCTION("""COMPUTED_VALUE"""),83)</f>
        <v>83</v>
      </c>
    </row>
    <row r="60" customHeight="1" spans="1:9">
      <c r="A60" s="14">
        <v>58</v>
      </c>
      <c r="B60" s="15">
        <v>16</v>
      </c>
      <c r="C60" s="16">
        <v>16</v>
      </c>
      <c r="D60" s="10">
        <f t="shared" si="0"/>
        <v>1</v>
      </c>
      <c r="E60" s="11">
        <f t="shared" si="1"/>
        <v>1</v>
      </c>
      <c r="H60" s="13"/>
      <c r="I60" s="17">
        <f>IFERROR(__xludf.DUMMYFUNCTION("""COMPUTED_VALUE"""),84)</f>
        <v>84</v>
      </c>
    </row>
    <row r="61" customHeight="1" spans="1:9">
      <c r="A61" s="14">
        <v>59</v>
      </c>
      <c r="B61" s="15">
        <v>15</v>
      </c>
      <c r="C61" s="16">
        <v>15</v>
      </c>
      <c r="D61" s="10">
        <f t="shared" si="0"/>
        <v>1</v>
      </c>
      <c r="E61" s="11">
        <f t="shared" si="1"/>
        <v>1</v>
      </c>
      <c r="H61" s="13"/>
      <c r="I61" s="17">
        <f>IFERROR(__xludf.DUMMYFUNCTION("""COMPUTED_VALUE"""),85)</f>
        <v>85</v>
      </c>
    </row>
    <row r="62" customHeight="1" spans="1:9">
      <c r="A62" s="14">
        <v>60</v>
      </c>
      <c r="B62" s="15">
        <v>17</v>
      </c>
      <c r="C62" s="16">
        <v>16</v>
      </c>
      <c r="D62" s="10">
        <f t="shared" si="0"/>
        <v>0.941176470588235</v>
      </c>
      <c r="E62" s="11">
        <f t="shared" si="1"/>
        <v>0</v>
      </c>
      <c r="H62" s="13"/>
      <c r="I62" s="17">
        <f>IFERROR(__xludf.DUMMYFUNCTION("""COMPUTED_VALUE"""),86)</f>
        <v>86</v>
      </c>
    </row>
    <row r="63" customHeight="1" spans="1:9">
      <c r="A63" s="14">
        <v>61</v>
      </c>
      <c r="B63" s="15">
        <v>18</v>
      </c>
      <c r="C63" s="16">
        <v>18</v>
      </c>
      <c r="D63" s="10">
        <f t="shared" si="0"/>
        <v>1</v>
      </c>
      <c r="E63" s="11">
        <f t="shared" si="1"/>
        <v>1</v>
      </c>
      <c r="H63" s="13"/>
      <c r="I63" s="17">
        <f>IFERROR(__xludf.DUMMYFUNCTION("""COMPUTED_VALUE"""),87)</f>
        <v>87</v>
      </c>
    </row>
    <row r="64" customHeight="1" spans="1:9">
      <c r="A64" s="14">
        <v>62</v>
      </c>
      <c r="B64" s="15">
        <v>9</v>
      </c>
      <c r="C64" s="16">
        <v>7</v>
      </c>
      <c r="D64" s="10">
        <f t="shared" si="0"/>
        <v>0.777777777777778</v>
      </c>
      <c r="E64" s="11">
        <f t="shared" si="1"/>
        <v>0</v>
      </c>
      <c r="H64" s="13"/>
      <c r="I64" s="17">
        <f>IFERROR(__xludf.DUMMYFUNCTION("""COMPUTED_VALUE"""),88)</f>
        <v>88</v>
      </c>
    </row>
    <row r="65" customHeight="1" spans="1:9">
      <c r="A65" s="14">
        <v>63</v>
      </c>
      <c r="B65" s="15">
        <v>19</v>
      </c>
      <c r="C65" s="16">
        <v>18</v>
      </c>
      <c r="D65" s="10">
        <f t="shared" si="0"/>
        <v>0.947368421052632</v>
      </c>
      <c r="E65" s="11">
        <f t="shared" si="1"/>
        <v>0</v>
      </c>
      <c r="H65" s="13"/>
      <c r="I65" s="17">
        <f>IFERROR(__xludf.DUMMYFUNCTION("""COMPUTED_VALUE"""),92)</f>
        <v>92</v>
      </c>
    </row>
    <row r="66" customHeight="1" spans="1:9">
      <c r="A66" s="14">
        <v>64</v>
      </c>
      <c r="B66" s="15">
        <v>11</v>
      </c>
      <c r="C66" s="16">
        <v>11</v>
      </c>
      <c r="D66" s="10">
        <f t="shared" si="0"/>
        <v>1</v>
      </c>
      <c r="E66" s="11">
        <f t="shared" si="1"/>
        <v>1</v>
      </c>
      <c r="H66" s="13"/>
      <c r="I66" s="17">
        <f>IFERROR(__xludf.DUMMYFUNCTION("""COMPUTED_VALUE"""),93)</f>
        <v>93</v>
      </c>
    </row>
    <row r="67" customHeight="1" spans="1:8">
      <c r="A67" s="14">
        <v>65</v>
      </c>
      <c r="B67" s="15">
        <v>17</v>
      </c>
      <c r="C67" s="16">
        <v>17</v>
      </c>
      <c r="D67" s="10">
        <f t="shared" si="0"/>
        <v>1</v>
      </c>
      <c r="E67" s="11">
        <f t="shared" si="1"/>
        <v>1</v>
      </c>
      <c r="H67" s="13"/>
    </row>
    <row r="68" customHeight="1" spans="1:8">
      <c r="A68" s="14">
        <v>66</v>
      </c>
      <c r="B68" s="15">
        <v>13</v>
      </c>
      <c r="C68" s="16">
        <v>9</v>
      </c>
      <c r="D68" s="10">
        <f t="shared" si="0"/>
        <v>0.692307692307692</v>
      </c>
      <c r="E68" s="11">
        <f t="shared" si="1"/>
        <v>0</v>
      </c>
      <c r="H68" s="13"/>
    </row>
    <row r="69" customHeight="1" spans="1:8">
      <c r="A69" s="14">
        <v>67</v>
      </c>
      <c r="B69" s="15">
        <v>16</v>
      </c>
      <c r="C69" s="16">
        <v>16</v>
      </c>
      <c r="D69" s="10">
        <f t="shared" si="0"/>
        <v>1</v>
      </c>
      <c r="E69" s="11">
        <f t="shared" si="1"/>
        <v>1</v>
      </c>
      <c r="H69" s="13"/>
    </row>
    <row r="70" customHeight="1" spans="1:8">
      <c r="A70" s="14">
        <v>68</v>
      </c>
      <c r="B70" s="15">
        <v>14</v>
      </c>
      <c r="C70" s="16">
        <v>13</v>
      </c>
      <c r="D70" s="10">
        <f t="shared" si="0"/>
        <v>0.928571428571429</v>
      </c>
      <c r="E70" s="11">
        <f t="shared" si="1"/>
        <v>0</v>
      </c>
      <c r="H70" s="13"/>
    </row>
    <row r="71" customHeight="1" spans="1:8">
      <c r="A71" s="14">
        <v>69</v>
      </c>
      <c r="B71" s="15">
        <v>10</v>
      </c>
      <c r="C71" s="16">
        <v>9</v>
      </c>
      <c r="D71" s="10">
        <f t="shared" si="0"/>
        <v>0.9</v>
      </c>
      <c r="E71" s="11">
        <f t="shared" si="1"/>
        <v>0</v>
      </c>
      <c r="H71" s="13"/>
    </row>
    <row r="72" customHeight="1" spans="1:8">
      <c r="A72" s="14">
        <v>70</v>
      </c>
      <c r="B72" s="15">
        <v>18</v>
      </c>
      <c r="C72" s="16">
        <v>14</v>
      </c>
      <c r="D72" s="10">
        <f t="shared" si="0"/>
        <v>0.777777777777778</v>
      </c>
      <c r="E72" s="11">
        <f t="shared" si="1"/>
        <v>0</v>
      </c>
      <c r="H72" s="13"/>
    </row>
    <row r="73" customHeight="1" spans="1:8">
      <c r="A73" s="14">
        <v>71</v>
      </c>
      <c r="B73" s="15">
        <v>16</v>
      </c>
      <c r="C73" s="16">
        <v>14</v>
      </c>
      <c r="D73" s="10">
        <f t="shared" si="0"/>
        <v>0.875</v>
      </c>
      <c r="E73" s="11">
        <f t="shared" si="1"/>
        <v>0</v>
      </c>
      <c r="H73" s="13"/>
    </row>
    <row r="74" customHeight="1" spans="1:8">
      <c r="A74" s="14">
        <v>72</v>
      </c>
      <c r="B74" s="15">
        <v>13</v>
      </c>
      <c r="C74" s="16">
        <v>13</v>
      </c>
      <c r="D74" s="10">
        <f t="shared" si="0"/>
        <v>1</v>
      </c>
      <c r="E74" s="11">
        <f t="shared" si="1"/>
        <v>1</v>
      </c>
      <c r="H74" s="13"/>
    </row>
    <row r="75" customHeight="1" spans="1:8">
      <c r="A75" s="14">
        <v>73</v>
      </c>
      <c r="B75" s="15">
        <v>11</v>
      </c>
      <c r="C75" s="16">
        <v>11</v>
      </c>
      <c r="D75" s="10">
        <f t="shared" si="0"/>
        <v>1</v>
      </c>
      <c r="E75" s="11">
        <f t="shared" si="1"/>
        <v>1</v>
      </c>
      <c r="H75" s="13"/>
    </row>
    <row r="76" customHeight="1" spans="1:8">
      <c r="A76" s="14">
        <v>74</v>
      </c>
      <c r="B76" s="15">
        <v>13</v>
      </c>
      <c r="C76" s="16">
        <v>11</v>
      </c>
      <c r="D76" s="10">
        <f t="shared" si="0"/>
        <v>0.846153846153846</v>
      </c>
      <c r="E76" s="11">
        <f t="shared" si="1"/>
        <v>0</v>
      </c>
      <c r="H76" s="13"/>
    </row>
    <row r="77" customHeight="1" spans="1:8">
      <c r="A77" s="14">
        <v>75</v>
      </c>
      <c r="B77" s="15">
        <v>15</v>
      </c>
      <c r="C77" s="16">
        <v>14</v>
      </c>
      <c r="D77" s="10">
        <f t="shared" si="0"/>
        <v>0.933333333333333</v>
      </c>
      <c r="E77" s="11">
        <f t="shared" si="1"/>
        <v>0</v>
      </c>
      <c r="H77" s="13"/>
    </row>
    <row r="78" customHeight="1" spans="1:8">
      <c r="A78" s="14">
        <v>76</v>
      </c>
      <c r="B78" s="15">
        <v>10</v>
      </c>
      <c r="C78" s="16">
        <v>10</v>
      </c>
      <c r="D78" s="10">
        <f t="shared" si="0"/>
        <v>1</v>
      </c>
      <c r="E78" s="11">
        <f t="shared" si="1"/>
        <v>1</v>
      </c>
      <c r="H78" s="13"/>
    </row>
    <row r="79" customHeight="1" spans="1:8">
      <c r="A79" s="14">
        <v>77</v>
      </c>
      <c r="B79" s="15">
        <v>14</v>
      </c>
      <c r="C79" s="16">
        <v>12</v>
      </c>
      <c r="D79" s="10">
        <f t="shared" si="0"/>
        <v>0.857142857142857</v>
      </c>
      <c r="E79" s="11">
        <f t="shared" si="1"/>
        <v>0</v>
      </c>
      <c r="H79" s="13"/>
    </row>
    <row r="80" customHeight="1" spans="1:8">
      <c r="A80" s="14">
        <v>78</v>
      </c>
      <c r="B80" s="15">
        <v>22</v>
      </c>
      <c r="C80" s="16">
        <v>22</v>
      </c>
      <c r="D80" s="10">
        <f t="shared" si="0"/>
        <v>1</v>
      </c>
      <c r="E80" s="11">
        <f t="shared" si="1"/>
        <v>1</v>
      </c>
      <c r="H80" s="13"/>
    </row>
    <row r="81" customHeight="1" spans="1:8">
      <c r="A81" s="14">
        <v>79</v>
      </c>
      <c r="B81" s="15">
        <v>11</v>
      </c>
      <c r="C81" s="16">
        <v>11</v>
      </c>
      <c r="D81" s="10">
        <f t="shared" si="0"/>
        <v>1</v>
      </c>
      <c r="E81" s="11">
        <f t="shared" si="1"/>
        <v>1</v>
      </c>
      <c r="H81" s="13"/>
    </row>
    <row r="82" customHeight="1" spans="1:8">
      <c r="A82" s="14">
        <v>80</v>
      </c>
      <c r="B82" s="15">
        <v>11</v>
      </c>
      <c r="C82" s="16">
        <v>11</v>
      </c>
      <c r="D82" s="10">
        <f t="shared" si="0"/>
        <v>1</v>
      </c>
      <c r="E82" s="11">
        <f t="shared" si="1"/>
        <v>1</v>
      </c>
      <c r="H82" s="13"/>
    </row>
    <row r="83" customHeight="1" spans="1:8">
      <c r="A83" s="14">
        <v>81</v>
      </c>
      <c r="B83" s="15">
        <v>14</v>
      </c>
      <c r="C83" s="16">
        <v>14</v>
      </c>
      <c r="D83" s="10">
        <f t="shared" si="0"/>
        <v>1</v>
      </c>
      <c r="E83" s="11">
        <f t="shared" si="1"/>
        <v>1</v>
      </c>
      <c r="H83" s="13"/>
    </row>
    <row r="84" customHeight="1" spans="1:8">
      <c r="A84" s="14">
        <v>82</v>
      </c>
      <c r="B84" s="15">
        <v>11</v>
      </c>
      <c r="C84" s="16">
        <v>11</v>
      </c>
      <c r="D84" s="10">
        <f t="shared" si="0"/>
        <v>1</v>
      </c>
      <c r="E84" s="11">
        <f t="shared" si="1"/>
        <v>1</v>
      </c>
      <c r="H84" s="13"/>
    </row>
    <row r="85" customHeight="1" spans="1:8">
      <c r="A85" s="14">
        <v>83</v>
      </c>
      <c r="B85" s="15">
        <v>10</v>
      </c>
      <c r="C85" s="16">
        <v>10</v>
      </c>
      <c r="D85" s="10">
        <f t="shared" si="0"/>
        <v>1</v>
      </c>
      <c r="E85" s="11">
        <f t="shared" si="1"/>
        <v>1</v>
      </c>
      <c r="H85" s="13"/>
    </row>
    <row r="86" customHeight="1" spans="1:8">
      <c r="A86" s="14">
        <v>84</v>
      </c>
      <c r="B86" s="15">
        <v>21</v>
      </c>
      <c r="C86" s="16">
        <v>21</v>
      </c>
      <c r="D86" s="10">
        <f t="shared" si="0"/>
        <v>1</v>
      </c>
      <c r="E86" s="11">
        <f t="shared" si="1"/>
        <v>1</v>
      </c>
      <c r="H86" s="13"/>
    </row>
    <row r="87" customHeight="1" spans="1:8">
      <c r="A87" s="14">
        <v>85</v>
      </c>
      <c r="B87" s="15">
        <v>8</v>
      </c>
      <c r="C87" s="16">
        <v>8</v>
      </c>
      <c r="D87" s="10">
        <f t="shared" si="0"/>
        <v>1</v>
      </c>
      <c r="E87" s="11">
        <f t="shared" si="1"/>
        <v>1</v>
      </c>
      <c r="H87" s="13"/>
    </row>
    <row r="88" customHeight="1" spans="1:8">
      <c r="A88" s="14">
        <v>86</v>
      </c>
      <c r="B88" s="15">
        <v>11</v>
      </c>
      <c r="C88" s="16">
        <v>11</v>
      </c>
      <c r="D88" s="10">
        <f t="shared" si="0"/>
        <v>1</v>
      </c>
      <c r="E88" s="11">
        <f t="shared" si="1"/>
        <v>1</v>
      </c>
      <c r="H88" s="13"/>
    </row>
    <row r="89" customHeight="1" spans="1:8">
      <c r="A89" s="14">
        <v>87</v>
      </c>
      <c r="B89" s="15">
        <v>19</v>
      </c>
      <c r="C89" s="16">
        <v>19</v>
      </c>
      <c r="D89" s="10">
        <f t="shared" si="0"/>
        <v>1</v>
      </c>
      <c r="E89" s="11">
        <f t="shared" si="1"/>
        <v>1</v>
      </c>
      <c r="H89" s="13"/>
    </row>
    <row r="90" customHeight="1" spans="1:8">
      <c r="A90" s="14">
        <v>88</v>
      </c>
      <c r="B90" s="15">
        <v>21</v>
      </c>
      <c r="C90" s="16">
        <v>21</v>
      </c>
      <c r="D90" s="10">
        <f t="shared" si="0"/>
        <v>1</v>
      </c>
      <c r="E90" s="11">
        <f t="shared" si="1"/>
        <v>1</v>
      </c>
      <c r="H90" s="13"/>
    </row>
    <row r="91" customHeight="1" spans="1:8">
      <c r="A91" s="14">
        <v>89</v>
      </c>
      <c r="B91" s="15">
        <v>14</v>
      </c>
      <c r="C91" s="16">
        <v>11</v>
      </c>
      <c r="D91" s="10">
        <f t="shared" si="0"/>
        <v>0.785714285714286</v>
      </c>
      <c r="E91" s="11">
        <f t="shared" si="1"/>
        <v>0</v>
      </c>
      <c r="H91" s="13"/>
    </row>
    <row r="92" customHeight="1" spans="1:8">
      <c r="A92" s="14">
        <v>90</v>
      </c>
      <c r="B92" s="15">
        <v>20</v>
      </c>
      <c r="C92" s="16">
        <v>16</v>
      </c>
      <c r="D92" s="10">
        <f t="shared" si="0"/>
        <v>0.8</v>
      </c>
      <c r="E92" s="11">
        <f t="shared" si="1"/>
        <v>0</v>
      </c>
      <c r="H92" s="13"/>
    </row>
    <row r="93" customHeight="1" spans="1:8">
      <c r="A93" s="14">
        <v>91</v>
      </c>
      <c r="B93" s="15">
        <v>14</v>
      </c>
      <c r="C93" s="16">
        <v>9</v>
      </c>
      <c r="D93" s="10">
        <f t="shared" si="0"/>
        <v>0.642857142857143</v>
      </c>
      <c r="E93" s="11">
        <f t="shared" si="1"/>
        <v>0</v>
      </c>
      <c r="H93" s="13"/>
    </row>
    <row r="94" customHeight="1" spans="1:8">
      <c r="A94" s="14">
        <v>92</v>
      </c>
      <c r="B94" s="15">
        <v>12</v>
      </c>
      <c r="C94" s="16">
        <v>12</v>
      </c>
      <c r="D94" s="10">
        <f t="shared" si="0"/>
        <v>1</v>
      </c>
      <c r="E94" s="11">
        <f t="shared" si="1"/>
        <v>1</v>
      </c>
      <c r="H94" s="13"/>
    </row>
    <row r="95" customHeight="1" spans="1:8">
      <c r="A95" s="14">
        <v>93</v>
      </c>
      <c r="B95" s="15">
        <v>21</v>
      </c>
      <c r="C95" s="16">
        <v>21</v>
      </c>
      <c r="D95" s="10">
        <f t="shared" si="0"/>
        <v>1</v>
      </c>
      <c r="E95" s="11">
        <f t="shared" si="1"/>
        <v>1</v>
      </c>
      <c r="H95" s="13"/>
    </row>
    <row r="96" customHeight="1" spans="1:8">
      <c r="A96" s="14">
        <v>94</v>
      </c>
      <c r="B96" s="15">
        <v>21</v>
      </c>
      <c r="C96" s="16">
        <v>19</v>
      </c>
      <c r="D96" s="10">
        <f t="shared" si="0"/>
        <v>0.904761904761905</v>
      </c>
      <c r="E96" s="11">
        <f t="shared" si="1"/>
        <v>0</v>
      </c>
      <c r="H96" s="13"/>
    </row>
    <row r="97" customHeight="1" spans="1:8">
      <c r="A97" s="14">
        <v>95</v>
      </c>
      <c r="B97" s="15">
        <v>13</v>
      </c>
      <c r="C97" s="16">
        <v>11</v>
      </c>
      <c r="D97" s="10">
        <f t="shared" si="0"/>
        <v>0.846153846153846</v>
      </c>
      <c r="E97" s="11">
        <f t="shared" si="1"/>
        <v>0</v>
      </c>
      <c r="H97" s="13"/>
    </row>
    <row r="98" customHeight="1" spans="1:8">
      <c r="A98" s="14">
        <v>96</v>
      </c>
      <c r="B98" s="15">
        <v>12</v>
      </c>
      <c r="C98" s="16">
        <v>9</v>
      </c>
      <c r="D98" s="10">
        <f t="shared" si="0"/>
        <v>0.75</v>
      </c>
      <c r="E98" s="11">
        <f t="shared" si="1"/>
        <v>0</v>
      </c>
      <c r="H98" s="13"/>
    </row>
    <row r="99" customHeight="1" spans="1:8">
      <c r="A99" s="14">
        <v>97</v>
      </c>
      <c r="B99" s="15">
        <v>14</v>
      </c>
      <c r="C99" s="16">
        <v>12</v>
      </c>
      <c r="D99" s="10">
        <f t="shared" si="0"/>
        <v>0.857142857142857</v>
      </c>
      <c r="E99" s="11">
        <f t="shared" si="1"/>
        <v>0</v>
      </c>
      <c r="H99" s="13"/>
    </row>
    <row r="100" customHeight="1" spans="1:8">
      <c r="A100" s="14">
        <v>98</v>
      </c>
      <c r="B100" s="15">
        <v>17</v>
      </c>
      <c r="C100" s="16">
        <v>15</v>
      </c>
      <c r="D100" s="10">
        <f t="shared" si="0"/>
        <v>0.882352941176471</v>
      </c>
      <c r="E100" s="11">
        <f t="shared" si="1"/>
        <v>0</v>
      </c>
      <c r="H100" s="13"/>
    </row>
    <row r="101" customHeight="1" spans="1:8">
      <c r="A101" s="14">
        <v>99</v>
      </c>
      <c r="B101" s="15">
        <v>16</v>
      </c>
      <c r="C101" s="16">
        <v>13</v>
      </c>
      <c r="D101" s="10">
        <f t="shared" si="0"/>
        <v>0.8125</v>
      </c>
      <c r="E101" s="11">
        <f t="shared" si="1"/>
        <v>0</v>
      </c>
      <c r="H101" s="13"/>
    </row>
    <row r="102" customHeight="1" spans="1:8">
      <c r="A102" s="14">
        <v>100</v>
      </c>
      <c r="B102" s="15">
        <v>20</v>
      </c>
      <c r="C102" s="16">
        <v>17</v>
      </c>
      <c r="D102" s="10">
        <f t="shared" si="0"/>
        <v>0.85</v>
      </c>
      <c r="E102" s="11">
        <f t="shared" si="1"/>
        <v>0</v>
      </c>
      <c r="H102" s="13"/>
    </row>
    <row r="103" customHeight="1" spans="1:8">
      <c r="A103" s="18" t="s">
        <v>4431</v>
      </c>
      <c r="B103" s="18">
        <v>1544</v>
      </c>
      <c r="C103" s="19">
        <v>1447</v>
      </c>
      <c r="D103" s="10"/>
      <c r="E103" s="11"/>
      <c r="H103" s="13"/>
    </row>
    <row r="104" customHeight="1" spans="1:8">
      <c r="A104" s="11"/>
      <c r="B104" s="11"/>
      <c r="C104" s="11"/>
      <c r="D104" s="10"/>
      <c r="E104" s="11"/>
      <c r="H104" s="13"/>
    </row>
    <row r="105" customHeight="1" spans="1:8">
      <c r="A105" s="11"/>
      <c r="B105" s="11"/>
      <c r="C105" s="11"/>
      <c r="D105" s="10"/>
      <c r="E105" s="11"/>
      <c r="H105" s="13"/>
    </row>
    <row r="106" customHeight="1" spans="1:8">
      <c r="A106" s="11"/>
      <c r="B106" s="11"/>
      <c r="C106" s="11"/>
      <c r="D106" s="10"/>
      <c r="E106" s="11"/>
      <c r="H106" s="13"/>
    </row>
    <row r="107" customHeight="1" spans="1:8">
      <c r="A107" s="11"/>
      <c r="B107" s="11"/>
      <c r="C107" s="11"/>
      <c r="D107" s="10"/>
      <c r="E107" s="11"/>
      <c r="H107" s="13"/>
    </row>
    <row r="108" customHeight="1" spans="1:8">
      <c r="A108" s="11"/>
      <c r="B108" s="11"/>
      <c r="C108" s="11"/>
      <c r="D108" s="10"/>
      <c r="E108" s="11"/>
      <c r="H108" s="13"/>
    </row>
    <row r="109" customHeight="1" spans="1:8">
      <c r="A109" s="11"/>
      <c r="B109" s="11"/>
      <c r="C109" s="11"/>
      <c r="D109" s="10"/>
      <c r="E109" s="11"/>
      <c r="H109" s="13"/>
    </row>
    <row r="110" customHeight="1" spans="1:8">
      <c r="A110" s="11"/>
      <c r="B110" s="11"/>
      <c r="C110" s="11"/>
      <c r="D110" s="10"/>
      <c r="E110" s="11"/>
      <c r="H110" s="13"/>
    </row>
    <row r="111" customHeight="1" spans="1:8">
      <c r="A111" s="11"/>
      <c r="B111" s="11"/>
      <c r="C111" s="11"/>
      <c r="D111" s="10"/>
      <c r="E111" s="11"/>
      <c r="H111" s="13"/>
    </row>
    <row r="112" customHeight="1" spans="1:8">
      <c r="A112" s="11"/>
      <c r="B112" s="11"/>
      <c r="C112" s="11"/>
      <c r="D112" s="10"/>
      <c r="E112" s="11"/>
      <c r="H112" s="13"/>
    </row>
    <row r="113" customHeight="1" spans="1:8">
      <c r="A113" s="11"/>
      <c r="B113" s="11"/>
      <c r="C113" s="11"/>
      <c r="D113" s="10"/>
      <c r="E113" s="11"/>
      <c r="H113" s="13"/>
    </row>
    <row r="114" customHeight="1" spans="1:8">
      <c r="A114" s="11"/>
      <c r="B114" s="11"/>
      <c r="C114" s="11"/>
      <c r="D114" s="10"/>
      <c r="E114" s="11"/>
      <c r="H114" s="13"/>
    </row>
    <row r="115" customHeight="1" spans="1:8">
      <c r="A115" s="11"/>
      <c r="B115" s="11"/>
      <c r="C115" s="11"/>
      <c r="D115" s="10"/>
      <c r="E115" s="11"/>
      <c r="H115" s="13"/>
    </row>
    <row r="116" customHeight="1" spans="1:8">
      <c r="A116" s="11"/>
      <c r="B116" s="11"/>
      <c r="C116" s="11"/>
      <c r="D116" s="10"/>
      <c r="E116" s="11"/>
      <c r="H116" s="13"/>
    </row>
    <row r="117" customHeight="1" spans="1:8">
      <c r="A117" s="11"/>
      <c r="B117" s="11"/>
      <c r="C117" s="11"/>
      <c r="D117" s="10"/>
      <c r="E117" s="11"/>
      <c r="H117" s="13"/>
    </row>
    <row r="118" customHeight="1" spans="1:8">
      <c r="A118" s="11"/>
      <c r="B118" s="11"/>
      <c r="C118" s="11"/>
      <c r="D118" s="10"/>
      <c r="E118" s="11"/>
      <c r="H118" s="13"/>
    </row>
    <row r="119" customHeight="1" spans="1:8">
      <c r="A119" s="11"/>
      <c r="B119" s="11"/>
      <c r="C119" s="11"/>
      <c r="D119" s="10"/>
      <c r="E119" s="11"/>
      <c r="H119" s="13"/>
    </row>
    <row r="120" customHeight="1" spans="1:8">
      <c r="A120" s="11"/>
      <c r="B120" s="11"/>
      <c r="C120" s="11"/>
      <c r="D120" s="10"/>
      <c r="E120" s="11"/>
      <c r="H120" s="13"/>
    </row>
    <row r="121" customHeight="1" spans="1:8">
      <c r="A121" s="11"/>
      <c r="B121" s="11"/>
      <c r="C121" s="11"/>
      <c r="D121" s="10"/>
      <c r="E121" s="11"/>
      <c r="H121" s="13"/>
    </row>
    <row r="122" customHeight="1" spans="1:8">
      <c r="A122" s="11"/>
      <c r="B122" s="11"/>
      <c r="C122" s="11"/>
      <c r="D122" s="10"/>
      <c r="E122" s="11"/>
      <c r="H122" s="13"/>
    </row>
    <row r="123" customHeight="1" spans="1:8">
      <c r="A123" s="11"/>
      <c r="B123" s="11"/>
      <c r="C123" s="11"/>
      <c r="D123" s="10"/>
      <c r="E123" s="11"/>
      <c r="H123" s="13"/>
    </row>
    <row r="124" customHeight="1" spans="1:8">
      <c r="A124" s="11"/>
      <c r="B124" s="11"/>
      <c r="C124" s="11"/>
      <c r="D124" s="10"/>
      <c r="E124" s="11"/>
      <c r="H124" s="13"/>
    </row>
    <row r="125" customHeight="1" spans="1:8">
      <c r="A125" s="11"/>
      <c r="B125" s="11"/>
      <c r="C125" s="11"/>
      <c r="D125" s="10"/>
      <c r="E125" s="11"/>
      <c r="H125" s="13"/>
    </row>
    <row r="126" customHeight="1" spans="1:8">
      <c r="A126" s="11"/>
      <c r="B126" s="11"/>
      <c r="C126" s="11"/>
      <c r="D126" s="10"/>
      <c r="E126" s="11"/>
      <c r="H126" s="13"/>
    </row>
    <row r="127" customHeight="1" spans="1:8">
      <c r="A127" s="11"/>
      <c r="B127" s="11"/>
      <c r="C127" s="11"/>
      <c r="D127" s="10"/>
      <c r="E127" s="11"/>
      <c r="H127" s="13"/>
    </row>
    <row r="128" customHeight="1" spans="1:8">
      <c r="A128" s="11"/>
      <c r="B128" s="11"/>
      <c r="C128" s="11"/>
      <c r="D128" s="10"/>
      <c r="E128" s="11"/>
      <c r="H128" s="13"/>
    </row>
    <row r="129" customHeight="1" spans="1:8">
      <c r="A129" s="11"/>
      <c r="B129" s="11"/>
      <c r="C129" s="11"/>
      <c r="D129" s="10"/>
      <c r="E129" s="11"/>
      <c r="H129" s="13"/>
    </row>
    <row r="130" customHeight="1" spans="1:8">
      <c r="A130" s="11"/>
      <c r="B130" s="11"/>
      <c r="C130" s="11"/>
      <c r="D130" s="10"/>
      <c r="E130" s="11"/>
      <c r="H130" s="13"/>
    </row>
    <row r="131" customHeight="1" spans="1:8">
      <c r="A131" s="11"/>
      <c r="B131" s="11"/>
      <c r="C131" s="11"/>
      <c r="D131" s="10"/>
      <c r="E131" s="11"/>
      <c r="H131" s="13"/>
    </row>
    <row r="132" customHeight="1" spans="1:8">
      <c r="A132" s="11"/>
      <c r="B132" s="11"/>
      <c r="C132" s="11"/>
      <c r="D132" s="10"/>
      <c r="E132" s="11"/>
      <c r="H132" s="13"/>
    </row>
    <row r="133" customHeight="1" spans="1:8">
      <c r="A133" s="11"/>
      <c r="B133" s="11"/>
      <c r="C133" s="11"/>
      <c r="D133" s="10"/>
      <c r="E133" s="11"/>
      <c r="H133" s="13"/>
    </row>
    <row r="134" customHeight="1" spans="1:8">
      <c r="A134" s="11"/>
      <c r="B134" s="11"/>
      <c r="C134" s="11"/>
      <c r="D134" s="10"/>
      <c r="E134" s="11"/>
      <c r="H134" s="13"/>
    </row>
    <row r="135" customHeight="1" spans="1:8">
      <c r="A135" s="11"/>
      <c r="B135" s="11"/>
      <c r="C135" s="11"/>
      <c r="D135" s="10"/>
      <c r="E135" s="11"/>
      <c r="H135" s="13"/>
    </row>
    <row r="136" customHeight="1" spans="1:8">
      <c r="A136" s="11"/>
      <c r="B136" s="11"/>
      <c r="C136" s="11"/>
      <c r="D136" s="10"/>
      <c r="E136" s="11"/>
      <c r="H136" s="13"/>
    </row>
    <row r="137" customHeight="1" spans="1:8">
      <c r="A137" s="11"/>
      <c r="B137" s="11"/>
      <c r="C137" s="11"/>
      <c r="D137" s="10"/>
      <c r="E137" s="11"/>
      <c r="H137" s="13"/>
    </row>
    <row r="138" customHeight="1" spans="1:8">
      <c r="A138" s="11"/>
      <c r="B138" s="11"/>
      <c r="C138" s="11"/>
      <c r="D138" s="10"/>
      <c r="E138" s="11"/>
      <c r="H138" s="13"/>
    </row>
    <row r="139" customHeight="1" spans="1:8">
      <c r="A139" s="11"/>
      <c r="B139" s="11"/>
      <c r="C139" s="11"/>
      <c r="D139" s="10"/>
      <c r="E139" s="11"/>
      <c r="H139" s="13"/>
    </row>
    <row r="140" customHeight="1" spans="1:8">
      <c r="A140" s="11"/>
      <c r="B140" s="11"/>
      <c r="C140" s="11"/>
      <c r="D140" s="10"/>
      <c r="E140" s="11"/>
      <c r="H140" s="13"/>
    </row>
    <row r="141" customHeight="1" spans="1:8">
      <c r="A141" s="11"/>
      <c r="B141" s="11"/>
      <c r="C141" s="11"/>
      <c r="D141" s="10"/>
      <c r="E141" s="11"/>
      <c r="H141" s="13"/>
    </row>
    <row r="142" customHeight="1" spans="1:8">
      <c r="A142" s="11"/>
      <c r="B142" s="11"/>
      <c r="C142" s="11"/>
      <c r="D142" s="10"/>
      <c r="E142" s="11"/>
      <c r="H142" s="13"/>
    </row>
    <row r="143" customHeight="1" spans="1:8">
      <c r="A143" s="11"/>
      <c r="B143" s="11"/>
      <c r="C143" s="11"/>
      <c r="D143" s="10"/>
      <c r="E143" s="11"/>
      <c r="H143" s="13"/>
    </row>
    <row r="144" customHeight="1" spans="1:8">
      <c r="A144" s="11"/>
      <c r="B144" s="11"/>
      <c r="C144" s="11"/>
      <c r="D144" s="10"/>
      <c r="E144" s="11"/>
      <c r="H144" s="13"/>
    </row>
    <row r="145" customHeight="1" spans="1:8">
      <c r="A145" s="11"/>
      <c r="B145" s="11"/>
      <c r="C145" s="11"/>
      <c r="D145" s="10"/>
      <c r="E145" s="11"/>
      <c r="H145" s="13"/>
    </row>
    <row r="146" customHeight="1" spans="1:8">
      <c r="A146" s="11"/>
      <c r="B146" s="11"/>
      <c r="C146" s="11"/>
      <c r="D146" s="10"/>
      <c r="E146" s="11"/>
      <c r="H146" s="13"/>
    </row>
    <row r="147" customHeight="1" spans="1:8">
      <c r="A147" s="11"/>
      <c r="B147" s="11"/>
      <c r="C147" s="11"/>
      <c r="D147" s="10"/>
      <c r="E147" s="11"/>
      <c r="H147" s="13"/>
    </row>
    <row r="148" customHeight="1" spans="1:8">
      <c r="A148" s="11"/>
      <c r="B148" s="11"/>
      <c r="C148" s="11"/>
      <c r="D148" s="10"/>
      <c r="E148" s="11"/>
      <c r="H148" s="13"/>
    </row>
    <row r="149" customHeight="1" spans="1:8">
      <c r="A149" s="11"/>
      <c r="B149" s="11"/>
      <c r="C149" s="11"/>
      <c r="D149" s="10"/>
      <c r="E149" s="11"/>
      <c r="H149" s="13"/>
    </row>
    <row r="150" customHeight="1" spans="1:8">
      <c r="A150" s="11"/>
      <c r="B150" s="11"/>
      <c r="C150" s="11"/>
      <c r="D150" s="10"/>
      <c r="E150" s="11"/>
      <c r="H150" s="13"/>
    </row>
    <row r="151" customHeight="1" spans="1:8">
      <c r="A151" s="11"/>
      <c r="B151" s="11"/>
      <c r="C151" s="11"/>
      <c r="D151" s="10"/>
      <c r="E151" s="11"/>
      <c r="H151" s="13"/>
    </row>
    <row r="152" customHeight="1" spans="1:8">
      <c r="A152" s="11"/>
      <c r="B152" s="11"/>
      <c r="C152" s="11"/>
      <c r="D152" s="10"/>
      <c r="E152" s="11"/>
      <c r="H152" s="13"/>
    </row>
    <row r="153" customHeight="1" spans="1:8">
      <c r="A153" s="11"/>
      <c r="B153" s="11"/>
      <c r="C153" s="11"/>
      <c r="D153" s="10"/>
      <c r="E153" s="11"/>
      <c r="H153" s="13"/>
    </row>
    <row r="154" customHeight="1" spans="1:8">
      <c r="A154" s="11"/>
      <c r="B154" s="11"/>
      <c r="C154" s="11"/>
      <c r="D154" s="10"/>
      <c r="E154" s="11"/>
      <c r="H154" s="13"/>
    </row>
    <row r="155" customHeight="1" spans="1:8">
      <c r="A155" s="11"/>
      <c r="B155" s="11"/>
      <c r="C155" s="11"/>
      <c r="D155" s="10"/>
      <c r="E155" s="11"/>
      <c r="H155" s="13"/>
    </row>
    <row r="156" customHeight="1" spans="1:8">
      <c r="A156" s="11"/>
      <c r="B156" s="11"/>
      <c r="C156" s="11"/>
      <c r="D156" s="10"/>
      <c r="E156" s="11"/>
      <c r="H156" s="13"/>
    </row>
    <row r="157" customHeight="1" spans="1:8">
      <c r="A157" s="11"/>
      <c r="B157" s="11"/>
      <c r="C157" s="11"/>
      <c r="D157" s="10"/>
      <c r="E157" s="11"/>
      <c r="H157" s="13"/>
    </row>
    <row r="158" customHeight="1" spans="1:8">
      <c r="A158" s="11"/>
      <c r="B158" s="11"/>
      <c r="C158" s="11"/>
      <c r="D158" s="10"/>
      <c r="E158" s="11"/>
      <c r="H158" s="13"/>
    </row>
    <row r="159" customHeight="1" spans="1:8">
      <c r="A159" s="11"/>
      <c r="B159" s="11"/>
      <c r="C159" s="11"/>
      <c r="D159" s="10"/>
      <c r="E159" s="11"/>
      <c r="H159" s="13"/>
    </row>
    <row r="160" customHeight="1" spans="1:8">
      <c r="A160" s="11"/>
      <c r="B160" s="11"/>
      <c r="C160" s="11"/>
      <c r="D160" s="10"/>
      <c r="E160" s="11"/>
      <c r="H160" s="13"/>
    </row>
    <row r="161" customHeight="1" spans="1:8">
      <c r="A161" s="11"/>
      <c r="B161" s="11"/>
      <c r="C161" s="11"/>
      <c r="D161" s="10"/>
      <c r="E161" s="11"/>
      <c r="H161" s="13"/>
    </row>
    <row r="162" customHeight="1" spans="1:8">
      <c r="A162" s="11"/>
      <c r="B162" s="11"/>
      <c r="C162" s="11"/>
      <c r="D162" s="10"/>
      <c r="E162" s="11"/>
      <c r="H162" s="13"/>
    </row>
    <row r="163" customHeight="1" spans="1:8">
      <c r="A163" s="11"/>
      <c r="B163" s="11"/>
      <c r="C163" s="11"/>
      <c r="D163" s="10"/>
      <c r="E163" s="11"/>
      <c r="H163" s="13"/>
    </row>
    <row r="164" customHeight="1" spans="1:8">
      <c r="A164" s="11"/>
      <c r="B164" s="11"/>
      <c r="C164" s="11"/>
      <c r="D164" s="10"/>
      <c r="E164" s="11"/>
      <c r="H164" s="13"/>
    </row>
    <row r="165" customHeight="1" spans="1:8">
      <c r="A165" s="11"/>
      <c r="B165" s="11"/>
      <c r="C165" s="11"/>
      <c r="D165" s="10"/>
      <c r="E165" s="11"/>
      <c r="H165" s="13"/>
    </row>
    <row r="166" customHeight="1" spans="1:8">
      <c r="A166" s="11"/>
      <c r="B166" s="11"/>
      <c r="C166" s="11"/>
      <c r="D166" s="10"/>
      <c r="E166" s="11"/>
      <c r="H166" s="13"/>
    </row>
    <row r="167" customHeight="1" spans="1:8">
      <c r="A167" s="11"/>
      <c r="B167" s="11"/>
      <c r="C167" s="11"/>
      <c r="D167" s="10"/>
      <c r="E167" s="11"/>
      <c r="H167" s="13"/>
    </row>
    <row r="168" customHeight="1" spans="1:8">
      <c r="A168" s="11"/>
      <c r="B168" s="11"/>
      <c r="C168" s="11"/>
      <c r="D168" s="10"/>
      <c r="E168" s="11"/>
      <c r="H168" s="13"/>
    </row>
    <row r="169" customHeight="1" spans="1:8">
      <c r="A169" s="11"/>
      <c r="B169" s="11"/>
      <c r="C169" s="11"/>
      <c r="D169" s="10"/>
      <c r="E169" s="11"/>
      <c r="H169" s="13"/>
    </row>
    <row r="170" customHeight="1" spans="1:8">
      <c r="A170" s="11"/>
      <c r="B170" s="11"/>
      <c r="C170" s="11"/>
      <c r="D170" s="10"/>
      <c r="E170" s="11"/>
      <c r="H170" s="13"/>
    </row>
    <row r="171" customHeight="1" spans="1:8">
      <c r="A171" s="11"/>
      <c r="B171" s="11"/>
      <c r="C171" s="11"/>
      <c r="D171" s="10"/>
      <c r="E171" s="11"/>
      <c r="H171" s="13"/>
    </row>
    <row r="172" customHeight="1" spans="1:8">
      <c r="A172" s="11"/>
      <c r="B172" s="11"/>
      <c r="C172" s="11"/>
      <c r="D172" s="10"/>
      <c r="E172" s="11"/>
      <c r="H172" s="13"/>
    </row>
    <row r="173" customHeight="1" spans="1:8">
      <c r="A173" s="11"/>
      <c r="B173" s="11"/>
      <c r="C173" s="11"/>
      <c r="D173" s="10"/>
      <c r="E173" s="11"/>
      <c r="H173" s="13"/>
    </row>
    <row r="174" customHeight="1" spans="1:8">
      <c r="A174" s="11"/>
      <c r="B174" s="11"/>
      <c r="C174" s="11"/>
      <c r="D174" s="10"/>
      <c r="E174" s="11"/>
      <c r="H174" s="13"/>
    </row>
    <row r="175" customHeight="1" spans="1:8">
      <c r="A175" s="11"/>
      <c r="B175" s="11"/>
      <c r="C175" s="11"/>
      <c r="D175" s="10"/>
      <c r="E175" s="11"/>
      <c r="H175" s="13"/>
    </row>
    <row r="176" customHeight="1" spans="1:8">
      <c r="A176" s="11"/>
      <c r="B176" s="11"/>
      <c r="C176" s="11"/>
      <c r="D176" s="10"/>
      <c r="E176" s="11"/>
      <c r="H176" s="13"/>
    </row>
    <row r="177" customHeight="1" spans="1:8">
      <c r="A177" s="11"/>
      <c r="B177" s="11"/>
      <c r="C177" s="11"/>
      <c r="D177" s="10"/>
      <c r="E177" s="11"/>
      <c r="H177" s="13"/>
    </row>
    <row r="178" customHeight="1" spans="1:8">
      <c r="A178" s="11"/>
      <c r="B178" s="11"/>
      <c r="C178" s="11"/>
      <c r="D178" s="10"/>
      <c r="E178" s="11"/>
      <c r="H178" s="13"/>
    </row>
    <row r="179" customHeight="1" spans="1:8">
      <c r="A179" s="11"/>
      <c r="B179" s="11"/>
      <c r="C179" s="11"/>
      <c r="D179" s="10"/>
      <c r="E179" s="11"/>
      <c r="H179" s="13"/>
    </row>
    <row r="180" customHeight="1" spans="1:8">
      <c r="A180" s="11"/>
      <c r="B180" s="11"/>
      <c r="C180" s="11"/>
      <c r="D180" s="10"/>
      <c r="E180" s="11"/>
      <c r="H180" s="13"/>
    </row>
    <row r="181" customHeight="1" spans="1:8">
      <c r="A181" s="11"/>
      <c r="B181" s="11"/>
      <c r="C181" s="11"/>
      <c r="D181" s="10"/>
      <c r="E181" s="11"/>
      <c r="H181" s="13"/>
    </row>
    <row r="182" customHeight="1" spans="1:8">
      <c r="A182" s="11"/>
      <c r="B182" s="11"/>
      <c r="C182" s="11"/>
      <c r="D182" s="10"/>
      <c r="E182" s="11"/>
      <c r="H182" s="13"/>
    </row>
    <row r="183" customHeight="1" spans="1:8">
      <c r="A183" s="11"/>
      <c r="B183" s="11"/>
      <c r="C183" s="11"/>
      <c r="D183" s="10"/>
      <c r="E183" s="11"/>
      <c r="H183" s="13"/>
    </row>
    <row r="184" customHeight="1" spans="1:8">
      <c r="A184" s="11"/>
      <c r="B184" s="11"/>
      <c r="C184" s="11"/>
      <c r="D184" s="10"/>
      <c r="E184" s="11"/>
      <c r="H184" s="13"/>
    </row>
    <row r="185" customHeight="1" spans="1:8">
      <c r="A185" s="11"/>
      <c r="B185" s="11"/>
      <c r="C185" s="11"/>
      <c r="D185" s="10"/>
      <c r="E185" s="11"/>
      <c r="H185" s="13"/>
    </row>
    <row r="186" customHeight="1" spans="1:8">
      <c r="A186" s="11"/>
      <c r="B186" s="11"/>
      <c r="C186" s="11"/>
      <c r="D186" s="10"/>
      <c r="E186" s="11"/>
      <c r="H186" s="13"/>
    </row>
    <row r="187" customHeight="1" spans="1:8">
      <c r="A187" s="11"/>
      <c r="B187" s="11"/>
      <c r="C187" s="11"/>
      <c r="D187" s="10"/>
      <c r="E187" s="11"/>
      <c r="H187" s="13"/>
    </row>
    <row r="188" customHeight="1" spans="1:8">
      <c r="A188" s="11"/>
      <c r="B188" s="11"/>
      <c r="C188" s="11"/>
      <c r="D188" s="10"/>
      <c r="E188" s="11"/>
      <c r="H188" s="13"/>
    </row>
    <row r="189" customHeight="1" spans="1:8">
      <c r="A189" s="11"/>
      <c r="B189" s="11"/>
      <c r="C189" s="11"/>
      <c r="D189" s="10"/>
      <c r="E189" s="11"/>
      <c r="H189" s="13"/>
    </row>
    <row r="190" customHeight="1" spans="1:8">
      <c r="A190" s="11"/>
      <c r="B190" s="11"/>
      <c r="C190" s="11"/>
      <c r="D190" s="10"/>
      <c r="E190" s="11"/>
      <c r="H190" s="13"/>
    </row>
    <row r="191" customHeight="1" spans="1:8">
      <c r="A191" s="11"/>
      <c r="B191" s="11"/>
      <c r="C191" s="11"/>
      <c r="D191" s="10"/>
      <c r="E191" s="11"/>
      <c r="H191" s="13"/>
    </row>
    <row r="192" customHeight="1" spans="1:8">
      <c r="A192" s="11"/>
      <c r="B192" s="11"/>
      <c r="C192" s="11"/>
      <c r="D192" s="10"/>
      <c r="E192" s="11"/>
      <c r="H192" s="13"/>
    </row>
    <row r="193" customHeight="1" spans="1:8">
      <c r="A193" s="11"/>
      <c r="B193" s="11"/>
      <c r="C193" s="11"/>
      <c r="D193" s="10"/>
      <c r="E193" s="11"/>
      <c r="H193" s="13"/>
    </row>
    <row r="194" customHeight="1" spans="1:8">
      <c r="A194" s="11"/>
      <c r="B194" s="11"/>
      <c r="C194" s="11"/>
      <c r="D194" s="10"/>
      <c r="E194" s="11"/>
      <c r="H194" s="13"/>
    </row>
    <row r="195" customHeight="1" spans="1:8">
      <c r="A195" s="11"/>
      <c r="B195" s="11"/>
      <c r="C195" s="11"/>
      <c r="D195" s="10"/>
      <c r="E195" s="11"/>
      <c r="H195" s="13"/>
    </row>
    <row r="196" customHeight="1" spans="1:8">
      <c r="A196" s="11"/>
      <c r="B196" s="11"/>
      <c r="C196" s="11"/>
      <c r="D196" s="10"/>
      <c r="E196" s="11"/>
      <c r="H196" s="13"/>
    </row>
    <row r="197" customHeight="1" spans="1:8">
      <c r="A197" s="11"/>
      <c r="B197" s="11"/>
      <c r="C197" s="11"/>
      <c r="D197" s="10"/>
      <c r="E197" s="11"/>
      <c r="H197" s="13"/>
    </row>
    <row r="198" customHeight="1" spans="1:8">
      <c r="A198" s="11"/>
      <c r="B198" s="11"/>
      <c r="C198" s="11"/>
      <c r="D198" s="10"/>
      <c r="E198" s="11"/>
      <c r="H198" s="13"/>
    </row>
    <row r="199" customHeight="1" spans="1:8">
      <c r="A199" s="11"/>
      <c r="B199" s="11"/>
      <c r="C199" s="11"/>
      <c r="D199" s="10"/>
      <c r="E199" s="11"/>
      <c r="H199" s="13"/>
    </row>
    <row r="200" customHeight="1" spans="1:8">
      <c r="A200" s="11"/>
      <c r="B200" s="11"/>
      <c r="C200" s="11"/>
      <c r="D200" s="10"/>
      <c r="E200" s="11"/>
      <c r="H200" s="13"/>
    </row>
    <row r="201" customHeight="1" spans="1:8">
      <c r="A201" s="11"/>
      <c r="B201" s="11"/>
      <c r="C201" s="11"/>
      <c r="D201" s="10"/>
      <c r="E201" s="11"/>
      <c r="H201" s="13"/>
    </row>
    <row r="202" customHeight="1" spans="1:8">
      <c r="A202" s="11"/>
      <c r="B202" s="11"/>
      <c r="C202" s="11"/>
      <c r="D202" s="10"/>
      <c r="E202" s="11"/>
      <c r="H202" s="13"/>
    </row>
    <row r="203" customHeight="1" spans="1:8">
      <c r="A203" s="11"/>
      <c r="B203" s="11"/>
      <c r="C203" s="11"/>
      <c r="D203" s="10"/>
      <c r="E203" s="11"/>
      <c r="H203" s="13"/>
    </row>
    <row r="204" customHeight="1" spans="1:8">
      <c r="A204" s="11"/>
      <c r="B204" s="11"/>
      <c r="C204" s="11"/>
      <c r="D204" s="10"/>
      <c r="E204" s="11"/>
      <c r="H204" s="13"/>
    </row>
    <row r="205" customHeight="1" spans="1:8">
      <c r="A205" s="11"/>
      <c r="B205" s="11"/>
      <c r="C205" s="11"/>
      <c r="D205" s="10"/>
      <c r="E205" s="11"/>
      <c r="H205" s="13"/>
    </row>
    <row r="206" customHeight="1" spans="1:8">
      <c r="A206" s="11"/>
      <c r="B206" s="11"/>
      <c r="C206" s="11"/>
      <c r="D206" s="10"/>
      <c r="E206" s="11"/>
      <c r="H206" s="13"/>
    </row>
    <row r="207" customHeight="1" spans="1:8">
      <c r="A207" s="11"/>
      <c r="B207" s="11"/>
      <c r="C207" s="11"/>
      <c r="D207" s="10"/>
      <c r="E207" s="11"/>
      <c r="H207" s="13"/>
    </row>
    <row r="208" customHeight="1" spans="1:8">
      <c r="A208" s="11"/>
      <c r="B208" s="11"/>
      <c r="C208" s="11"/>
      <c r="D208" s="10"/>
      <c r="E208" s="11"/>
      <c r="H208" s="13"/>
    </row>
    <row r="209" customHeight="1" spans="1:8">
      <c r="A209" s="11"/>
      <c r="B209" s="11"/>
      <c r="C209" s="11"/>
      <c r="D209" s="10"/>
      <c r="E209" s="11"/>
      <c r="H209" s="13"/>
    </row>
    <row r="210" customHeight="1" spans="1:8">
      <c r="A210" s="11"/>
      <c r="B210" s="11"/>
      <c r="C210" s="11"/>
      <c r="D210" s="10"/>
      <c r="E210" s="11"/>
      <c r="H210" s="13"/>
    </row>
    <row r="211" customHeight="1" spans="1:8">
      <c r="A211" s="11"/>
      <c r="B211" s="11"/>
      <c r="C211" s="11"/>
      <c r="D211" s="10"/>
      <c r="E211" s="11"/>
      <c r="H211" s="13"/>
    </row>
    <row r="212" customHeight="1" spans="1:8">
      <c r="A212" s="11"/>
      <c r="B212" s="11"/>
      <c r="C212" s="11"/>
      <c r="D212" s="10"/>
      <c r="E212" s="11"/>
      <c r="H212" s="13"/>
    </row>
    <row r="213" customHeight="1" spans="1:8">
      <c r="A213" s="11"/>
      <c r="B213" s="11"/>
      <c r="C213" s="11"/>
      <c r="D213" s="10"/>
      <c r="E213" s="11"/>
      <c r="H213" s="13"/>
    </row>
    <row r="214" customHeight="1" spans="1:8">
      <c r="A214" s="11"/>
      <c r="B214" s="11"/>
      <c r="C214" s="11"/>
      <c r="D214" s="10"/>
      <c r="E214" s="11"/>
      <c r="H214" s="13"/>
    </row>
    <row r="215" customHeight="1" spans="1:8">
      <c r="A215" s="11"/>
      <c r="B215" s="11"/>
      <c r="C215" s="11"/>
      <c r="D215" s="10"/>
      <c r="E215" s="11"/>
      <c r="H215" s="13"/>
    </row>
    <row r="216" customHeight="1" spans="1:8">
      <c r="A216" s="11"/>
      <c r="B216" s="11"/>
      <c r="C216" s="11"/>
      <c r="D216" s="10"/>
      <c r="E216" s="11"/>
      <c r="H216" s="13"/>
    </row>
    <row r="217" customHeight="1" spans="1:8">
      <c r="A217" s="11"/>
      <c r="B217" s="11"/>
      <c r="C217" s="11"/>
      <c r="D217" s="10"/>
      <c r="E217" s="11"/>
      <c r="H217" s="13"/>
    </row>
    <row r="218" customHeight="1" spans="1:8">
      <c r="A218" s="11"/>
      <c r="B218" s="11"/>
      <c r="C218" s="11"/>
      <c r="D218" s="10"/>
      <c r="E218" s="11"/>
      <c r="H218" s="13"/>
    </row>
    <row r="219" customHeight="1" spans="1:8">
      <c r="A219" s="11"/>
      <c r="B219" s="11"/>
      <c r="C219" s="11"/>
      <c r="D219" s="10"/>
      <c r="E219" s="11"/>
      <c r="H219" s="13"/>
    </row>
    <row r="220" customHeight="1" spans="1:8">
      <c r="A220" s="11"/>
      <c r="B220" s="11"/>
      <c r="C220" s="11"/>
      <c r="D220" s="10"/>
      <c r="E220" s="11"/>
      <c r="H220" s="13"/>
    </row>
    <row r="221" customHeight="1" spans="1:8">
      <c r="A221" s="11"/>
      <c r="B221" s="11"/>
      <c r="C221" s="11"/>
      <c r="D221" s="10"/>
      <c r="E221" s="11"/>
      <c r="H221" s="13"/>
    </row>
    <row r="222" customHeight="1" spans="1:8">
      <c r="A222" s="11"/>
      <c r="B222" s="11"/>
      <c r="C222" s="11"/>
      <c r="D222" s="10"/>
      <c r="E222" s="11"/>
      <c r="H222" s="13"/>
    </row>
    <row r="223" customHeight="1" spans="1:8">
      <c r="A223" s="11"/>
      <c r="B223" s="11"/>
      <c r="C223" s="11"/>
      <c r="D223" s="10"/>
      <c r="E223" s="11"/>
      <c r="H223" s="13"/>
    </row>
    <row r="224" customHeight="1" spans="1:8">
      <c r="A224" s="11"/>
      <c r="B224" s="11"/>
      <c r="C224" s="11"/>
      <c r="D224" s="10"/>
      <c r="E224" s="11"/>
      <c r="H224" s="13"/>
    </row>
    <row r="225" customHeight="1" spans="1:8">
      <c r="A225" s="11"/>
      <c r="B225" s="11"/>
      <c r="C225" s="11"/>
      <c r="D225" s="10"/>
      <c r="E225" s="11"/>
      <c r="H225" s="13"/>
    </row>
    <row r="226" customHeight="1" spans="1:8">
      <c r="A226" s="11"/>
      <c r="B226" s="11"/>
      <c r="C226" s="11"/>
      <c r="D226" s="10"/>
      <c r="E226" s="11"/>
      <c r="H226" s="13"/>
    </row>
    <row r="227" customHeight="1" spans="1:8">
      <c r="A227" s="11"/>
      <c r="B227" s="11"/>
      <c r="C227" s="11"/>
      <c r="D227" s="10"/>
      <c r="E227" s="11"/>
      <c r="H227" s="13"/>
    </row>
    <row r="228" customHeight="1" spans="1:8">
      <c r="A228" s="11"/>
      <c r="B228" s="11"/>
      <c r="C228" s="11"/>
      <c r="D228" s="10"/>
      <c r="E228" s="11"/>
      <c r="H228" s="13"/>
    </row>
    <row r="229" customHeight="1" spans="1:8">
      <c r="A229" s="11"/>
      <c r="B229" s="11"/>
      <c r="C229" s="11"/>
      <c r="D229" s="10"/>
      <c r="E229" s="11"/>
      <c r="H229" s="13"/>
    </row>
    <row r="230" customHeight="1" spans="1:8">
      <c r="A230" s="11"/>
      <c r="B230" s="11"/>
      <c r="C230" s="11"/>
      <c r="D230" s="10"/>
      <c r="E230" s="11"/>
      <c r="H230" s="13"/>
    </row>
    <row r="231" customHeight="1" spans="1:8">
      <c r="A231" s="11"/>
      <c r="B231" s="11"/>
      <c r="C231" s="11"/>
      <c r="D231" s="10"/>
      <c r="E231" s="11"/>
      <c r="H231" s="13"/>
    </row>
    <row r="232" customHeight="1" spans="1:8">
      <c r="A232" s="11"/>
      <c r="B232" s="11"/>
      <c r="C232" s="11"/>
      <c r="D232" s="10"/>
      <c r="E232" s="11"/>
      <c r="H232" s="13"/>
    </row>
    <row r="233" customHeight="1" spans="1:8">
      <c r="A233" s="11"/>
      <c r="B233" s="11"/>
      <c r="C233" s="11"/>
      <c r="D233" s="10"/>
      <c r="E233" s="11"/>
      <c r="H233" s="13"/>
    </row>
    <row r="234" customHeight="1" spans="1:8">
      <c r="A234" s="11"/>
      <c r="B234" s="11"/>
      <c r="C234" s="11"/>
      <c r="D234" s="10"/>
      <c r="E234" s="11"/>
      <c r="H234" s="13"/>
    </row>
    <row r="235" customHeight="1" spans="1:8">
      <c r="A235" s="11"/>
      <c r="B235" s="11"/>
      <c r="C235" s="11"/>
      <c r="D235" s="10"/>
      <c r="E235" s="11"/>
      <c r="H235" s="13"/>
    </row>
    <row r="236" customHeight="1" spans="1:8">
      <c r="A236" s="11"/>
      <c r="B236" s="11"/>
      <c r="C236" s="11"/>
      <c r="D236" s="10"/>
      <c r="E236" s="11"/>
      <c r="H236" s="13"/>
    </row>
    <row r="237" customHeight="1" spans="1:8">
      <c r="A237" s="11"/>
      <c r="B237" s="11"/>
      <c r="C237" s="11"/>
      <c r="D237" s="10"/>
      <c r="E237" s="11"/>
      <c r="H237" s="13"/>
    </row>
    <row r="238" customHeight="1" spans="1:8">
      <c r="A238" s="11"/>
      <c r="B238" s="11"/>
      <c r="C238" s="11"/>
      <c r="D238" s="10"/>
      <c r="E238" s="11"/>
      <c r="H238" s="13"/>
    </row>
    <row r="239" customHeight="1" spans="1:8">
      <c r="A239" s="11"/>
      <c r="B239" s="11"/>
      <c r="C239" s="11"/>
      <c r="D239" s="10"/>
      <c r="E239" s="11"/>
      <c r="H239" s="13"/>
    </row>
    <row r="240" customHeight="1" spans="1:8">
      <c r="A240" s="11"/>
      <c r="B240" s="11"/>
      <c r="C240" s="11"/>
      <c r="D240" s="10"/>
      <c r="E240" s="11"/>
      <c r="H240" s="13"/>
    </row>
    <row r="241" customHeight="1" spans="1:8">
      <c r="A241" s="11"/>
      <c r="B241" s="11"/>
      <c r="C241" s="11"/>
      <c r="D241" s="10"/>
      <c r="E241" s="11"/>
      <c r="H241" s="13"/>
    </row>
    <row r="242" customHeight="1" spans="1:8">
      <c r="A242" s="11"/>
      <c r="B242" s="11"/>
      <c r="C242" s="11"/>
      <c r="D242" s="10"/>
      <c r="E242" s="11"/>
      <c r="H242" s="13"/>
    </row>
    <row r="243" customHeight="1" spans="1:8">
      <c r="A243" s="11"/>
      <c r="B243" s="11"/>
      <c r="C243" s="11"/>
      <c r="D243" s="10"/>
      <c r="E243" s="11"/>
      <c r="H243" s="13"/>
    </row>
    <row r="244" customHeight="1" spans="1:8">
      <c r="A244" s="11"/>
      <c r="B244" s="11"/>
      <c r="C244" s="11"/>
      <c r="D244" s="10"/>
      <c r="E244" s="11"/>
      <c r="H244" s="13"/>
    </row>
    <row r="245" customHeight="1" spans="1:8">
      <c r="A245" s="11"/>
      <c r="B245" s="11"/>
      <c r="C245" s="11"/>
      <c r="D245" s="10"/>
      <c r="E245" s="11"/>
      <c r="H245" s="13"/>
    </row>
    <row r="246" customHeight="1" spans="1:8">
      <c r="A246" s="11"/>
      <c r="B246" s="11"/>
      <c r="C246" s="11"/>
      <c r="D246" s="10"/>
      <c r="E246" s="11"/>
      <c r="H246" s="13"/>
    </row>
    <row r="247" customHeight="1" spans="1:8">
      <c r="A247" s="11"/>
      <c r="B247" s="11"/>
      <c r="C247" s="11"/>
      <c r="D247" s="10"/>
      <c r="E247" s="11"/>
      <c r="H247" s="13"/>
    </row>
    <row r="248" customHeight="1" spans="1:8">
      <c r="A248" s="11"/>
      <c r="B248" s="11"/>
      <c r="C248" s="11"/>
      <c r="D248" s="10"/>
      <c r="E248" s="11"/>
      <c r="H248" s="13"/>
    </row>
    <row r="249" customHeight="1" spans="1:8">
      <c r="A249" s="11"/>
      <c r="B249" s="11"/>
      <c r="C249" s="11"/>
      <c r="D249" s="10"/>
      <c r="E249" s="11"/>
      <c r="H249" s="13"/>
    </row>
    <row r="250" customHeight="1" spans="1:8">
      <c r="A250" s="11"/>
      <c r="B250" s="11"/>
      <c r="C250" s="11"/>
      <c r="D250" s="10"/>
      <c r="E250" s="11"/>
      <c r="H250" s="13"/>
    </row>
    <row r="251" customHeight="1" spans="1:8">
      <c r="A251" s="11"/>
      <c r="B251" s="11"/>
      <c r="C251" s="11"/>
      <c r="D251" s="10"/>
      <c r="E251" s="11"/>
      <c r="H251" s="13"/>
    </row>
    <row r="252" customHeight="1" spans="1:8">
      <c r="A252" s="11"/>
      <c r="B252" s="11"/>
      <c r="C252" s="11"/>
      <c r="D252" s="10"/>
      <c r="E252" s="11"/>
      <c r="H252" s="13"/>
    </row>
    <row r="253" customHeight="1" spans="1:8">
      <c r="A253" s="11"/>
      <c r="B253" s="11"/>
      <c r="C253" s="11"/>
      <c r="D253" s="10"/>
      <c r="E253" s="11"/>
      <c r="H253" s="13"/>
    </row>
    <row r="254" customHeight="1" spans="1:8">
      <c r="A254" s="11"/>
      <c r="B254" s="11"/>
      <c r="C254" s="11"/>
      <c r="D254" s="10"/>
      <c r="E254" s="11"/>
      <c r="H254" s="13"/>
    </row>
    <row r="255" customHeight="1" spans="1:8">
      <c r="A255" s="11"/>
      <c r="B255" s="11"/>
      <c r="C255" s="11"/>
      <c r="D255" s="10"/>
      <c r="E255" s="11"/>
      <c r="H255" s="13"/>
    </row>
    <row r="256" customHeight="1" spans="1:8">
      <c r="A256" s="11"/>
      <c r="B256" s="11"/>
      <c r="C256" s="11"/>
      <c r="D256" s="10"/>
      <c r="E256" s="11"/>
      <c r="H256" s="13"/>
    </row>
    <row r="257" customHeight="1" spans="1:8">
      <c r="A257" s="11"/>
      <c r="B257" s="11"/>
      <c r="C257" s="11"/>
      <c r="D257" s="10"/>
      <c r="E257" s="11"/>
      <c r="H257" s="13"/>
    </row>
    <row r="258" customHeight="1" spans="1:8">
      <c r="A258" s="11"/>
      <c r="B258" s="11"/>
      <c r="C258" s="11"/>
      <c r="D258" s="10"/>
      <c r="E258" s="11"/>
      <c r="H258" s="13"/>
    </row>
    <row r="259" customHeight="1" spans="1:8">
      <c r="A259" s="11"/>
      <c r="B259" s="11"/>
      <c r="C259" s="11"/>
      <c r="D259" s="10"/>
      <c r="E259" s="11"/>
      <c r="H259" s="13"/>
    </row>
    <row r="260" customHeight="1" spans="1:8">
      <c r="A260" s="11"/>
      <c r="B260" s="11"/>
      <c r="C260" s="11"/>
      <c r="D260" s="10"/>
      <c r="E260" s="11"/>
      <c r="H260" s="13"/>
    </row>
    <row r="261" customHeight="1" spans="1:8">
      <c r="A261" s="11"/>
      <c r="B261" s="11"/>
      <c r="C261" s="11"/>
      <c r="D261" s="10"/>
      <c r="E261" s="11"/>
      <c r="H261" s="13"/>
    </row>
    <row r="262" customHeight="1" spans="1:8">
      <c r="A262" s="11"/>
      <c r="B262" s="11"/>
      <c r="C262" s="11"/>
      <c r="D262" s="10"/>
      <c r="E262" s="11"/>
      <c r="H262" s="13"/>
    </row>
    <row r="263" customHeight="1" spans="1:8">
      <c r="A263" s="11"/>
      <c r="B263" s="11"/>
      <c r="C263" s="11"/>
      <c r="D263" s="10"/>
      <c r="E263" s="11"/>
      <c r="H263" s="13"/>
    </row>
    <row r="264" customHeight="1" spans="1:8">
      <c r="A264" s="11"/>
      <c r="B264" s="11"/>
      <c r="C264" s="11"/>
      <c r="D264" s="10"/>
      <c r="E264" s="11"/>
      <c r="H264" s="13"/>
    </row>
    <row r="265" customHeight="1" spans="1:8">
      <c r="A265" s="11"/>
      <c r="B265" s="11"/>
      <c r="C265" s="11"/>
      <c r="D265" s="10"/>
      <c r="E265" s="11"/>
      <c r="H265" s="13"/>
    </row>
    <row r="266" customHeight="1" spans="1:8">
      <c r="A266" s="11"/>
      <c r="B266" s="11"/>
      <c r="C266" s="11"/>
      <c r="D266" s="10"/>
      <c r="E266" s="11"/>
      <c r="H266" s="13"/>
    </row>
    <row r="267" customHeight="1" spans="1:8">
      <c r="A267" s="11"/>
      <c r="B267" s="11"/>
      <c r="C267" s="11"/>
      <c r="D267" s="10"/>
      <c r="E267" s="11"/>
      <c r="H267" s="13"/>
    </row>
    <row r="268" customHeight="1" spans="1:8">
      <c r="A268" s="11"/>
      <c r="B268" s="11"/>
      <c r="C268" s="11"/>
      <c r="D268" s="10"/>
      <c r="E268" s="11"/>
      <c r="H268" s="13"/>
    </row>
    <row r="269" customHeight="1" spans="1:8">
      <c r="A269" s="11"/>
      <c r="B269" s="11"/>
      <c r="C269" s="11"/>
      <c r="D269" s="10"/>
      <c r="E269" s="11"/>
      <c r="H269" s="13"/>
    </row>
    <row r="270" customHeight="1" spans="1:8">
      <c r="A270" s="11"/>
      <c r="B270" s="11"/>
      <c r="C270" s="11"/>
      <c r="D270" s="10"/>
      <c r="E270" s="11"/>
      <c r="H270" s="13"/>
    </row>
    <row r="271" customHeight="1" spans="1:8">
      <c r="A271" s="11"/>
      <c r="B271" s="11"/>
      <c r="C271" s="11"/>
      <c r="D271" s="10"/>
      <c r="E271" s="11"/>
      <c r="H271" s="13"/>
    </row>
    <row r="272" customHeight="1" spans="1:8">
      <c r="A272" s="11"/>
      <c r="B272" s="11"/>
      <c r="C272" s="11"/>
      <c r="D272" s="10"/>
      <c r="E272" s="11"/>
      <c r="H272" s="13"/>
    </row>
    <row r="273" customHeight="1" spans="1:8">
      <c r="A273" s="11"/>
      <c r="B273" s="11"/>
      <c r="C273" s="11"/>
      <c r="D273" s="10"/>
      <c r="E273" s="11"/>
      <c r="H273" s="13"/>
    </row>
    <row r="274" customHeight="1" spans="1:8">
      <c r="A274" s="11"/>
      <c r="B274" s="11"/>
      <c r="C274" s="11"/>
      <c r="D274" s="10"/>
      <c r="E274" s="11"/>
      <c r="H274" s="13"/>
    </row>
    <row r="275" customHeight="1" spans="1:8">
      <c r="A275" s="11"/>
      <c r="B275" s="11"/>
      <c r="C275" s="11"/>
      <c r="D275" s="10"/>
      <c r="E275" s="11"/>
      <c r="H275" s="13"/>
    </row>
    <row r="276" customHeight="1" spans="1:8">
      <c r="A276" s="11"/>
      <c r="B276" s="11"/>
      <c r="C276" s="11"/>
      <c r="D276" s="10"/>
      <c r="E276" s="11"/>
      <c r="H276" s="13"/>
    </row>
    <row r="277" customHeight="1" spans="1:8">
      <c r="A277" s="11"/>
      <c r="B277" s="11"/>
      <c r="C277" s="11"/>
      <c r="D277" s="10"/>
      <c r="E277" s="11"/>
      <c r="H277" s="13"/>
    </row>
    <row r="278" customHeight="1" spans="1:8">
      <c r="A278" s="11"/>
      <c r="B278" s="11"/>
      <c r="C278" s="11"/>
      <c r="D278" s="10"/>
      <c r="E278" s="11"/>
      <c r="H278" s="13"/>
    </row>
    <row r="279" customHeight="1" spans="1:8">
      <c r="A279" s="11"/>
      <c r="B279" s="11"/>
      <c r="C279" s="11"/>
      <c r="D279" s="10"/>
      <c r="E279" s="11"/>
      <c r="H279" s="13"/>
    </row>
    <row r="280" customHeight="1" spans="1:8">
      <c r="A280" s="11"/>
      <c r="B280" s="11"/>
      <c r="C280" s="11"/>
      <c r="D280" s="10"/>
      <c r="E280" s="11"/>
      <c r="H280" s="13"/>
    </row>
    <row r="281" customHeight="1" spans="1:8">
      <c r="A281" s="11"/>
      <c r="B281" s="11"/>
      <c r="C281" s="11"/>
      <c r="D281" s="10"/>
      <c r="E281" s="11"/>
      <c r="H281" s="13"/>
    </row>
    <row r="282" customHeight="1" spans="1:8">
      <c r="A282" s="11"/>
      <c r="B282" s="11"/>
      <c r="C282" s="11"/>
      <c r="D282" s="10"/>
      <c r="E282" s="11"/>
      <c r="H282" s="13"/>
    </row>
    <row r="283" customHeight="1" spans="1:8">
      <c r="A283" s="11"/>
      <c r="B283" s="11"/>
      <c r="C283" s="11"/>
      <c r="D283" s="10"/>
      <c r="E283" s="11"/>
      <c r="H283" s="13"/>
    </row>
    <row r="284" customHeight="1" spans="1:8">
      <c r="A284" s="11"/>
      <c r="B284" s="11"/>
      <c r="C284" s="11"/>
      <c r="D284" s="10"/>
      <c r="E284" s="11"/>
      <c r="H284" s="13"/>
    </row>
    <row r="285" customHeight="1" spans="1:8">
      <c r="A285" s="11"/>
      <c r="B285" s="11"/>
      <c r="C285" s="11"/>
      <c r="D285" s="10"/>
      <c r="E285" s="11"/>
      <c r="H285" s="13"/>
    </row>
    <row r="286" customHeight="1" spans="1:8">
      <c r="A286" s="11"/>
      <c r="B286" s="11"/>
      <c r="C286" s="11"/>
      <c r="D286" s="10"/>
      <c r="E286" s="11"/>
      <c r="H286" s="13"/>
    </row>
    <row r="287" customHeight="1" spans="1:8">
      <c r="A287" s="11"/>
      <c r="B287" s="11"/>
      <c r="C287" s="11"/>
      <c r="D287" s="10"/>
      <c r="E287" s="11"/>
      <c r="H287" s="13"/>
    </row>
    <row r="288" customHeight="1" spans="1:8">
      <c r="A288" s="11"/>
      <c r="B288" s="11"/>
      <c r="C288" s="11"/>
      <c r="D288" s="10"/>
      <c r="E288" s="11"/>
      <c r="H288" s="13"/>
    </row>
    <row r="289" customHeight="1" spans="1:8">
      <c r="A289" s="11"/>
      <c r="B289" s="11"/>
      <c r="C289" s="11"/>
      <c r="D289" s="10"/>
      <c r="E289" s="11"/>
      <c r="H289" s="13"/>
    </row>
    <row r="290" customHeight="1" spans="1:8">
      <c r="A290" s="11"/>
      <c r="B290" s="11"/>
      <c r="C290" s="11"/>
      <c r="D290" s="10"/>
      <c r="E290" s="11"/>
      <c r="H290" s="13"/>
    </row>
    <row r="291" customHeight="1" spans="1:8">
      <c r="A291" s="11"/>
      <c r="B291" s="11"/>
      <c r="C291" s="11"/>
      <c r="D291" s="10"/>
      <c r="E291" s="11"/>
      <c r="H291" s="13"/>
    </row>
    <row r="292" customHeight="1" spans="1:8">
      <c r="A292" s="11"/>
      <c r="B292" s="11"/>
      <c r="C292" s="11"/>
      <c r="D292" s="10"/>
      <c r="E292" s="11"/>
      <c r="H292" s="13"/>
    </row>
    <row r="293" customHeight="1" spans="1:8">
      <c r="A293" s="11"/>
      <c r="B293" s="11"/>
      <c r="C293" s="11"/>
      <c r="D293" s="10"/>
      <c r="E293" s="11"/>
      <c r="H293" s="13"/>
    </row>
    <row r="294" customHeight="1" spans="1:8">
      <c r="A294" s="11"/>
      <c r="B294" s="11"/>
      <c r="C294" s="11"/>
      <c r="D294" s="10"/>
      <c r="E294" s="11"/>
      <c r="H294" s="13"/>
    </row>
    <row r="295" customHeight="1" spans="1:8">
      <c r="A295" s="11"/>
      <c r="B295" s="11"/>
      <c r="C295" s="11"/>
      <c r="D295" s="10"/>
      <c r="E295" s="11"/>
      <c r="H295" s="13"/>
    </row>
    <row r="296" customHeight="1" spans="1:8">
      <c r="A296" s="11"/>
      <c r="B296" s="11"/>
      <c r="C296" s="11"/>
      <c r="D296" s="10"/>
      <c r="E296" s="11"/>
      <c r="H296" s="13"/>
    </row>
    <row r="297" customHeight="1" spans="1:8">
      <c r="A297" s="11"/>
      <c r="B297" s="11"/>
      <c r="C297" s="11"/>
      <c r="D297" s="10"/>
      <c r="E297" s="11"/>
      <c r="H297" s="13"/>
    </row>
    <row r="298" customHeight="1" spans="1:8">
      <c r="A298" s="11"/>
      <c r="B298" s="11"/>
      <c r="C298" s="11"/>
      <c r="D298" s="10"/>
      <c r="E298" s="11"/>
      <c r="H298" s="13"/>
    </row>
    <row r="299" customHeight="1" spans="1:8">
      <c r="A299" s="11"/>
      <c r="B299" s="11"/>
      <c r="C299" s="11"/>
      <c r="D299" s="10"/>
      <c r="E299" s="11"/>
      <c r="H299" s="13"/>
    </row>
    <row r="300" customHeight="1" spans="1:8">
      <c r="A300" s="11"/>
      <c r="B300" s="11"/>
      <c r="C300" s="11"/>
      <c r="D300" s="10"/>
      <c r="E300" s="11"/>
      <c r="H300" s="13"/>
    </row>
    <row r="301" customHeight="1" spans="1:8">
      <c r="A301" s="11"/>
      <c r="B301" s="11"/>
      <c r="C301" s="11"/>
      <c r="D301" s="10"/>
      <c r="E301" s="11"/>
      <c r="H301" s="13"/>
    </row>
    <row r="302" customHeight="1" spans="1:8">
      <c r="A302" s="11"/>
      <c r="B302" s="11"/>
      <c r="C302" s="11"/>
      <c r="D302" s="10"/>
      <c r="E302" s="11"/>
      <c r="H302" s="13"/>
    </row>
    <row r="303" customHeight="1" spans="1:8">
      <c r="A303" s="11"/>
      <c r="B303" s="11"/>
      <c r="C303" s="11"/>
      <c r="D303" s="10"/>
      <c r="E303" s="11"/>
      <c r="H303" s="13"/>
    </row>
    <row r="304" customHeight="1" spans="1:8">
      <c r="A304" s="11"/>
      <c r="B304" s="11"/>
      <c r="C304" s="11"/>
      <c r="D304" s="10"/>
      <c r="E304" s="11"/>
      <c r="H304" s="13"/>
    </row>
    <row r="305" customHeight="1" spans="1:8">
      <c r="A305" s="11"/>
      <c r="B305" s="11"/>
      <c r="C305" s="11"/>
      <c r="D305" s="10"/>
      <c r="E305" s="11"/>
      <c r="H305" s="13"/>
    </row>
    <row r="306" customHeight="1" spans="1:8">
      <c r="A306" s="11"/>
      <c r="B306" s="11"/>
      <c r="C306" s="11"/>
      <c r="D306" s="10"/>
      <c r="E306" s="11"/>
      <c r="H306" s="13"/>
    </row>
    <row r="307" customHeight="1" spans="1:8">
      <c r="A307" s="11"/>
      <c r="B307" s="11"/>
      <c r="C307" s="11"/>
      <c r="D307" s="10"/>
      <c r="E307" s="11"/>
      <c r="H307" s="13"/>
    </row>
    <row r="308" customHeight="1" spans="1:8">
      <c r="A308" s="11"/>
      <c r="B308" s="11"/>
      <c r="C308" s="11"/>
      <c r="D308" s="10"/>
      <c r="E308" s="11"/>
      <c r="H308" s="13"/>
    </row>
    <row r="309" customHeight="1" spans="1:8">
      <c r="A309" s="11"/>
      <c r="B309" s="11"/>
      <c r="C309" s="11"/>
      <c r="D309" s="10"/>
      <c r="E309" s="11"/>
      <c r="H309" s="13"/>
    </row>
    <row r="310" customHeight="1" spans="1:8">
      <c r="A310" s="11"/>
      <c r="B310" s="11"/>
      <c r="C310" s="11"/>
      <c r="D310" s="10"/>
      <c r="E310" s="11"/>
      <c r="H310" s="13"/>
    </row>
    <row r="311" customHeight="1" spans="1:8">
      <c r="A311" s="11"/>
      <c r="B311" s="11"/>
      <c r="C311" s="11"/>
      <c r="D311" s="10"/>
      <c r="E311" s="11"/>
      <c r="H311" s="13"/>
    </row>
    <row r="312" customHeight="1" spans="1:8">
      <c r="A312" s="11"/>
      <c r="B312" s="11"/>
      <c r="C312" s="11"/>
      <c r="D312" s="10"/>
      <c r="E312" s="11"/>
      <c r="H312" s="13"/>
    </row>
    <row r="313" customHeight="1" spans="1:8">
      <c r="A313" s="11"/>
      <c r="B313" s="11"/>
      <c r="C313" s="11"/>
      <c r="D313" s="10"/>
      <c r="E313" s="11"/>
      <c r="H313" s="13"/>
    </row>
    <row r="314" customHeight="1" spans="1:8">
      <c r="A314" s="11"/>
      <c r="B314" s="11"/>
      <c r="C314" s="11"/>
      <c r="D314" s="10"/>
      <c r="E314" s="11"/>
      <c r="H314" s="13"/>
    </row>
    <row r="315" customHeight="1" spans="1:8">
      <c r="A315" s="11"/>
      <c r="B315" s="11"/>
      <c r="C315" s="11"/>
      <c r="D315" s="10"/>
      <c r="E315" s="11"/>
      <c r="H315" s="13"/>
    </row>
    <row r="316" customHeight="1" spans="1:8">
      <c r="A316" s="11"/>
      <c r="B316" s="11"/>
      <c r="C316" s="11"/>
      <c r="D316" s="10"/>
      <c r="E316" s="11"/>
      <c r="H316" s="13"/>
    </row>
    <row r="317" customHeight="1" spans="1:8">
      <c r="A317" s="11"/>
      <c r="B317" s="11"/>
      <c r="C317" s="11"/>
      <c r="D317" s="10"/>
      <c r="E317" s="11"/>
      <c r="H317" s="13"/>
    </row>
    <row r="318" customHeight="1" spans="1:8">
      <c r="A318" s="11"/>
      <c r="B318" s="11"/>
      <c r="C318" s="11"/>
      <c r="D318" s="10"/>
      <c r="E318" s="11"/>
      <c r="H318" s="13"/>
    </row>
    <row r="319" customHeight="1" spans="1:8">
      <c r="A319" s="11"/>
      <c r="B319" s="11"/>
      <c r="C319" s="11"/>
      <c r="D319" s="10"/>
      <c r="E319" s="11"/>
      <c r="H319" s="13"/>
    </row>
    <row r="320" customHeight="1" spans="1:8">
      <c r="A320" s="11"/>
      <c r="B320" s="11"/>
      <c r="C320" s="11"/>
      <c r="D320" s="10"/>
      <c r="E320" s="11"/>
      <c r="H320" s="13"/>
    </row>
    <row r="321" customHeight="1" spans="1:8">
      <c r="A321" s="11"/>
      <c r="B321" s="11"/>
      <c r="C321" s="11"/>
      <c r="D321" s="10"/>
      <c r="E321" s="11"/>
      <c r="H321" s="13"/>
    </row>
    <row r="322" customHeight="1" spans="1:8">
      <c r="A322" s="11"/>
      <c r="B322" s="11"/>
      <c r="C322" s="11"/>
      <c r="D322" s="10"/>
      <c r="E322" s="11"/>
      <c r="H322" s="13"/>
    </row>
    <row r="323" customHeight="1" spans="1:8">
      <c r="A323" s="11"/>
      <c r="B323" s="11"/>
      <c r="C323" s="11"/>
      <c r="D323" s="10"/>
      <c r="E323" s="11"/>
      <c r="H323" s="13"/>
    </row>
    <row r="324" customHeight="1" spans="1:8">
      <c r="A324" s="11"/>
      <c r="B324" s="11"/>
      <c r="C324" s="11"/>
      <c r="D324" s="10"/>
      <c r="E324" s="11"/>
      <c r="H324" s="13"/>
    </row>
    <row r="325" customHeight="1" spans="1:8">
      <c r="A325" s="11"/>
      <c r="B325" s="11"/>
      <c r="C325" s="11"/>
      <c r="D325" s="10"/>
      <c r="E325" s="11"/>
      <c r="H325" s="13"/>
    </row>
    <row r="326" customHeight="1" spans="1:8">
      <c r="A326" s="11"/>
      <c r="B326" s="11"/>
      <c r="C326" s="11"/>
      <c r="D326" s="10"/>
      <c r="E326" s="11"/>
      <c r="H326" s="13"/>
    </row>
    <row r="327" customHeight="1" spans="1:8">
      <c r="A327" s="11"/>
      <c r="B327" s="11"/>
      <c r="C327" s="11"/>
      <c r="D327" s="10"/>
      <c r="E327" s="11"/>
      <c r="H327" s="13"/>
    </row>
    <row r="328" customHeight="1" spans="1:8">
      <c r="A328" s="11"/>
      <c r="B328" s="11"/>
      <c r="C328" s="11"/>
      <c r="D328" s="10"/>
      <c r="E328" s="11"/>
      <c r="H328" s="13"/>
    </row>
    <row r="329" customHeight="1" spans="1:8">
      <c r="A329" s="11"/>
      <c r="B329" s="11"/>
      <c r="C329" s="11"/>
      <c r="D329" s="10"/>
      <c r="E329" s="11"/>
      <c r="H329" s="13"/>
    </row>
    <row r="330" customHeight="1" spans="1:8">
      <c r="A330" s="11"/>
      <c r="B330" s="11"/>
      <c r="C330" s="11"/>
      <c r="D330" s="10"/>
      <c r="E330" s="11"/>
      <c r="H330" s="13"/>
    </row>
    <row r="331" customHeight="1" spans="1:8">
      <c r="A331" s="11"/>
      <c r="B331" s="11"/>
      <c r="C331" s="11"/>
      <c r="D331" s="10"/>
      <c r="E331" s="11"/>
      <c r="H331" s="13"/>
    </row>
    <row r="332" customHeight="1" spans="1:8">
      <c r="A332" s="11"/>
      <c r="B332" s="11"/>
      <c r="C332" s="11"/>
      <c r="D332" s="10"/>
      <c r="E332" s="11"/>
      <c r="H332" s="13"/>
    </row>
    <row r="333" customHeight="1" spans="1:8">
      <c r="A333" s="11"/>
      <c r="B333" s="11"/>
      <c r="C333" s="11"/>
      <c r="D333" s="10"/>
      <c r="E333" s="11"/>
      <c r="H333" s="13"/>
    </row>
    <row r="334" customHeight="1" spans="1:8">
      <c r="A334" s="11"/>
      <c r="B334" s="11"/>
      <c r="C334" s="11"/>
      <c r="D334" s="10"/>
      <c r="E334" s="11"/>
      <c r="H334" s="13"/>
    </row>
    <row r="335" customHeight="1" spans="1:8">
      <c r="A335" s="11"/>
      <c r="B335" s="11"/>
      <c r="C335" s="11"/>
      <c r="D335" s="10"/>
      <c r="E335" s="11"/>
      <c r="H335" s="13"/>
    </row>
    <row r="336" customHeight="1" spans="1:8">
      <c r="A336" s="11"/>
      <c r="B336" s="11"/>
      <c r="C336" s="11"/>
      <c r="D336" s="10"/>
      <c r="E336" s="11"/>
      <c r="H336" s="13"/>
    </row>
    <row r="337" customHeight="1" spans="1:8">
      <c r="A337" s="11"/>
      <c r="B337" s="11"/>
      <c r="C337" s="11"/>
      <c r="D337" s="10"/>
      <c r="E337" s="11"/>
      <c r="H337" s="13"/>
    </row>
    <row r="338" customHeight="1" spans="1:8">
      <c r="A338" s="11"/>
      <c r="B338" s="11"/>
      <c r="C338" s="11"/>
      <c r="D338" s="10"/>
      <c r="E338" s="11"/>
      <c r="H338" s="13"/>
    </row>
    <row r="339" customHeight="1" spans="1:8">
      <c r="A339" s="11"/>
      <c r="B339" s="11"/>
      <c r="C339" s="11"/>
      <c r="D339" s="10"/>
      <c r="E339" s="11"/>
      <c r="H339" s="13"/>
    </row>
    <row r="340" customHeight="1" spans="1:8">
      <c r="A340" s="11"/>
      <c r="B340" s="11"/>
      <c r="C340" s="11"/>
      <c r="D340" s="10"/>
      <c r="E340" s="11"/>
      <c r="H340" s="13"/>
    </row>
    <row r="341" customHeight="1" spans="1:8">
      <c r="A341" s="11"/>
      <c r="B341" s="11"/>
      <c r="C341" s="11"/>
      <c r="D341" s="10"/>
      <c r="E341" s="11"/>
      <c r="H341" s="13"/>
    </row>
    <row r="342" customHeight="1" spans="1:8">
      <c r="A342" s="11"/>
      <c r="B342" s="11"/>
      <c r="C342" s="11"/>
      <c r="D342" s="10"/>
      <c r="E342" s="11"/>
      <c r="H342" s="13"/>
    </row>
    <row r="343" customHeight="1" spans="1:8">
      <c r="A343" s="11"/>
      <c r="B343" s="11"/>
      <c r="C343" s="11"/>
      <c r="D343" s="10"/>
      <c r="E343" s="11"/>
      <c r="H343" s="13"/>
    </row>
    <row r="344" customHeight="1" spans="1:8">
      <c r="A344" s="11"/>
      <c r="B344" s="11"/>
      <c r="C344" s="11"/>
      <c r="D344" s="10"/>
      <c r="E344" s="11"/>
      <c r="H344" s="13"/>
    </row>
    <row r="345" customHeight="1" spans="1:8">
      <c r="A345" s="11"/>
      <c r="B345" s="11"/>
      <c r="C345" s="11"/>
      <c r="D345" s="10"/>
      <c r="E345" s="11"/>
      <c r="H345" s="13"/>
    </row>
    <row r="346" customHeight="1" spans="1:8">
      <c r="A346" s="11"/>
      <c r="B346" s="11"/>
      <c r="C346" s="11"/>
      <c r="D346" s="10"/>
      <c r="E346" s="11"/>
      <c r="H346" s="13"/>
    </row>
    <row r="347" customHeight="1" spans="1:8">
      <c r="A347" s="11"/>
      <c r="B347" s="11"/>
      <c r="C347" s="11"/>
      <c r="D347" s="10"/>
      <c r="E347" s="11"/>
      <c r="H347" s="13"/>
    </row>
    <row r="348" customHeight="1" spans="1:8">
      <c r="A348" s="11"/>
      <c r="B348" s="11"/>
      <c r="C348" s="11"/>
      <c r="D348" s="10"/>
      <c r="E348" s="11"/>
      <c r="H348" s="13"/>
    </row>
    <row r="349" customHeight="1" spans="1:8">
      <c r="A349" s="11"/>
      <c r="B349" s="11"/>
      <c r="C349" s="11"/>
      <c r="D349" s="10"/>
      <c r="E349" s="11"/>
      <c r="H349" s="13"/>
    </row>
    <row r="350" customHeight="1" spans="1:8">
      <c r="A350" s="11"/>
      <c r="B350" s="11"/>
      <c r="C350" s="11"/>
      <c r="D350" s="10"/>
      <c r="E350" s="11"/>
      <c r="H350" s="13"/>
    </row>
    <row r="351" customHeight="1" spans="1:8">
      <c r="A351" s="11"/>
      <c r="B351" s="11"/>
      <c r="C351" s="11"/>
      <c r="D351" s="10"/>
      <c r="E351" s="11"/>
      <c r="H351" s="13"/>
    </row>
    <row r="352" customHeight="1" spans="1:8">
      <c r="A352" s="11"/>
      <c r="B352" s="11"/>
      <c r="C352" s="11"/>
      <c r="D352" s="10"/>
      <c r="E352" s="11"/>
      <c r="H352" s="13"/>
    </row>
    <row r="353" customHeight="1" spans="1:8">
      <c r="A353" s="11"/>
      <c r="B353" s="11"/>
      <c r="C353" s="11"/>
      <c r="D353" s="10"/>
      <c r="E353" s="11"/>
      <c r="H353" s="13"/>
    </row>
    <row r="354" customHeight="1" spans="1:8">
      <c r="A354" s="11"/>
      <c r="B354" s="11"/>
      <c r="C354" s="11"/>
      <c r="D354" s="10"/>
      <c r="E354" s="11"/>
      <c r="H354" s="13"/>
    </row>
    <row r="355" customHeight="1" spans="1:8">
      <c r="A355" s="11"/>
      <c r="B355" s="11"/>
      <c r="C355" s="11"/>
      <c r="D355" s="10"/>
      <c r="E355" s="11"/>
      <c r="H355" s="13"/>
    </row>
    <row r="356" customHeight="1" spans="1:8">
      <c r="A356" s="11"/>
      <c r="B356" s="11"/>
      <c r="C356" s="11"/>
      <c r="D356" s="10"/>
      <c r="E356" s="11"/>
      <c r="H356" s="13"/>
    </row>
    <row r="357" customHeight="1" spans="1:8">
      <c r="A357" s="11"/>
      <c r="B357" s="11"/>
      <c r="C357" s="11"/>
      <c r="D357" s="10"/>
      <c r="E357" s="11"/>
      <c r="H357" s="13"/>
    </row>
    <row r="358" customHeight="1" spans="1:8">
      <c r="A358" s="11"/>
      <c r="B358" s="11"/>
      <c r="C358" s="11"/>
      <c r="D358" s="10"/>
      <c r="E358" s="11"/>
      <c r="H358" s="13"/>
    </row>
    <row r="359" customHeight="1" spans="1:8">
      <c r="A359" s="11"/>
      <c r="B359" s="11"/>
      <c r="C359" s="11"/>
      <c r="D359" s="10"/>
      <c r="E359" s="11"/>
      <c r="H359" s="13"/>
    </row>
    <row r="360" customHeight="1" spans="1:8">
      <c r="A360" s="11"/>
      <c r="B360" s="11"/>
      <c r="C360" s="11"/>
      <c r="D360" s="10"/>
      <c r="E360" s="11"/>
      <c r="H360" s="13"/>
    </row>
    <row r="361" customHeight="1" spans="1:8">
      <c r="A361" s="11"/>
      <c r="B361" s="11"/>
      <c r="C361" s="11"/>
      <c r="D361" s="10"/>
      <c r="E361" s="11"/>
      <c r="H361" s="13"/>
    </row>
    <row r="362" customHeight="1" spans="1:8">
      <c r="A362" s="11"/>
      <c r="B362" s="11"/>
      <c r="C362" s="11"/>
      <c r="D362" s="10"/>
      <c r="E362" s="11"/>
      <c r="H362" s="13"/>
    </row>
    <row r="363" customHeight="1" spans="1:8">
      <c r="A363" s="11"/>
      <c r="B363" s="11"/>
      <c r="C363" s="11"/>
      <c r="D363" s="10"/>
      <c r="E363" s="11"/>
      <c r="H363" s="13"/>
    </row>
    <row r="364" customHeight="1" spans="1:8">
      <c r="A364" s="11"/>
      <c r="B364" s="11"/>
      <c r="C364" s="11"/>
      <c r="D364" s="10"/>
      <c r="E364" s="11"/>
      <c r="H364" s="13"/>
    </row>
    <row r="365" customHeight="1" spans="1:8">
      <c r="A365" s="11"/>
      <c r="B365" s="11"/>
      <c r="C365" s="11"/>
      <c r="D365" s="10"/>
      <c r="E365" s="11"/>
      <c r="H365" s="13"/>
    </row>
    <row r="366" customHeight="1" spans="1:8">
      <c r="A366" s="11"/>
      <c r="B366" s="11"/>
      <c r="C366" s="11"/>
      <c r="D366" s="10"/>
      <c r="E366" s="11"/>
      <c r="H366" s="13"/>
    </row>
    <row r="367" customHeight="1" spans="1:8">
      <c r="A367" s="11"/>
      <c r="B367" s="11"/>
      <c r="C367" s="11"/>
      <c r="D367" s="10"/>
      <c r="E367" s="11"/>
      <c r="H367" s="13"/>
    </row>
    <row r="368" customHeight="1" spans="1:8">
      <c r="A368" s="11"/>
      <c r="B368" s="11"/>
      <c r="C368" s="11"/>
      <c r="D368" s="10"/>
      <c r="E368" s="11"/>
      <c r="H368" s="13"/>
    </row>
    <row r="369" customHeight="1" spans="1:8">
      <c r="A369" s="11"/>
      <c r="B369" s="11"/>
      <c r="C369" s="11"/>
      <c r="D369" s="10"/>
      <c r="E369" s="11"/>
      <c r="H369" s="13"/>
    </row>
    <row r="370" customHeight="1" spans="1:8">
      <c r="A370" s="11"/>
      <c r="B370" s="11"/>
      <c r="C370" s="11"/>
      <c r="D370" s="10"/>
      <c r="E370" s="11"/>
      <c r="H370" s="13"/>
    </row>
    <row r="371" customHeight="1" spans="1:8">
      <c r="A371" s="11"/>
      <c r="B371" s="11"/>
      <c r="C371" s="11"/>
      <c r="D371" s="10"/>
      <c r="E371" s="11"/>
      <c r="H371" s="13"/>
    </row>
    <row r="372" customHeight="1" spans="1:8">
      <c r="A372" s="11"/>
      <c r="B372" s="11"/>
      <c r="C372" s="11"/>
      <c r="D372" s="10"/>
      <c r="E372" s="11"/>
      <c r="H372" s="13"/>
    </row>
    <row r="373" customHeight="1" spans="1:8">
      <c r="A373" s="11"/>
      <c r="B373" s="11"/>
      <c r="C373" s="11"/>
      <c r="D373" s="10"/>
      <c r="E373" s="11"/>
      <c r="H373" s="13"/>
    </row>
    <row r="374" customHeight="1" spans="1:8">
      <c r="A374" s="11"/>
      <c r="B374" s="11"/>
      <c r="C374" s="11"/>
      <c r="D374" s="10"/>
      <c r="E374" s="11"/>
      <c r="H374" s="13"/>
    </row>
    <row r="375" customHeight="1" spans="1:8">
      <c r="A375" s="11"/>
      <c r="B375" s="11"/>
      <c r="C375" s="11"/>
      <c r="D375" s="10"/>
      <c r="E375" s="11"/>
      <c r="H375" s="13"/>
    </row>
    <row r="376" customHeight="1" spans="1:8">
      <c r="A376" s="11"/>
      <c r="B376" s="11"/>
      <c r="C376" s="11"/>
      <c r="D376" s="10"/>
      <c r="E376" s="11"/>
      <c r="H376" s="13"/>
    </row>
    <row r="377" customHeight="1" spans="1:8">
      <c r="A377" s="11"/>
      <c r="B377" s="11"/>
      <c r="C377" s="11"/>
      <c r="D377" s="10"/>
      <c r="E377" s="11"/>
      <c r="H377" s="13"/>
    </row>
    <row r="378" customHeight="1" spans="1:8">
      <c r="A378" s="11"/>
      <c r="B378" s="11"/>
      <c r="C378" s="11"/>
      <c r="D378" s="10"/>
      <c r="E378" s="11"/>
      <c r="H378" s="13"/>
    </row>
    <row r="379" customHeight="1" spans="1:8">
      <c r="A379" s="11"/>
      <c r="B379" s="11"/>
      <c r="C379" s="11"/>
      <c r="D379" s="10"/>
      <c r="E379" s="11"/>
      <c r="H379" s="13"/>
    </row>
    <row r="380" customHeight="1" spans="1:8">
      <c r="A380" s="11"/>
      <c r="B380" s="11"/>
      <c r="C380" s="11"/>
      <c r="D380" s="10"/>
      <c r="E380" s="11"/>
      <c r="H380" s="13"/>
    </row>
    <row r="381" customHeight="1" spans="1:8">
      <c r="A381" s="11"/>
      <c r="B381" s="11"/>
      <c r="C381" s="11"/>
      <c r="D381" s="10"/>
      <c r="E381" s="11"/>
      <c r="H381" s="13"/>
    </row>
    <row r="382" customHeight="1" spans="1:8">
      <c r="A382" s="11"/>
      <c r="B382" s="11"/>
      <c r="C382" s="11"/>
      <c r="D382" s="10"/>
      <c r="E382" s="11"/>
      <c r="H382" s="13"/>
    </row>
    <row r="383" customHeight="1" spans="1:8">
      <c r="A383" s="11"/>
      <c r="B383" s="11"/>
      <c r="C383" s="11"/>
      <c r="D383" s="10"/>
      <c r="E383" s="11"/>
      <c r="H383" s="13"/>
    </row>
    <row r="384" customHeight="1" spans="1:8">
      <c r="A384" s="11"/>
      <c r="B384" s="11"/>
      <c r="C384" s="11"/>
      <c r="D384" s="10"/>
      <c r="E384" s="11"/>
      <c r="H384" s="13"/>
    </row>
    <row r="385" customHeight="1" spans="1:8">
      <c r="A385" s="11"/>
      <c r="B385" s="11"/>
      <c r="C385" s="11"/>
      <c r="D385" s="10"/>
      <c r="E385" s="11"/>
      <c r="H385" s="13"/>
    </row>
    <row r="386" customHeight="1" spans="1:8">
      <c r="A386" s="11"/>
      <c r="B386" s="11"/>
      <c r="C386" s="11"/>
      <c r="D386" s="10"/>
      <c r="E386" s="11"/>
      <c r="H386" s="13"/>
    </row>
    <row r="387" customHeight="1" spans="1:8">
      <c r="A387" s="11"/>
      <c r="B387" s="11"/>
      <c r="C387" s="11"/>
      <c r="D387" s="10"/>
      <c r="E387" s="11"/>
      <c r="H387" s="13"/>
    </row>
    <row r="388" customHeight="1" spans="1:8">
      <c r="A388" s="11"/>
      <c r="B388" s="11"/>
      <c r="C388" s="11"/>
      <c r="D388" s="10"/>
      <c r="E388" s="11"/>
      <c r="H388" s="13"/>
    </row>
    <row r="389" customHeight="1" spans="1:8">
      <c r="A389" s="11"/>
      <c r="B389" s="11"/>
      <c r="C389" s="11"/>
      <c r="D389" s="10"/>
      <c r="E389" s="11"/>
      <c r="H389" s="13"/>
    </row>
    <row r="390" customHeight="1" spans="1:8">
      <c r="A390" s="11"/>
      <c r="B390" s="11"/>
      <c r="C390" s="11"/>
      <c r="D390" s="10"/>
      <c r="E390" s="11"/>
      <c r="H390" s="13"/>
    </row>
    <row r="391" customHeight="1" spans="1:8">
      <c r="A391" s="11"/>
      <c r="B391" s="11"/>
      <c r="C391" s="11"/>
      <c r="D391" s="10"/>
      <c r="E391" s="11"/>
      <c r="H391" s="13"/>
    </row>
    <row r="392" customHeight="1" spans="1:8">
      <c r="A392" s="11"/>
      <c r="B392" s="11"/>
      <c r="C392" s="11"/>
      <c r="D392" s="10"/>
      <c r="E392" s="11"/>
      <c r="H392" s="13"/>
    </row>
    <row r="393" customHeight="1" spans="1:8">
      <c r="A393" s="11"/>
      <c r="B393" s="11"/>
      <c r="C393" s="11"/>
      <c r="D393" s="10"/>
      <c r="E393" s="11"/>
      <c r="H393" s="13"/>
    </row>
    <row r="394" customHeight="1" spans="1:8">
      <c r="A394" s="11"/>
      <c r="B394" s="11"/>
      <c r="C394" s="11"/>
      <c r="D394" s="10"/>
      <c r="E394" s="11"/>
      <c r="H394" s="13"/>
    </row>
    <row r="395" customHeight="1" spans="1:8">
      <c r="A395" s="11"/>
      <c r="B395" s="11"/>
      <c r="C395" s="11"/>
      <c r="D395" s="10"/>
      <c r="E395" s="11"/>
      <c r="H395" s="13"/>
    </row>
    <row r="396" customHeight="1" spans="1:8">
      <c r="A396" s="11"/>
      <c r="B396" s="11"/>
      <c r="C396" s="11"/>
      <c r="D396" s="10"/>
      <c r="E396" s="11"/>
      <c r="H396" s="13"/>
    </row>
    <row r="397" customHeight="1" spans="1:8">
      <c r="A397" s="11"/>
      <c r="B397" s="11"/>
      <c r="C397" s="11"/>
      <c r="D397" s="10"/>
      <c r="E397" s="11"/>
      <c r="H397" s="13"/>
    </row>
    <row r="398" customHeight="1" spans="1:8">
      <c r="A398" s="11"/>
      <c r="B398" s="11"/>
      <c r="C398" s="11"/>
      <c r="D398" s="10"/>
      <c r="E398" s="11"/>
      <c r="H398" s="13"/>
    </row>
    <row r="399" customHeight="1" spans="1:8">
      <c r="A399" s="11"/>
      <c r="B399" s="11"/>
      <c r="C399" s="11"/>
      <c r="D399" s="10"/>
      <c r="E399" s="11"/>
      <c r="H399" s="13"/>
    </row>
    <row r="400" customHeight="1" spans="1:8">
      <c r="A400" s="11"/>
      <c r="B400" s="11"/>
      <c r="C400" s="11"/>
      <c r="D400" s="10"/>
      <c r="E400" s="11"/>
      <c r="H400" s="13"/>
    </row>
    <row r="401" customHeight="1" spans="1:8">
      <c r="A401" s="11"/>
      <c r="B401" s="11"/>
      <c r="C401" s="11"/>
      <c r="D401" s="10"/>
      <c r="E401" s="11"/>
      <c r="H401" s="13"/>
    </row>
    <row r="402" customHeight="1" spans="1:8">
      <c r="A402" s="11"/>
      <c r="B402" s="11"/>
      <c r="C402" s="11"/>
      <c r="D402" s="10"/>
      <c r="E402" s="11"/>
      <c r="H402" s="13"/>
    </row>
    <row r="403" customHeight="1" spans="1:8">
      <c r="A403" s="11"/>
      <c r="B403" s="11"/>
      <c r="C403" s="11"/>
      <c r="D403" s="10"/>
      <c r="E403" s="11"/>
      <c r="H403" s="13"/>
    </row>
    <row r="404" customHeight="1" spans="1:8">
      <c r="A404" s="11"/>
      <c r="B404" s="11"/>
      <c r="C404" s="11"/>
      <c r="D404" s="10"/>
      <c r="E404" s="11"/>
      <c r="H404" s="13"/>
    </row>
    <row r="405" customHeight="1" spans="1:8">
      <c r="A405" s="11"/>
      <c r="B405" s="11"/>
      <c r="C405" s="11"/>
      <c r="D405" s="10"/>
      <c r="E405" s="11"/>
      <c r="H405" s="13"/>
    </row>
    <row r="406" customHeight="1" spans="1:8">
      <c r="A406" s="11"/>
      <c r="B406" s="11"/>
      <c r="C406" s="11"/>
      <c r="D406" s="10"/>
      <c r="E406" s="11"/>
      <c r="H406" s="13"/>
    </row>
    <row r="407" customHeight="1" spans="1:8">
      <c r="A407" s="11"/>
      <c r="B407" s="11"/>
      <c r="C407" s="11"/>
      <c r="D407" s="10"/>
      <c r="E407" s="11"/>
      <c r="H407" s="13"/>
    </row>
    <row r="408" customHeight="1" spans="1:8">
      <c r="A408" s="11"/>
      <c r="B408" s="11"/>
      <c r="C408" s="11"/>
      <c r="D408" s="10"/>
      <c r="E408" s="11"/>
      <c r="H408" s="13"/>
    </row>
    <row r="409" customHeight="1" spans="1:8">
      <c r="A409" s="11"/>
      <c r="B409" s="11"/>
      <c r="C409" s="11"/>
      <c r="D409" s="10"/>
      <c r="E409" s="11"/>
      <c r="H409" s="13"/>
    </row>
    <row r="410" customHeight="1" spans="1:8">
      <c r="A410" s="11"/>
      <c r="B410" s="11"/>
      <c r="C410" s="11"/>
      <c r="D410" s="10"/>
      <c r="E410" s="11"/>
      <c r="H410" s="13"/>
    </row>
    <row r="411" customHeight="1" spans="1:8">
      <c r="A411" s="11"/>
      <c r="B411" s="11"/>
      <c r="C411" s="11"/>
      <c r="D411" s="10"/>
      <c r="E411" s="11"/>
      <c r="H411" s="13"/>
    </row>
    <row r="412" customHeight="1" spans="1:8">
      <c r="A412" s="11"/>
      <c r="B412" s="11"/>
      <c r="C412" s="11"/>
      <c r="D412" s="10"/>
      <c r="E412" s="11"/>
      <c r="H412" s="13"/>
    </row>
    <row r="413" customHeight="1" spans="1:8">
      <c r="A413" s="11"/>
      <c r="B413" s="11"/>
      <c r="C413" s="11"/>
      <c r="D413" s="10"/>
      <c r="E413" s="11"/>
      <c r="H413" s="13"/>
    </row>
    <row r="414" customHeight="1" spans="1:8">
      <c r="A414" s="11"/>
      <c r="B414" s="11"/>
      <c r="C414" s="11"/>
      <c r="D414" s="10"/>
      <c r="E414" s="11"/>
      <c r="H414" s="13"/>
    </row>
    <row r="415" customHeight="1" spans="1:8">
      <c r="A415" s="11"/>
      <c r="B415" s="11"/>
      <c r="C415" s="11"/>
      <c r="D415" s="10"/>
      <c r="E415" s="11"/>
      <c r="H415" s="13"/>
    </row>
    <row r="416" customHeight="1" spans="1:8">
      <c r="A416" s="11"/>
      <c r="B416" s="11"/>
      <c r="C416" s="11"/>
      <c r="D416" s="10"/>
      <c r="E416" s="11"/>
      <c r="H416" s="13"/>
    </row>
    <row r="417" customHeight="1" spans="1:8">
      <c r="A417" s="11"/>
      <c r="B417" s="11"/>
      <c r="C417" s="11"/>
      <c r="D417" s="10"/>
      <c r="E417" s="11"/>
      <c r="H417" s="13"/>
    </row>
    <row r="418" customHeight="1" spans="1:8">
      <c r="A418" s="11"/>
      <c r="B418" s="11"/>
      <c r="C418" s="11"/>
      <c r="D418" s="10"/>
      <c r="E418" s="11"/>
      <c r="H418" s="13"/>
    </row>
    <row r="419" customHeight="1" spans="1:8">
      <c r="A419" s="11"/>
      <c r="B419" s="11"/>
      <c r="C419" s="11"/>
      <c r="D419" s="10"/>
      <c r="E419" s="11"/>
      <c r="H419" s="13"/>
    </row>
    <row r="420" customHeight="1" spans="1:8">
      <c r="A420" s="11"/>
      <c r="B420" s="11"/>
      <c r="C420" s="11"/>
      <c r="D420" s="10"/>
      <c r="E420" s="11"/>
      <c r="H420" s="13"/>
    </row>
    <row r="421" customHeight="1" spans="1:8">
      <c r="A421" s="11"/>
      <c r="B421" s="11"/>
      <c r="C421" s="11"/>
      <c r="D421" s="10"/>
      <c r="E421" s="11"/>
      <c r="H421" s="13"/>
    </row>
    <row r="422" customHeight="1" spans="1:8">
      <c r="A422" s="11"/>
      <c r="B422" s="11"/>
      <c r="C422" s="11"/>
      <c r="D422" s="10"/>
      <c r="E422" s="11"/>
      <c r="H422" s="13"/>
    </row>
    <row r="423" customHeight="1" spans="1:8">
      <c r="A423" s="11"/>
      <c r="B423" s="11"/>
      <c r="C423" s="11"/>
      <c r="D423" s="10"/>
      <c r="E423" s="11"/>
      <c r="H423" s="13"/>
    </row>
    <row r="424" customHeight="1" spans="1:8">
      <c r="A424" s="11"/>
      <c r="B424" s="11"/>
      <c r="C424" s="11"/>
      <c r="D424" s="10"/>
      <c r="E424" s="11"/>
      <c r="H424" s="13"/>
    </row>
    <row r="425" customHeight="1" spans="1:8">
      <c r="A425" s="11"/>
      <c r="B425" s="11"/>
      <c r="C425" s="11"/>
      <c r="D425" s="10"/>
      <c r="E425" s="11"/>
      <c r="H425" s="13"/>
    </row>
    <row r="426" customHeight="1" spans="1:8">
      <c r="A426" s="11"/>
      <c r="B426" s="11"/>
      <c r="C426" s="11"/>
      <c r="D426" s="10"/>
      <c r="E426" s="11"/>
      <c r="H426" s="13"/>
    </row>
    <row r="427" customHeight="1" spans="1:8">
      <c r="A427" s="11"/>
      <c r="B427" s="11"/>
      <c r="C427" s="11"/>
      <c r="D427" s="10"/>
      <c r="E427" s="11"/>
      <c r="H427" s="13"/>
    </row>
    <row r="428" customHeight="1" spans="1:8">
      <c r="A428" s="11"/>
      <c r="B428" s="11"/>
      <c r="C428" s="11"/>
      <c r="D428" s="10"/>
      <c r="E428" s="11"/>
      <c r="H428" s="13"/>
    </row>
    <row r="429" customHeight="1" spans="1:8">
      <c r="A429" s="11"/>
      <c r="B429" s="11"/>
      <c r="C429" s="11"/>
      <c r="D429" s="10"/>
      <c r="E429" s="11"/>
      <c r="H429" s="13"/>
    </row>
    <row r="430" customHeight="1" spans="1:8">
      <c r="A430" s="11"/>
      <c r="B430" s="11"/>
      <c r="C430" s="11"/>
      <c r="D430" s="10"/>
      <c r="E430" s="11"/>
      <c r="H430" s="13"/>
    </row>
    <row r="431" customHeight="1" spans="1:8">
      <c r="A431" s="11"/>
      <c r="B431" s="11"/>
      <c r="C431" s="11"/>
      <c r="D431" s="10"/>
      <c r="E431" s="11"/>
      <c r="H431" s="13"/>
    </row>
    <row r="432" customHeight="1" spans="1:8">
      <c r="A432" s="11"/>
      <c r="B432" s="11"/>
      <c r="C432" s="11"/>
      <c r="D432" s="10"/>
      <c r="E432" s="11"/>
      <c r="H432" s="13"/>
    </row>
    <row r="433" customHeight="1" spans="1:8">
      <c r="A433" s="11"/>
      <c r="B433" s="11"/>
      <c r="C433" s="11"/>
      <c r="D433" s="10"/>
      <c r="E433" s="11"/>
      <c r="H433" s="13"/>
    </row>
    <row r="434" customHeight="1" spans="1:8">
      <c r="A434" s="11"/>
      <c r="B434" s="11"/>
      <c r="C434" s="11"/>
      <c r="D434" s="10"/>
      <c r="E434" s="11"/>
      <c r="H434" s="13"/>
    </row>
    <row r="435" customHeight="1" spans="1:8">
      <c r="A435" s="11"/>
      <c r="B435" s="11"/>
      <c r="C435" s="11"/>
      <c r="D435" s="10"/>
      <c r="E435" s="11"/>
      <c r="H435" s="13"/>
    </row>
    <row r="436" customHeight="1" spans="1:8">
      <c r="A436" s="11"/>
      <c r="B436" s="11"/>
      <c r="C436" s="11"/>
      <c r="D436" s="10"/>
      <c r="E436" s="11"/>
      <c r="H436" s="13"/>
    </row>
    <row r="437" customHeight="1" spans="1:8">
      <c r="A437" s="11"/>
      <c r="B437" s="11"/>
      <c r="C437" s="11"/>
      <c r="D437" s="10"/>
      <c r="E437" s="11"/>
      <c r="H437" s="13"/>
    </row>
    <row r="438" customHeight="1" spans="1:8">
      <c r="A438" s="11"/>
      <c r="B438" s="11"/>
      <c r="C438" s="11"/>
      <c r="D438" s="10"/>
      <c r="E438" s="11"/>
      <c r="H438" s="13"/>
    </row>
    <row r="439" customHeight="1" spans="1:8">
      <c r="A439" s="11"/>
      <c r="B439" s="11"/>
      <c r="C439" s="11"/>
      <c r="D439" s="10"/>
      <c r="E439" s="11"/>
      <c r="H439" s="13"/>
    </row>
    <row r="440" customHeight="1" spans="1:8">
      <c r="A440" s="11"/>
      <c r="B440" s="11"/>
      <c r="C440" s="11"/>
      <c r="D440" s="10"/>
      <c r="E440" s="11"/>
      <c r="H440" s="13"/>
    </row>
    <row r="441" customHeight="1" spans="1:8">
      <c r="A441" s="11"/>
      <c r="B441" s="11"/>
      <c r="C441" s="11"/>
      <c r="D441" s="10"/>
      <c r="E441" s="11"/>
      <c r="H441" s="13"/>
    </row>
    <row r="442" customHeight="1" spans="1:8">
      <c r="A442" s="11"/>
      <c r="B442" s="11"/>
      <c r="C442" s="11"/>
      <c r="D442" s="10"/>
      <c r="E442" s="11"/>
      <c r="H442" s="13"/>
    </row>
    <row r="443" customHeight="1" spans="1:8">
      <c r="A443" s="11"/>
      <c r="B443" s="11"/>
      <c r="C443" s="11"/>
      <c r="D443" s="10"/>
      <c r="E443" s="11"/>
      <c r="H443" s="13"/>
    </row>
    <row r="444" customHeight="1" spans="1:8">
      <c r="A444" s="11"/>
      <c r="B444" s="11"/>
      <c r="C444" s="11"/>
      <c r="D444" s="10"/>
      <c r="E444" s="11"/>
      <c r="H444" s="13"/>
    </row>
    <row r="445" customHeight="1" spans="1:8">
      <c r="A445" s="11"/>
      <c r="B445" s="11"/>
      <c r="C445" s="11"/>
      <c r="D445" s="10"/>
      <c r="E445" s="11"/>
      <c r="H445" s="13"/>
    </row>
    <row r="446" customHeight="1" spans="1:8">
      <c r="A446" s="11"/>
      <c r="B446" s="11"/>
      <c r="C446" s="11"/>
      <c r="D446" s="10"/>
      <c r="E446" s="11"/>
      <c r="H446" s="13"/>
    </row>
    <row r="447" customHeight="1" spans="1:8">
      <c r="A447" s="11"/>
      <c r="B447" s="11"/>
      <c r="C447" s="11"/>
      <c r="D447" s="10"/>
      <c r="E447" s="11"/>
      <c r="H447" s="13"/>
    </row>
    <row r="448" customHeight="1" spans="1:8">
      <c r="A448" s="11"/>
      <c r="B448" s="11"/>
      <c r="C448" s="11"/>
      <c r="D448" s="10"/>
      <c r="E448" s="11"/>
      <c r="H448" s="13"/>
    </row>
    <row r="449" customHeight="1" spans="1:8">
      <c r="A449" s="11"/>
      <c r="B449" s="11"/>
      <c r="C449" s="11"/>
      <c r="D449" s="10"/>
      <c r="E449" s="11"/>
      <c r="H449" s="13"/>
    </row>
    <row r="450" customHeight="1" spans="1:8">
      <c r="A450" s="11"/>
      <c r="B450" s="11"/>
      <c r="C450" s="11"/>
      <c r="D450" s="10"/>
      <c r="E450" s="11"/>
      <c r="H450" s="13"/>
    </row>
    <row r="451" customHeight="1" spans="1:8">
      <c r="A451" s="11"/>
      <c r="B451" s="11"/>
      <c r="C451" s="11"/>
      <c r="D451" s="10"/>
      <c r="E451" s="11"/>
      <c r="H451" s="13"/>
    </row>
    <row r="452" customHeight="1" spans="1:8">
      <c r="A452" s="11"/>
      <c r="B452" s="11"/>
      <c r="C452" s="11"/>
      <c r="D452" s="10"/>
      <c r="E452" s="11"/>
      <c r="H452" s="13"/>
    </row>
    <row r="453" customHeight="1" spans="1:8">
      <c r="A453" s="11"/>
      <c r="B453" s="11"/>
      <c r="C453" s="11"/>
      <c r="D453" s="10"/>
      <c r="E453" s="11"/>
      <c r="H453" s="13"/>
    </row>
    <row r="454" customHeight="1" spans="1:8">
      <c r="A454" s="11"/>
      <c r="B454" s="11"/>
      <c r="C454" s="11"/>
      <c r="D454" s="10"/>
      <c r="E454" s="11"/>
      <c r="H454" s="13"/>
    </row>
    <row r="455" customHeight="1" spans="1:8">
      <c r="A455" s="11"/>
      <c r="B455" s="11"/>
      <c r="C455" s="11"/>
      <c r="D455" s="10"/>
      <c r="E455" s="11"/>
      <c r="H455" s="13"/>
    </row>
    <row r="456" customHeight="1" spans="1:8">
      <c r="A456" s="11"/>
      <c r="B456" s="11"/>
      <c r="C456" s="11"/>
      <c r="D456" s="10"/>
      <c r="E456" s="11"/>
      <c r="H456" s="13"/>
    </row>
    <row r="457" customHeight="1" spans="1:8">
      <c r="A457" s="11"/>
      <c r="B457" s="11"/>
      <c r="C457" s="11"/>
      <c r="D457" s="10"/>
      <c r="E457" s="11"/>
      <c r="H457" s="13"/>
    </row>
    <row r="458" customHeight="1" spans="1:8">
      <c r="A458" s="11"/>
      <c r="B458" s="11"/>
      <c r="C458" s="11"/>
      <c r="D458" s="10"/>
      <c r="E458" s="11"/>
      <c r="H458" s="13"/>
    </row>
    <row r="459" customHeight="1" spans="1:8">
      <c r="A459" s="11"/>
      <c r="B459" s="11"/>
      <c r="C459" s="11"/>
      <c r="D459" s="10"/>
      <c r="E459" s="11"/>
      <c r="H459" s="13"/>
    </row>
    <row r="460" customHeight="1" spans="1:8">
      <c r="A460" s="11"/>
      <c r="B460" s="11"/>
      <c r="C460" s="11"/>
      <c r="D460" s="10"/>
      <c r="E460" s="11"/>
      <c r="H460" s="13"/>
    </row>
    <row r="461" customHeight="1" spans="1:8">
      <c r="A461" s="11"/>
      <c r="B461" s="11"/>
      <c r="C461" s="11"/>
      <c r="D461" s="10"/>
      <c r="E461" s="11"/>
      <c r="H461" s="13"/>
    </row>
    <row r="462" customHeight="1" spans="1:8">
      <c r="A462" s="11"/>
      <c r="B462" s="11"/>
      <c r="C462" s="11"/>
      <c r="D462" s="10"/>
      <c r="E462" s="11"/>
      <c r="H462" s="13"/>
    </row>
    <row r="463" customHeight="1" spans="1:8">
      <c r="A463" s="11"/>
      <c r="B463" s="11"/>
      <c r="C463" s="11"/>
      <c r="D463" s="10"/>
      <c r="E463" s="11"/>
      <c r="H463" s="13"/>
    </row>
    <row r="464" customHeight="1" spans="1:8">
      <c r="A464" s="11"/>
      <c r="B464" s="11"/>
      <c r="C464" s="11"/>
      <c r="D464" s="10"/>
      <c r="E464" s="11"/>
      <c r="H464" s="13"/>
    </row>
    <row r="465" customHeight="1" spans="1:8">
      <c r="A465" s="11"/>
      <c r="B465" s="11"/>
      <c r="C465" s="11"/>
      <c r="D465" s="10"/>
      <c r="E465" s="11"/>
      <c r="H465" s="13"/>
    </row>
    <row r="466" customHeight="1" spans="1:8">
      <c r="A466" s="11"/>
      <c r="B466" s="11"/>
      <c r="C466" s="11"/>
      <c r="D466" s="10"/>
      <c r="E466" s="11"/>
      <c r="H466" s="13"/>
    </row>
    <row r="467" customHeight="1" spans="1:8">
      <c r="A467" s="11"/>
      <c r="B467" s="11"/>
      <c r="C467" s="11"/>
      <c r="D467" s="10"/>
      <c r="E467" s="11"/>
      <c r="H467" s="13"/>
    </row>
    <row r="468" customHeight="1" spans="1:8">
      <c r="A468" s="11"/>
      <c r="B468" s="11"/>
      <c r="C468" s="11"/>
      <c r="D468" s="10"/>
      <c r="E468" s="11"/>
      <c r="H468" s="13"/>
    </row>
    <row r="469" customHeight="1" spans="1:8">
      <c r="A469" s="11"/>
      <c r="B469" s="11"/>
      <c r="C469" s="11"/>
      <c r="D469" s="10"/>
      <c r="E469" s="11"/>
      <c r="H469" s="13"/>
    </row>
    <row r="470" customHeight="1" spans="1:8">
      <c r="A470" s="11"/>
      <c r="B470" s="11"/>
      <c r="C470" s="11"/>
      <c r="D470" s="10"/>
      <c r="E470" s="11"/>
      <c r="H470" s="13"/>
    </row>
    <row r="471" customHeight="1" spans="1:8">
      <c r="A471" s="11"/>
      <c r="B471" s="11"/>
      <c r="C471" s="11"/>
      <c r="D471" s="10"/>
      <c r="E471" s="11"/>
      <c r="H471" s="13"/>
    </row>
    <row r="472" customHeight="1" spans="1:8">
      <c r="A472" s="11"/>
      <c r="B472" s="11"/>
      <c r="C472" s="11"/>
      <c r="D472" s="10"/>
      <c r="E472" s="11"/>
      <c r="H472" s="13"/>
    </row>
    <row r="473" customHeight="1" spans="1:8">
      <c r="A473" s="11"/>
      <c r="B473" s="11"/>
      <c r="C473" s="11"/>
      <c r="D473" s="10"/>
      <c r="E473" s="11"/>
      <c r="H473" s="13"/>
    </row>
    <row r="474" customHeight="1" spans="1:8">
      <c r="A474" s="11"/>
      <c r="B474" s="11"/>
      <c r="C474" s="11"/>
      <c r="D474" s="10"/>
      <c r="E474" s="11"/>
      <c r="H474" s="13"/>
    </row>
    <row r="475" customHeight="1" spans="1:8">
      <c r="A475" s="11"/>
      <c r="B475" s="11"/>
      <c r="C475" s="11"/>
      <c r="D475" s="10"/>
      <c r="E475" s="11"/>
      <c r="H475" s="13"/>
    </row>
    <row r="476" customHeight="1" spans="1:8">
      <c r="A476" s="11"/>
      <c r="B476" s="11"/>
      <c r="C476" s="11"/>
      <c r="D476" s="10"/>
      <c r="E476" s="11"/>
      <c r="H476" s="13"/>
    </row>
    <row r="477" customHeight="1" spans="1:8">
      <c r="A477" s="11"/>
      <c r="B477" s="11"/>
      <c r="C477" s="11"/>
      <c r="D477" s="10"/>
      <c r="E477" s="11"/>
      <c r="H477" s="13"/>
    </row>
    <row r="478" customHeight="1" spans="1:8">
      <c r="A478" s="11"/>
      <c r="B478" s="11"/>
      <c r="C478" s="11"/>
      <c r="D478" s="10"/>
      <c r="E478" s="11"/>
      <c r="H478" s="13"/>
    </row>
    <row r="479" customHeight="1" spans="1:8">
      <c r="A479" s="11"/>
      <c r="B479" s="11"/>
      <c r="C479" s="11"/>
      <c r="D479" s="10"/>
      <c r="E479" s="11"/>
      <c r="H479" s="13"/>
    </row>
    <row r="480" customHeight="1" spans="1:8">
      <c r="A480" s="11"/>
      <c r="B480" s="11"/>
      <c r="C480" s="11"/>
      <c r="D480" s="10"/>
      <c r="E480" s="11"/>
      <c r="H480" s="13"/>
    </row>
    <row r="481" customHeight="1" spans="1:8">
      <c r="A481" s="11"/>
      <c r="B481" s="11"/>
      <c r="C481" s="11"/>
      <c r="D481" s="10"/>
      <c r="E481" s="11"/>
      <c r="H481" s="13"/>
    </row>
    <row r="482" customHeight="1" spans="1:8">
      <c r="A482" s="11"/>
      <c r="B482" s="11"/>
      <c r="C482" s="11"/>
      <c r="D482" s="10"/>
      <c r="E482" s="11"/>
      <c r="H482" s="13"/>
    </row>
    <row r="483" customHeight="1" spans="1:8">
      <c r="A483" s="11"/>
      <c r="B483" s="11"/>
      <c r="C483" s="11"/>
      <c r="D483" s="10"/>
      <c r="E483" s="11"/>
      <c r="H483" s="13"/>
    </row>
    <row r="484" customHeight="1" spans="1:8">
      <c r="A484" s="11"/>
      <c r="B484" s="11"/>
      <c r="C484" s="11"/>
      <c r="D484" s="10"/>
      <c r="E484" s="11"/>
      <c r="H484" s="13"/>
    </row>
    <row r="485" customHeight="1" spans="1:8">
      <c r="A485" s="11"/>
      <c r="B485" s="11"/>
      <c r="C485" s="11"/>
      <c r="D485" s="10"/>
      <c r="E485" s="11"/>
      <c r="H485" s="13"/>
    </row>
    <row r="486" customHeight="1" spans="1:8">
      <c r="A486" s="11"/>
      <c r="B486" s="11"/>
      <c r="C486" s="11"/>
      <c r="D486" s="10"/>
      <c r="E486" s="11"/>
      <c r="H486" s="13"/>
    </row>
    <row r="487" customHeight="1" spans="1:8">
      <c r="A487" s="11"/>
      <c r="B487" s="11"/>
      <c r="C487" s="11"/>
      <c r="D487" s="10"/>
      <c r="E487" s="11"/>
      <c r="H487" s="13"/>
    </row>
    <row r="488" customHeight="1" spans="1:8">
      <c r="A488" s="11"/>
      <c r="B488" s="11"/>
      <c r="C488" s="11"/>
      <c r="D488" s="10"/>
      <c r="E488" s="11"/>
      <c r="H488" s="13"/>
    </row>
    <row r="489" customHeight="1" spans="1:8">
      <c r="A489" s="11"/>
      <c r="B489" s="11"/>
      <c r="C489" s="11"/>
      <c r="D489" s="10"/>
      <c r="E489" s="11"/>
      <c r="H489" s="13"/>
    </row>
    <row r="490" customHeight="1" spans="1:8">
      <c r="A490" s="11"/>
      <c r="B490" s="11"/>
      <c r="C490" s="11"/>
      <c r="D490" s="10"/>
      <c r="E490" s="11"/>
      <c r="H490" s="13"/>
    </row>
    <row r="491" customHeight="1" spans="1:8">
      <c r="A491" s="11"/>
      <c r="B491" s="11"/>
      <c r="C491" s="11"/>
      <c r="D491" s="10"/>
      <c r="E491" s="11"/>
      <c r="H491" s="13"/>
    </row>
    <row r="492" customHeight="1" spans="1:8">
      <c r="A492" s="11"/>
      <c r="B492" s="11"/>
      <c r="C492" s="11"/>
      <c r="D492" s="10"/>
      <c r="E492" s="11"/>
      <c r="H492" s="13"/>
    </row>
    <row r="493" customHeight="1" spans="1:8">
      <c r="A493" s="11"/>
      <c r="B493" s="11"/>
      <c r="C493" s="11"/>
      <c r="D493" s="10"/>
      <c r="E493" s="11"/>
      <c r="H493" s="13"/>
    </row>
    <row r="494" customHeight="1" spans="1:8">
      <c r="A494" s="11"/>
      <c r="B494" s="11"/>
      <c r="C494" s="11"/>
      <c r="D494" s="10"/>
      <c r="E494" s="11"/>
      <c r="H494" s="13"/>
    </row>
    <row r="495" customHeight="1" spans="1:8">
      <c r="A495" s="11"/>
      <c r="B495" s="11"/>
      <c r="C495" s="11"/>
      <c r="D495" s="10"/>
      <c r="E495" s="11"/>
      <c r="H495" s="13"/>
    </row>
    <row r="496" customHeight="1" spans="1:8">
      <c r="A496" s="11"/>
      <c r="B496" s="11"/>
      <c r="C496" s="11"/>
      <c r="D496" s="10"/>
      <c r="E496" s="11"/>
      <c r="H496" s="13"/>
    </row>
    <row r="497" customHeight="1" spans="1:8">
      <c r="A497" s="11"/>
      <c r="B497" s="11"/>
      <c r="C497" s="11"/>
      <c r="D497" s="10"/>
      <c r="E497" s="11"/>
      <c r="H497" s="13"/>
    </row>
    <row r="498" customHeight="1" spans="1:8">
      <c r="A498" s="11"/>
      <c r="B498" s="11"/>
      <c r="C498" s="11"/>
      <c r="D498" s="10"/>
      <c r="E498" s="11"/>
      <c r="H498" s="13"/>
    </row>
    <row r="499" customHeight="1" spans="1:8">
      <c r="A499" s="11"/>
      <c r="B499" s="11"/>
      <c r="C499" s="11"/>
      <c r="D499" s="10"/>
      <c r="E499" s="11"/>
      <c r="H499" s="13"/>
    </row>
    <row r="500" customHeight="1" spans="1:8">
      <c r="A500" s="11"/>
      <c r="B500" s="11"/>
      <c r="C500" s="11"/>
      <c r="D500" s="10"/>
      <c r="E500" s="11"/>
      <c r="H500" s="13"/>
    </row>
    <row r="501" customHeight="1" spans="1:8">
      <c r="A501" s="11"/>
      <c r="B501" s="11"/>
      <c r="C501" s="11"/>
      <c r="D501" s="10"/>
      <c r="E501" s="11"/>
      <c r="H501" s="13"/>
    </row>
    <row r="502" customHeight="1" spans="1:8">
      <c r="A502" s="11"/>
      <c r="B502" s="11"/>
      <c r="C502" s="11"/>
      <c r="D502" s="10"/>
      <c r="E502" s="11"/>
      <c r="H502" s="13"/>
    </row>
    <row r="503" customHeight="1" spans="1:8">
      <c r="A503" s="11"/>
      <c r="B503" s="11"/>
      <c r="C503" s="11"/>
      <c r="D503" s="10"/>
      <c r="E503" s="11"/>
      <c r="H503" s="13"/>
    </row>
    <row r="504" customHeight="1" spans="1:8">
      <c r="A504" s="11"/>
      <c r="B504" s="11"/>
      <c r="C504" s="11"/>
      <c r="D504" s="10"/>
      <c r="E504" s="11"/>
      <c r="H504" s="13"/>
    </row>
    <row r="505" customHeight="1" spans="1:8">
      <c r="A505" s="11"/>
      <c r="B505" s="11"/>
      <c r="C505" s="11"/>
      <c r="D505" s="10"/>
      <c r="E505" s="11"/>
      <c r="H505" s="13"/>
    </row>
    <row r="506" customHeight="1" spans="1:8">
      <c r="A506" s="11"/>
      <c r="B506" s="11"/>
      <c r="C506" s="11"/>
      <c r="D506" s="10"/>
      <c r="E506" s="11"/>
      <c r="H506" s="13"/>
    </row>
    <row r="507" customHeight="1" spans="1:8">
      <c r="A507" s="11"/>
      <c r="B507" s="11"/>
      <c r="C507" s="11"/>
      <c r="D507" s="10"/>
      <c r="E507" s="11"/>
      <c r="H507" s="13"/>
    </row>
    <row r="508" customHeight="1" spans="1:8">
      <c r="A508" s="11"/>
      <c r="B508" s="11"/>
      <c r="C508" s="11"/>
      <c r="D508" s="10"/>
      <c r="E508" s="11"/>
      <c r="H508" s="13"/>
    </row>
    <row r="509" customHeight="1" spans="1:8">
      <c r="A509" s="11"/>
      <c r="B509" s="11"/>
      <c r="C509" s="11"/>
      <c r="D509" s="10"/>
      <c r="E509" s="11"/>
      <c r="H509" s="13"/>
    </row>
    <row r="510" customHeight="1" spans="1:8">
      <c r="A510" s="11"/>
      <c r="B510" s="11"/>
      <c r="C510" s="11"/>
      <c r="D510" s="10"/>
      <c r="E510" s="11"/>
      <c r="H510" s="13"/>
    </row>
    <row r="511" customHeight="1" spans="1:8">
      <c r="A511" s="11"/>
      <c r="B511" s="11"/>
      <c r="C511" s="11"/>
      <c r="D511" s="10"/>
      <c r="E511" s="11"/>
      <c r="H511" s="13"/>
    </row>
    <row r="512" customHeight="1" spans="1:8">
      <c r="A512" s="11"/>
      <c r="B512" s="11"/>
      <c r="C512" s="11"/>
      <c r="D512" s="10"/>
      <c r="E512" s="11"/>
      <c r="H512" s="13"/>
    </row>
    <row r="513" customHeight="1" spans="1:8">
      <c r="A513" s="11"/>
      <c r="B513" s="11"/>
      <c r="C513" s="11"/>
      <c r="D513" s="10"/>
      <c r="E513" s="11"/>
      <c r="H513" s="13"/>
    </row>
    <row r="514" customHeight="1" spans="1:8">
      <c r="A514" s="11"/>
      <c r="B514" s="11"/>
      <c r="C514" s="11"/>
      <c r="D514" s="10"/>
      <c r="E514" s="11"/>
      <c r="H514" s="13"/>
    </row>
    <row r="515" customHeight="1" spans="1:8">
      <c r="A515" s="11"/>
      <c r="B515" s="11"/>
      <c r="C515" s="11"/>
      <c r="D515" s="10"/>
      <c r="E515" s="11"/>
      <c r="H515" s="13"/>
    </row>
    <row r="516" customHeight="1" spans="1:8">
      <c r="A516" s="11"/>
      <c r="B516" s="11"/>
      <c r="C516" s="11"/>
      <c r="D516" s="10"/>
      <c r="E516" s="11"/>
      <c r="H516" s="13"/>
    </row>
    <row r="517" customHeight="1" spans="1:8">
      <c r="A517" s="11"/>
      <c r="B517" s="11"/>
      <c r="C517" s="11"/>
      <c r="D517" s="10"/>
      <c r="E517" s="11"/>
      <c r="H517" s="13"/>
    </row>
    <row r="518" customHeight="1" spans="1:8">
      <c r="A518" s="11"/>
      <c r="B518" s="11"/>
      <c r="C518" s="11"/>
      <c r="D518" s="10"/>
      <c r="E518" s="11"/>
      <c r="H518" s="13"/>
    </row>
    <row r="519" customHeight="1" spans="1:8">
      <c r="A519" s="11"/>
      <c r="B519" s="11"/>
      <c r="C519" s="11"/>
      <c r="D519" s="10"/>
      <c r="E519" s="11"/>
      <c r="H519" s="13"/>
    </row>
    <row r="520" customHeight="1" spans="1:8">
      <c r="A520" s="11"/>
      <c r="B520" s="11"/>
      <c r="C520" s="11"/>
      <c r="D520" s="10"/>
      <c r="E520" s="11"/>
      <c r="H520" s="13"/>
    </row>
    <row r="521" customHeight="1" spans="1:8">
      <c r="A521" s="11"/>
      <c r="B521" s="11"/>
      <c r="C521" s="11"/>
      <c r="D521" s="10"/>
      <c r="E521" s="11"/>
      <c r="H521" s="13"/>
    </row>
    <row r="522" customHeight="1" spans="1:8">
      <c r="A522" s="11"/>
      <c r="B522" s="11"/>
      <c r="C522" s="11"/>
      <c r="D522" s="10"/>
      <c r="E522" s="11"/>
      <c r="H522" s="13"/>
    </row>
    <row r="523" customHeight="1" spans="1:8">
      <c r="A523" s="11"/>
      <c r="B523" s="11"/>
      <c r="C523" s="11"/>
      <c r="D523" s="10"/>
      <c r="E523" s="11"/>
      <c r="H523" s="13"/>
    </row>
    <row r="524" customHeight="1" spans="1:8">
      <c r="A524" s="11"/>
      <c r="B524" s="11"/>
      <c r="C524" s="11"/>
      <c r="D524" s="10"/>
      <c r="E524" s="11"/>
      <c r="H524" s="13"/>
    </row>
    <row r="525" customHeight="1" spans="1:8">
      <c r="A525" s="11"/>
      <c r="B525" s="11"/>
      <c r="C525" s="11"/>
      <c r="D525" s="10"/>
      <c r="E525" s="11"/>
      <c r="H525" s="13"/>
    </row>
    <row r="526" customHeight="1" spans="1:8">
      <c r="A526" s="11"/>
      <c r="B526" s="11"/>
      <c r="C526" s="11"/>
      <c r="D526" s="10"/>
      <c r="E526" s="11"/>
      <c r="H526" s="13"/>
    </row>
    <row r="527" customHeight="1" spans="1:8">
      <c r="A527" s="11"/>
      <c r="B527" s="11"/>
      <c r="C527" s="11"/>
      <c r="D527" s="10"/>
      <c r="E527" s="11"/>
      <c r="H527" s="13"/>
    </row>
    <row r="528" customHeight="1" spans="1:8">
      <c r="A528" s="11"/>
      <c r="B528" s="11"/>
      <c r="C528" s="11"/>
      <c r="D528" s="10"/>
      <c r="E528" s="11"/>
      <c r="H528" s="13"/>
    </row>
    <row r="529" customHeight="1" spans="1:8">
      <c r="A529" s="11"/>
      <c r="B529" s="11"/>
      <c r="C529" s="11"/>
      <c r="D529" s="10"/>
      <c r="E529" s="11"/>
      <c r="H529" s="13"/>
    </row>
    <row r="530" customHeight="1" spans="1:8">
      <c r="A530" s="11"/>
      <c r="B530" s="11"/>
      <c r="C530" s="11"/>
      <c r="D530" s="10"/>
      <c r="E530" s="11"/>
      <c r="H530" s="13"/>
    </row>
    <row r="531" customHeight="1" spans="1:8">
      <c r="A531" s="11"/>
      <c r="B531" s="11"/>
      <c r="C531" s="11"/>
      <c r="D531" s="10"/>
      <c r="E531" s="11"/>
      <c r="H531" s="13"/>
    </row>
    <row r="532" customHeight="1" spans="1:8">
      <c r="A532" s="11"/>
      <c r="B532" s="11"/>
      <c r="C532" s="11"/>
      <c r="D532" s="10"/>
      <c r="E532" s="11"/>
      <c r="H532" s="13"/>
    </row>
    <row r="533" customHeight="1" spans="1:8">
      <c r="A533" s="11"/>
      <c r="B533" s="11"/>
      <c r="C533" s="11"/>
      <c r="D533" s="10"/>
      <c r="E533" s="11"/>
      <c r="H533" s="13"/>
    </row>
    <row r="534" customHeight="1" spans="1:8">
      <c r="A534" s="11"/>
      <c r="B534" s="11"/>
      <c r="C534" s="11"/>
      <c r="D534" s="10"/>
      <c r="E534" s="11"/>
      <c r="H534" s="13"/>
    </row>
    <row r="535" customHeight="1" spans="1:8">
      <c r="A535" s="11"/>
      <c r="B535" s="11"/>
      <c r="C535" s="11"/>
      <c r="D535" s="10"/>
      <c r="E535" s="11"/>
      <c r="H535" s="13"/>
    </row>
    <row r="536" customHeight="1" spans="1:8">
      <c r="A536" s="11"/>
      <c r="B536" s="11"/>
      <c r="C536" s="11"/>
      <c r="D536" s="10"/>
      <c r="E536" s="11"/>
      <c r="H536" s="13"/>
    </row>
    <row r="537" customHeight="1" spans="1:8">
      <c r="A537" s="11"/>
      <c r="B537" s="11"/>
      <c r="C537" s="11"/>
      <c r="D537" s="10"/>
      <c r="E537" s="11"/>
      <c r="H537" s="13"/>
    </row>
    <row r="538" customHeight="1" spans="1:8">
      <c r="A538" s="11"/>
      <c r="B538" s="11"/>
      <c r="C538" s="11"/>
      <c r="D538" s="10"/>
      <c r="E538" s="11"/>
      <c r="H538" s="13"/>
    </row>
    <row r="539" customHeight="1" spans="1:8">
      <c r="A539" s="11"/>
      <c r="B539" s="11"/>
      <c r="C539" s="11"/>
      <c r="D539" s="10"/>
      <c r="E539" s="11"/>
      <c r="H539" s="13"/>
    </row>
    <row r="540" customHeight="1" spans="1:8">
      <c r="A540" s="11"/>
      <c r="B540" s="11"/>
      <c r="C540" s="11"/>
      <c r="D540" s="10"/>
      <c r="E540" s="11"/>
      <c r="H540" s="13"/>
    </row>
    <row r="541" customHeight="1" spans="1:8">
      <c r="A541" s="11"/>
      <c r="B541" s="11"/>
      <c r="C541" s="11"/>
      <c r="D541" s="10"/>
      <c r="E541" s="11"/>
      <c r="H541" s="13"/>
    </row>
    <row r="542" customHeight="1" spans="1:8">
      <c r="A542" s="11"/>
      <c r="B542" s="11"/>
      <c r="C542" s="11"/>
      <c r="D542" s="10"/>
      <c r="E542" s="11"/>
      <c r="H542" s="13"/>
    </row>
    <row r="543" customHeight="1" spans="1:8">
      <c r="A543" s="11"/>
      <c r="B543" s="11"/>
      <c r="C543" s="11"/>
      <c r="D543" s="10"/>
      <c r="E543" s="11"/>
      <c r="H543" s="13"/>
    </row>
    <row r="544" customHeight="1" spans="1:8">
      <c r="A544" s="11"/>
      <c r="B544" s="11"/>
      <c r="C544" s="11"/>
      <c r="D544" s="10"/>
      <c r="E544" s="11"/>
      <c r="H544" s="13"/>
    </row>
    <row r="545" customHeight="1" spans="1:8">
      <c r="A545" s="11"/>
      <c r="B545" s="11"/>
      <c r="C545" s="11"/>
      <c r="D545" s="10"/>
      <c r="E545" s="11"/>
      <c r="H545" s="13"/>
    </row>
    <row r="546" customHeight="1" spans="1:8">
      <c r="A546" s="11"/>
      <c r="B546" s="11"/>
      <c r="C546" s="11"/>
      <c r="D546" s="10"/>
      <c r="E546" s="11"/>
      <c r="H546" s="13"/>
    </row>
    <row r="547" customHeight="1" spans="1:8">
      <c r="A547" s="11"/>
      <c r="B547" s="11"/>
      <c r="C547" s="11"/>
      <c r="D547" s="10"/>
      <c r="E547" s="11"/>
      <c r="H547" s="13"/>
    </row>
    <row r="548" customHeight="1" spans="1:8">
      <c r="A548" s="11"/>
      <c r="B548" s="11"/>
      <c r="C548" s="11"/>
      <c r="D548" s="10"/>
      <c r="E548" s="11"/>
      <c r="H548" s="13"/>
    </row>
    <row r="549" customHeight="1" spans="1:8">
      <c r="A549" s="11"/>
      <c r="B549" s="11"/>
      <c r="C549" s="11"/>
      <c r="D549" s="10"/>
      <c r="E549" s="11"/>
      <c r="H549" s="13"/>
    </row>
    <row r="550" customHeight="1" spans="1:8">
      <c r="A550" s="11"/>
      <c r="B550" s="11"/>
      <c r="C550" s="11"/>
      <c r="D550" s="10"/>
      <c r="E550" s="11"/>
      <c r="H550" s="13"/>
    </row>
    <row r="551" customHeight="1" spans="1:8">
      <c r="A551" s="11"/>
      <c r="B551" s="11"/>
      <c r="C551" s="11"/>
      <c r="D551" s="10"/>
      <c r="E551" s="11"/>
      <c r="H551" s="13"/>
    </row>
    <row r="552" customHeight="1" spans="1:8">
      <c r="A552" s="11"/>
      <c r="B552" s="11"/>
      <c r="C552" s="11"/>
      <c r="D552" s="10"/>
      <c r="E552" s="11"/>
      <c r="H552" s="13"/>
    </row>
    <row r="553" customHeight="1" spans="1:8">
      <c r="A553" s="11"/>
      <c r="B553" s="11"/>
      <c r="C553" s="11"/>
      <c r="D553" s="10"/>
      <c r="E553" s="11"/>
      <c r="H553" s="13"/>
    </row>
    <row r="554" customHeight="1" spans="1:8">
      <c r="A554" s="11"/>
      <c r="B554" s="11"/>
      <c r="C554" s="11"/>
      <c r="D554" s="10"/>
      <c r="E554" s="11"/>
      <c r="H554" s="13"/>
    </row>
    <row r="555" customHeight="1" spans="1:8">
      <c r="A555" s="11"/>
      <c r="B555" s="11"/>
      <c r="C555" s="11"/>
      <c r="D555" s="10"/>
      <c r="E555" s="11"/>
      <c r="H555" s="13"/>
    </row>
    <row r="556" customHeight="1" spans="1:8">
      <c r="A556" s="11"/>
      <c r="B556" s="11"/>
      <c r="C556" s="11"/>
      <c r="D556" s="10"/>
      <c r="E556" s="11"/>
      <c r="H556" s="13"/>
    </row>
    <row r="557" customHeight="1" spans="1:8">
      <c r="A557" s="11"/>
      <c r="B557" s="11"/>
      <c r="C557" s="11"/>
      <c r="D557" s="10"/>
      <c r="E557" s="11"/>
      <c r="H557" s="13"/>
    </row>
    <row r="558" customHeight="1" spans="1:8">
      <c r="A558" s="11"/>
      <c r="B558" s="11"/>
      <c r="C558" s="11"/>
      <c r="D558" s="10"/>
      <c r="E558" s="11"/>
      <c r="H558" s="13"/>
    </row>
    <row r="559" customHeight="1" spans="1:8">
      <c r="A559" s="11"/>
      <c r="B559" s="11"/>
      <c r="C559" s="11"/>
      <c r="D559" s="10"/>
      <c r="E559" s="11"/>
      <c r="H559" s="13"/>
    </row>
    <row r="560" customHeight="1" spans="1:8">
      <c r="A560" s="11"/>
      <c r="B560" s="11"/>
      <c r="C560" s="11"/>
      <c r="D560" s="10"/>
      <c r="E560" s="11"/>
      <c r="H560" s="13"/>
    </row>
    <row r="561" customHeight="1" spans="1:8">
      <c r="A561" s="11"/>
      <c r="B561" s="11"/>
      <c r="C561" s="11"/>
      <c r="D561" s="10"/>
      <c r="E561" s="11"/>
      <c r="H561" s="13"/>
    </row>
    <row r="562" customHeight="1" spans="1:8">
      <c r="A562" s="11"/>
      <c r="B562" s="11"/>
      <c r="C562" s="11"/>
      <c r="D562" s="10"/>
      <c r="E562" s="11"/>
      <c r="H562" s="13"/>
    </row>
    <row r="563" customHeight="1" spans="1:8">
      <c r="A563" s="11"/>
      <c r="B563" s="11"/>
      <c r="C563" s="11"/>
      <c r="D563" s="10"/>
      <c r="E563" s="11"/>
      <c r="H563" s="13"/>
    </row>
    <row r="564" customHeight="1" spans="1:8">
      <c r="A564" s="11"/>
      <c r="B564" s="11"/>
      <c r="C564" s="11"/>
      <c r="D564" s="10"/>
      <c r="E564" s="11"/>
      <c r="H564" s="13"/>
    </row>
    <row r="565" customHeight="1" spans="1:8">
      <c r="A565" s="11"/>
      <c r="B565" s="11"/>
      <c r="C565" s="11"/>
      <c r="D565" s="10"/>
      <c r="E565" s="11"/>
      <c r="H565" s="13"/>
    </row>
    <row r="566" customHeight="1" spans="1:8">
      <c r="A566" s="11"/>
      <c r="B566" s="11"/>
      <c r="C566" s="11"/>
      <c r="D566" s="10"/>
      <c r="E566" s="11"/>
      <c r="H566" s="13"/>
    </row>
    <row r="567" customHeight="1" spans="1:8">
      <c r="A567" s="11"/>
      <c r="B567" s="11"/>
      <c r="C567" s="11"/>
      <c r="D567" s="10"/>
      <c r="E567" s="11"/>
      <c r="H567" s="13"/>
    </row>
    <row r="568" customHeight="1" spans="1:8">
      <c r="A568" s="11"/>
      <c r="B568" s="11"/>
      <c r="C568" s="11"/>
      <c r="D568" s="10"/>
      <c r="E568" s="11"/>
      <c r="H568" s="13"/>
    </row>
    <row r="569" customHeight="1" spans="1:8">
      <c r="A569" s="11"/>
      <c r="B569" s="11"/>
      <c r="C569" s="11"/>
      <c r="D569" s="10"/>
      <c r="E569" s="11"/>
      <c r="H569" s="13"/>
    </row>
    <row r="570" customHeight="1" spans="1:8">
      <c r="A570" s="11"/>
      <c r="B570" s="11"/>
      <c r="C570" s="11"/>
      <c r="D570" s="10"/>
      <c r="E570" s="11"/>
      <c r="H570" s="13"/>
    </row>
    <row r="571" customHeight="1" spans="1:8">
      <c r="A571" s="11"/>
      <c r="B571" s="11"/>
      <c r="C571" s="11"/>
      <c r="D571" s="10"/>
      <c r="E571" s="11"/>
      <c r="H571" s="13"/>
    </row>
    <row r="572" customHeight="1" spans="1:8">
      <c r="A572" s="11"/>
      <c r="B572" s="11"/>
      <c r="C572" s="11"/>
      <c r="D572" s="10"/>
      <c r="E572" s="11"/>
      <c r="H572" s="13"/>
    </row>
    <row r="573" customHeight="1" spans="1:8">
      <c r="A573" s="11"/>
      <c r="B573" s="11"/>
      <c r="C573" s="11"/>
      <c r="D573" s="10"/>
      <c r="E573" s="11"/>
      <c r="H573" s="13"/>
    </row>
    <row r="574" customHeight="1" spans="1:8">
      <c r="A574" s="11"/>
      <c r="B574" s="11"/>
      <c r="C574" s="11"/>
      <c r="D574" s="10"/>
      <c r="E574" s="11"/>
      <c r="H574" s="13"/>
    </row>
    <row r="575" customHeight="1" spans="1:8">
      <c r="A575" s="11"/>
      <c r="B575" s="11"/>
      <c r="C575" s="11"/>
      <c r="D575" s="10"/>
      <c r="E575" s="11"/>
      <c r="H575" s="13"/>
    </row>
    <row r="576" customHeight="1" spans="1:8">
      <c r="A576" s="11"/>
      <c r="B576" s="11"/>
      <c r="C576" s="11"/>
      <c r="D576" s="10"/>
      <c r="E576" s="11"/>
      <c r="H576" s="13"/>
    </row>
    <row r="577" customHeight="1" spans="1:8">
      <c r="A577" s="11"/>
      <c r="B577" s="11"/>
      <c r="C577" s="11"/>
      <c r="D577" s="10"/>
      <c r="E577" s="11"/>
      <c r="H577" s="13"/>
    </row>
    <row r="578" customHeight="1" spans="1:8">
      <c r="A578" s="11"/>
      <c r="B578" s="11"/>
      <c r="C578" s="11"/>
      <c r="D578" s="10"/>
      <c r="E578" s="11"/>
      <c r="H578" s="13"/>
    </row>
    <row r="579" customHeight="1" spans="1:8">
      <c r="A579" s="11"/>
      <c r="B579" s="11"/>
      <c r="C579" s="11"/>
      <c r="D579" s="10"/>
      <c r="E579" s="11"/>
      <c r="H579" s="13"/>
    </row>
    <row r="580" customHeight="1" spans="1:8">
      <c r="A580" s="11"/>
      <c r="B580" s="11"/>
      <c r="C580" s="11"/>
      <c r="D580" s="10"/>
      <c r="E580" s="11"/>
      <c r="H580" s="13"/>
    </row>
    <row r="581" customHeight="1" spans="1:8">
      <c r="A581" s="11"/>
      <c r="B581" s="11"/>
      <c r="C581" s="11"/>
      <c r="D581" s="10"/>
      <c r="E581" s="11"/>
      <c r="H581" s="13"/>
    </row>
    <row r="582" customHeight="1" spans="1:8">
      <c r="A582" s="11"/>
      <c r="B582" s="11"/>
      <c r="C582" s="11"/>
      <c r="D582" s="10"/>
      <c r="E582" s="11"/>
      <c r="H582" s="13"/>
    </row>
    <row r="583" customHeight="1" spans="1:8">
      <c r="A583" s="11"/>
      <c r="B583" s="11"/>
      <c r="C583" s="11"/>
      <c r="D583" s="10"/>
      <c r="E583" s="11"/>
      <c r="H583" s="13"/>
    </row>
    <row r="584" customHeight="1" spans="1:8">
      <c r="A584" s="11"/>
      <c r="B584" s="11"/>
      <c r="C584" s="11"/>
      <c r="D584" s="10"/>
      <c r="E584" s="11"/>
      <c r="H584" s="13"/>
    </row>
    <row r="585" customHeight="1" spans="1:8">
      <c r="A585" s="11"/>
      <c r="B585" s="11"/>
      <c r="C585" s="11"/>
      <c r="D585" s="10"/>
      <c r="E585" s="11"/>
      <c r="H585" s="13"/>
    </row>
    <row r="586" customHeight="1" spans="1:8">
      <c r="A586" s="11"/>
      <c r="B586" s="11"/>
      <c r="C586" s="11"/>
      <c r="D586" s="10"/>
      <c r="E586" s="11"/>
      <c r="H586" s="13"/>
    </row>
    <row r="587" customHeight="1" spans="1:8">
      <c r="A587" s="11"/>
      <c r="B587" s="11"/>
      <c r="C587" s="11"/>
      <c r="D587" s="10"/>
      <c r="E587" s="11"/>
      <c r="H587" s="13"/>
    </row>
    <row r="588" customHeight="1" spans="1:8">
      <c r="A588" s="11"/>
      <c r="B588" s="11"/>
      <c r="C588" s="11"/>
      <c r="D588" s="10"/>
      <c r="E588" s="11"/>
      <c r="H588" s="13"/>
    </row>
    <row r="589" customHeight="1" spans="1:8">
      <c r="A589" s="11"/>
      <c r="B589" s="11"/>
      <c r="C589" s="11"/>
      <c r="D589" s="10"/>
      <c r="E589" s="11"/>
      <c r="H589" s="13"/>
    </row>
    <row r="590" customHeight="1" spans="1:8">
      <c r="A590" s="11"/>
      <c r="B590" s="11"/>
      <c r="C590" s="11"/>
      <c r="D590" s="10"/>
      <c r="E590" s="11"/>
      <c r="H590" s="13"/>
    </row>
    <row r="591" customHeight="1" spans="1:8">
      <c r="A591" s="11"/>
      <c r="B591" s="11"/>
      <c r="C591" s="11"/>
      <c r="D591" s="10"/>
      <c r="E591" s="11"/>
      <c r="H591" s="13"/>
    </row>
    <row r="592" customHeight="1" spans="1:8">
      <c r="A592" s="11"/>
      <c r="B592" s="11"/>
      <c r="C592" s="11"/>
      <c r="D592" s="10"/>
      <c r="E592" s="11"/>
      <c r="H592" s="13"/>
    </row>
    <row r="593" customHeight="1" spans="1:8">
      <c r="A593" s="11"/>
      <c r="B593" s="11"/>
      <c r="C593" s="11"/>
      <c r="D593" s="10"/>
      <c r="E593" s="11"/>
      <c r="H593" s="13"/>
    </row>
    <row r="594" customHeight="1" spans="1:8">
      <c r="A594" s="11"/>
      <c r="B594" s="11"/>
      <c r="C594" s="11"/>
      <c r="D594" s="10"/>
      <c r="E594" s="11"/>
      <c r="H594" s="13"/>
    </row>
    <row r="595" customHeight="1" spans="1:8">
      <c r="A595" s="11"/>
      <c r="B595" s="11"/>
      <c r="C595" s="11"/>
      <c r="D595" s="10"/>
      <c r="E595" s="11"/>
      <c r="H595" s="13"/>
    </row>
    <row r="596" customHeight="1" spans="1:8">
      <c r="A596" s="11"/>
      <c r="B596" s="11"/>
      <c r="C596" s="11"/>
      <c r="D596" s="10"/>
      <c r="E596" s="11"/>
      <c r="H596" s="13"/>
    </row>
    <row r="597" customHeight="1" spans="1:8">
      <c r="A597" s="11"/>
      <c r="B597" s="11"/>
      <c r="C597" s="11"/>
      <c r="D597" s="10"/>
      <c r="E597" s="11"/>
      <c r="H597" s="13"/>
    </row>
    <row r="598" customHeight="1" spans="1:8">
      <c r="A598" s="11"/>
      <c r="B598" s="11"/>
      <c r="C598" s="11"/>
      <c r="D598" s="10"/>
      <c r="E598" s="11"/>
      <c r="H598" s="13"/>
    </row>
    <row r="599" customHeight="1" spans="1:8">
      <c r="A599" s="11"/>
      <c r="B599" s="11"/>
      <c r="C599" s="11"/>
      <c r="D599" s="10"/>
      <c r="E599" s="11"/>
      <c r="H599" s="13"/>
    </row>
    <row r="600" customHeight="1" spans="1:8">
      <c r="A600" s="11"/>
      <c r="B600" s="11"/>
      <c r="C600" s="11"/>
      <c r="D600" s="10"/>
      <c r="E600" s="11"/>
      <c r="H600" s="13"/>
    </row>
    <row r="601" customHeight="1" spans="1:8">
      <c r="A601" s="11"/>
      <c r="B601" s="11"/>
      <c r="C601" s="11"/>
      <c r="D601" s="10"/>
      <c r="E601" s="11"/>
      <c r="H601" s="13"/>
    </row>
    <row r="602" customHeight="1" spans="1:8">
      <c r="A602" s="11"/>
      <c r="B602" s="11"/>
      <c r="C602" s="11"/>
      <c r="D602" s="10"/>
      <c r="E602" s="11"/>
      <c r="H602" s="13"/>
    </row>
    <row r="603" customHeight="1" spans="1:8">
      <c r="A603" s="11"/>
      <c r="B603" s="11"/>
      <c r="C603" s="11"/>
      <c r="D603" s="10"/>
      <c r="E603" s="11"/>
      <c r="H603" s="13"/>
    </row>
    <row r="604" customHeight="1" spans="1:8">
      <c r="A604" s="11"/>
      <c r="B604" s="11"/>
      <c r="C604" s="11"/>
      <c r="D604" s="10"/>
      <c r="E604" s="11"/>
      <c r="H604" s="13"/>
    </row>
    <row r="605" customHeight="1" spans="1:8">
      <c r="A605" s="11"/>
      <c r="B605" s="11"/>
      <c r="C605" s="11"/>
      <c r="D605" s="10"/>
      <c r="E605" s="11"/>
      <c r="H605" s="13"/>
    </row>
    <row r="606" customHeight="1" spans="1:8">
      <c r="A606" s="11"/>
      <c r="B606" s="11"/>
      <c r="C606" s="11"/>
      <c r="D606" s="10"/>
      <c r="E606" s="11"/>
      <c r="H606" s="13"/>
    </row>
    <row r="607" customHeight="1" spans="1:8">
      <c r="A607" s="11"/>
      <c r="B607" s="11"/>
      <c r="C607" s="11"/>
      <c r="D607" s="10"/>
      <c r="E607" s="11"/>
      <c r="H607" s="13"/>
    </row>
    <row r="608" customHeight="1" spans="1:8">
      <c r="A608" s="11"/>
      <c r="B608" s="11"/>
      <c r="C608" s="11"/>
      <c r="D608" s="10"/>
      <c r="E608" s="11"/>
      <c r="H608" s="13"/>
    </row>
    <row r="609" customHeight="1" spans="1:8">
      <c r="A609" s="11"/>
      <c r="B609" s="11"/>
      <c r="C609" s="11"/>
      <c r="D609" s="10"/>
      <c r="E609" s="11"/>
      <c r="H609" s="13"/>
    </row>
    <row r="610" customHeight="1" spans="1:8">
      <c r="A610" s="11"/>
      <c r="B610" s="11"/>
      <c r="C610" s="11"/>
      <c r="D610" s="10"/>
      <c r="E610" s="11"/>
      <c r="H610" s="13"/>
    </row>
    <row r="611" customHeight="1" spans="1:8">
      <c r="A611" s="11"/>
      <c r="B611" s="11"/>
      <c r="C611" s="11"/>
      <c r="D611" s="10"/>
      <c r="E611" s="11"/>
      <c r="H611" s="13"/>
    </row>
    <row r="612" customHeight="1" spans="1:8">
      <c r="A612" s="11"/>
      <c r="B612" s="11"/>
      <c r="C612" s="11"/>
      <c r="D612" s="10"/>
      <c r="E612" s="11"/>
      <c r="H612" s="13"/>
    </row>
    <row r="613" customHeight="1" spans="1:8">
      <c r="A613" s="11"/>
      <c r="B613" s="11"/>
      <c r="C613" s="11"/>
      <c r="D613" s="10"/>
      <c r="E613" s="11"/>
      <c r="H613" s="13"/>
    </row>
    <row r="614" customHeight="1" spans="1:8">
      <c r="A614" s="11"/>
      <c r="B614" s="11"/>
      <c r="C614" s="11"/>
      <c r="D614" s="10"/>
      <c r="E614" s="11"/>
      <c r="H614" s="13"/>
    </row>
    <row r="615" customHeight="1" spans="1:8">
      <c r="A615" s="11"/>
      <c r="B615" s="11"/>
      <c r="C615" s="11"/>
      <c r="D615" s="10"/>
      <c r="E615" s="11"/>
      <c r="H615" s="13"/>
    </row>
    <row r="616" customHeight="1" spans="1:8">
      <c r="A616" s="11"/>
      <c r="B616" s="11"/>
      <c r="C616" s="11"/>
      <c r="D616" s="10"/>
      <c r="E616" s="11"/>
      <c r="H616" s="13"/>
    </row>
    <row r="617" customHeight="1" spans="1:8">
      <c r="A617" s="11"/>
      <c r="B617" s="11"/>
      <c r="C617" s="11"/>
      <c r="D617" s="10"/>
      <c r="E617" s="11"/>
      <c r="H617" s="13"/>
    </row>
    <row r="618" customHeight="1" spans="1:8">
      <c r="A618" s="11"/>
      <c r="B618" s="11"/>
      <c r="C618" s="11"/>
      <c r="D618" s="10"/>
      <c r="E618" s="11"/>
      <c r="H618" s="13"/>
    </row>
    <row r="619" customHeight="1" spans="1:8">
      <c r="A619" s="11"/>
      <c r="B619" s="11"/>
      <c r="C619" s="11"/>
      <c r="D619" s="10"/>
      <c r="E619" s="11"/>
      <c r="H619" s="13"/>
    </row>
    <row r="620" customHeight="1" spans="1:8">
      <c r="A620" s="11"/>
      <c r="B620" s="11"/>
      <c r="C620" s="11"/>
      <c r="D620" s="10"/>
      <c r="E620" s="11"/>
      <c r="H620" s="13"/>
    </row>
    <row r="621" customHeight="1" spans="1:8">
      <c r="A621" s="11"/>
      <c r="B621" s="11"/>
      <c r="C621" s="11"/>
      <c r="D621" s="10"/>
      <c r="E621" s="11"/>
      <c r="H621" s="13"/>
    </row>
    <row r="622" customHeight="1" spans="1:8">
      <c r="A622" s="11"/>
      <c r="B622" s="11"/>
      <c r="C622" s="11"/>
      <c r="D622" s="10"/>
      <c r="E622" s="11"/>
      <c r="H622" s="13"/>
    </row>
    <row r="623" customHeight="1" spans="1:8">
      <c r="A623" s="11"/>
      <c r="B623" s="11"/>
      <c r="C623" s="11"/>
      <c r="D623" s="10"/>
      <c r="E623" s="11"/>
      <c r="H623" s="13"/>
    </row>
    <row r="624" customHeight="1" spans="1:8">
      <c r="A624" s="11"/>
      <c r="B624" s="11"/>
      <c r="C624" s="11"/>
      <c r="D624" s="10"/>
      <c r="E624" s="11"/>
      <c r="H624" s="13"/>
    </row>
    <row r="625" customHeight="1" spans="1:8">
      <c r="A625" s="11"/>
      <c r="B625" s="11"/>
      <c r="C625" s="11"/>
      <c r="D625" s="10"/>
      <c r="E625" s="11"/>
      <c r="H625" s="13"/>
    </row>
    <row r="626" customHeight="1" spans="1:8">
      <c r="A626" s="11"/>
      <c r="B626" s="11"/>
      <c r="C626" s="11"/>
      <c r="D626" s="10"/>
      <c r="E626" s="11"/>
      <c r="H626" s="13"/>
    </row>
    <row r="627" customHeight="1" spans="1:8">
      <c r="A627" s="11"/>
      <c r="B627" s="11"/>
      <c r="C627" s="11"/>
      <c r="D627" s="10"/>
      <c r="E627" s="11"/>
      <c r="H627" s="13"/>
    </row>
    <row r="628" customHeight="1" spans="1:8">
      <c r="A628" s="11"/>
      <c r="B628" s="11"/>
      <c r="C628" s="11"/>
      <c r="D628" s="10"/>
      <c r="E628" s="11"/>
      <c r="H628" s="13"/>
    </row>
    <row r="629" customHeight="1" spans="1:8">
      <c r="A629" s="11"/>
      <c r="B629" s="11"/>
      <c r="C629" s="11"/>
      <c r="D629" s="10"/>
      <c r="E629" s="11"/>
      <c r="H629" s="13"/>
    </row>
    <row r="630" customHeight="1" spans="1:8">
      <c r="A630" s="11"/>
      <c r="B630" s="11"/>
      <c r="C630" s="11"/>
      <c r="D630" s="10"/>
      <c r="E630" s="11"/>
      <c r="H630" s="13"/>
    </row>
    <row r="631" customHeight="1" spans="1:8">
      <c r="A631" s="11"/>
      <c r="B631" s="11"/>
      <c r="C631" s="11"/>
      <c r="D631" s="10"/>
      <c r="E631" s="11"/>
      <c r="H631" s="13"/>
    </row>
    <row r="632" customHeight="1" spans="1:8">
      <c r="A632" s="11"/>
      <c r="B632" s="11"/>
      <c r="C632" s="11"/>
      <c r="D632" s="10"/>
      <c r="E632" s="11"/>
      <c r="H632" s="13"/>
    </row>
    <row r="633" customHeight="1" spans="1:8">
      <c r="A633" s="11"/>
      <c r="B633" s="11"/>
      <c r="C633" s="11"/>
      <c r="D633" s="10"/>
      <c r="E633" s="11"/>
      <c r="H633" s="13"/>
    </row>
    <row r="634" customHeight="1" spans="1:8">
      <c r="A634" s="11"/>
      <c r="B634" s="11"/>
      <c r="C634" s="11"/>
      <c r="D634" s="10"/>
      <c r="E634" s="11"/>
      <c r="H634" s="13"/>
    </row>
    <row r="635" customHeight="1" spans="1:8">
      <c r="A635" s="11"/>
      <c r="B635" s="11"/>
      <c r="C635" s="11"/>
      <c r="D635" s="10"/>
      <c r="E635" s="11"/>
      <c r="H635" s="13"/>
    </row>
    <row r="636" customHeight="1" spans="1:8">
      <c r="A636" s="11"/>
      <c r="B636" s="11"/>
      <c r="C636" s="11"/>
      <c r="D636" s="10"/>
      <c r="E636" s="11"/>
      <c r="H636" s="13"/>
    </row>
    <row r="637" customHeight="1" spans="1:8">
      <c r="A637" s="11"/>
      <c r="B637" s="11"/>
      <c r="C637" s="11"/>
      <c r="D637" s="10"/>
      <c r="E637" s="11"/>
      <c r="H637" s="13"/>
    </row>
    <row r="638" customHeight="1" spans="1:8">
      <c r="A638" s="11"/>
      <c r="B638" s="11"/>
      <c r="C638" s="11"/>
      <c r="D638" s="10"/>
      <c r="E638" s="11"/>
      <c r="H638" s="13"/>
    </row>
    <row r="639" customHeight="1" spans="1:8">
      <c r="A639" s="11"/>
      <c r="B639" s="11"/>
      <c r="C639" s="11"/>
      <c r="D639" s="10"/>
      <c r="E639" s="11"/>
      <c r="H639" s="13"/>
    </row>
    <row r="640" customHeight="1" spans="1:8">
      <c r="A640" s="11"/>
      <c r="B640" s="11"/>
      <c r="C640" s="11"/>
      <c r="D640" s="10"/>
      <c r="E640" s="11"/>
      <c r="H640" s="13"/>
    </row>
    <row r="641" customHeight="1" spans="1:8">
      <c r="A641" s="11"/>
      <c r="B641" s="11"/>
      <c r="C641" s="11"/>
      <c r="D641" s="10"/>
      <c r="E641" s="11"/>
      <c r="H641" s="13"/>
    </row>
    <row r="642" customHeight="1" spans="1:8">
      <c r="A642" s="11"/>
      <c r="B642" s="11"/>
      <c r="C642" s="11"/>
      <c r="D642" s="10"/>
      <c r="E642" s="11"/>
      <c r="H642" s="13"/>
    </row>
    <row r="643" customHeight="1" spans="1:8">
      <c r="A643" s="11"/>
      <c r="B643" s="11"/>
      <c r="C643" s="11"/>
      <c r="D643" s="10"/>
      <c r="E643" s="11"/>
      <c r="H643" s="13"/>
    </row>
    <row r="644" customHeight="1" spans="1:8">
      <c r="A644" s="11"/>
      <c r="B644" s="11"/>
      <c r="C644" s="11"/>
      <c r="D644" s="10"/>
      <c r="E644" s="11"/>
      <c r="H644" s="13"/>
    </row>
    <row r="645" customHeight="1" spans="1:8">
      <c r="A645" s="11"/>
      <c r="B645" s="11"/>
      <c r="C645" s="11"/>
      <c r="D645" s="10"/>
      <c r="E645" s="11"/>
      <c r="H645" s="13"/>
    </row>
    <row r="646" customHeight="1" spans="1:8">
      <c r="A646" s="11"/>
      <c r="B646" s="11"/>
      <c r="C646" s="11"/>
      <c r="D646" s="10"/>
      <c r="E646" s="11"/>
      <c r="H646" s="13"/>
    </row>
    <row r="647" customHeight="1" spans="1:8">
      <c r="A647" s="11"/>
      <c r="B647" s="11"/>
      <c r="C647" s="11"/>
      <c r="D647" s="10"/>
      <c r="E647" s="11"/>
      <c r="H647" s="13"/>
    </row>
    <row r="648" customHeight="1" spans="1:8">
      <c r="A648" s="11"/>
      <c r="B648" s="11"/>
      <c r="C648" s="11"/>
      <c r="D648" s="10"/>
      <c r="E648" s="11"/>
      <c r="H648" s="13"/>
    </row>
    <row r="649" customHeight="1" spans="1:8">
      <c r="A649" s="11"/>
      <c r="B649" s="11"/>
      <c r="C649" s="11"/>
      <c r="D649" s="10"/>
      <c r="E649" s="11"/>
      <c r="H649" s="13"/>
    </row>
    <row r="650" customHeight="1" spans="1:8">
      <c r="A650" s="11"/>
      <c r="B650" s="11"/>
      <c r="C650" s="11"/>
      <c r="D650" s="10"/>
      <c r="E650" s="11"/>
      <c r="H650" s="13"/>
    </row>
    <row r="651" customHeight="1" spans="1:8">
      <c r="A651" s="11"/>
      <c r="B651" s="11"/>
      <c r="C651" s="11"/>
      <c r="D651" s="10"/>
      <c r="E651" s="11"/>
      <c r="H651" s="13"/>
    </row>
    <row r="652" customHeight="1" spans="1:8">
      <c r="A652" s="11"/>
      <c r="B652" s="11"/>
      <c r="C652" s="11"/>
      <c r="D652" s="10"/>
      <c r="E652" s="11"/>
      <c r="H652" s="13"/>
    </row>
    <row r="653" customHeight="1" spans="1:8">
      <c r="A653" s="11"/>
      <c r="B653" s="11"/>
      <c r="C653" s="11"/>
      <c r="D653" s="10"/>
      <c r="E653" s="11"/>
      <c r="H653" s="13"/>
    </row>
    <row r="654" customHeight="1" spans="1:8">
      <c r="A654" s="11"/>
      <c r="B654" s="11"/>
      <c r="C654" s="11"/>
      <c r="D654" s="10"/>
      <c r="E654" s="11"/>
      <c r="H654" s="13"/>
    </row>
    <row r="655" customHeight="1" spans="1:8">
      <c r="A655" s="11"/>
      <c r="B655" s="11"/>
      <c r="C655" s="11"/>
      <c r="D655" s="10"/>
      <c r="E655" s="11"/>
      <c r="H655" s="13"/>
    </row>
    <row r="656" customHeight="1" spans="1:8">
      <c r="A656" s="11"/>
      <c r="B656" s="11"/>
      <c r="C656" s="11"/>
      <c r="D656" s="10"/>
      <c r="E656" s="11"/>
      <c r="H656" s="13"/>
    </row>
    <row r="657" customHeight="1" spans="1:8">
      <c r="A657" s="11"/>
      <c r="B657" s="11"/>
      <c r="C657" s="11"/>
      <c r="D657" s="10"/>
      <c r="E657" s="11"/>
      <c r="H657" s="13"/>
    </row>
    <row r="658" customHeight="1" spans="1:8">
      <c r="A658" s="11"/>
      <c r="B658" s="11"/>
      <c r="C658" s="11"/>
      <c r="D658" s="10"/>
      <c r="E658" s="11"/>
      <c r="H658" s="13"/>
    </row>
    <row r="659" customHeight="1" spans="1:8">
      <c r="A659" s="11"/>
      <c r="B659" s="11"/>
      <c r="C659" s="11"/>
      <c r="D659" s="10"/>
      <c r="E659" s="11"/>
      <c r="H659" s="13"/>
    </row>
    <row r="660" customHeight="1" spans="1:8">
      <c r="A660" s="11"/>
      <c r="B660" s="11"/>
      <c r="C660" s="11"/>
      <c r="D660" s="10"/>
      <c r="E660" s="11"/>
      <c r="H660" s="13"/>
    </row>
    <row r="661" customHeight="1" spans="1:8">
      <c r="A661" s="11"/>
      <c r="B661" s="11"/>
      <c r="C661" s="11"/>
      <c r="D661" s="10"/>
      <c r="E661" s="11"/>
      <c r="H661" s="13"/>
    </row>
    <row r="662" customHeight="1" spans="1:8">
      <c r="A662" s="11"/>
      <c r="B662" s="11"/>
      <c r="C662" s="11"/>
      <c r="D662" s="10"/>
      <c r="E662" s="11"/>
      <c r="H662" s="13"/>
    </row>
    <row r="663" customHeight="1" spans="1:8">
      <c r="A663" s="11"/>
      <c r="B663" s="11"/>
      <c r="C663" s="11"/>
      <c r="D663" s="10"/>
      <c r="E663" s="11"/>
      <c r="H663" s="13"/>
    </row>
    <row r="664" customHeight="1" spans="1:8">
      <c r="A664" s="11"/>
      <c r="B664" s="11"/>
      <c r="C664" s="11"/>
      <c r="D664" s="10"/>
      <c r="E664" s="11"/>
      <c r="H664" s="13"/>
    </row>
    <row r="665" customHeight="1" spans="1:8">
      <c r="A665" s="11"/>
      <c r="B665" s="11"/>
      <c r="C665" s="11"/>
      <c r="D665" s="10"/>
      <c r="E665" s="11"/>
      <c r="H665" s="13"/>
    </row>
    <row r="666" customHeight="1" spans="1:8">
      <c r="A666" s="11"/>
      <c r="B666" s="11"/>
      <c r="C666" s="11"/>
      <c r="D666" s="10"/>
      <c r="E666" s="11"/>
      <c r="H666" s="13"/>
    </row>
    <row r="667" customHeight="1" spans="1:8">
      <c r="A667" s="11"/>
      <c r="B667" s="11"/>
      <c r="C667" s="11"/>
      <c r="D667" s="10"/>
      <c r="E667" s="11"/>
      <c r="H667" s="13"/>
    </row>
    <row r="668" customHeight="1" spans="1:8">
      <c r="A668" s="11"/>
      <c r="B668" s="11"/>
      <c r="C668" s="11"/>
      <c r="D668" s="10"/>
      <c r="E668" s="11"/>
      <c r="H668" s="13"/>
    </row>
    <row r="669" customHeight="1" spans="1:8">
      <c r="A669" s="11"/>
      <c r="B669" s="11"/>
      <c r="C669" s="11"/>
      <c r="D669" s="10"/>
      <c r="E669" s="11"/>
      <c r="H669" s="13"/>
    </row>
    <row r="670" customHeight="1" spans="1:8">
      <c r="A670" s="11"/>
      <c r="B670" s="11"/>
      <c r="C670" s="11"/>
      <c r="D670" s="10"/>
      <c r="E670" s="11"/>
      <c r="H670" s="13"/>
    </row>
    <row r="671" customHeight="1" spans="1:8">
      <c r="A671" s="11"/>
      <c r="B671" s="11"/>
      <c r="C671" s="11"/>
      <c r="D671" s="10"/>
      <c r="E671" s="11"/>
      <c r="H671" s="13"/>
    </row>
    <row r="672" customHeight="1" spans="1:8">
      <c r="A672" s="11"/>
      <c r="B672" s="11"/>
      <c r="C672" s="11"/>
      <c r="D672" s="10"/>
      <c r="E672" s="11"/>
      <c r="H672" s="13"/>
    </row>
    <row r="673" customHeight="1" spans="1:8">
      <c r="A673" s="11"/>
      <c r="B673" s="11"/>
      <c r="C673" s="11"/>
      <c r="D673" s="10"/>
      <c r="E673" s="11"/>
      <c r="H673" s="13"/>
    </row>
    <row r="674" customHeight="1" spans="1:8">
      <c r="A674" s="11"/>
      <c r="B674" s="11"/>
      <c r="C674" s="11"/>
      <c r="D674" s="10"/>
      <c r="E674" s="11"/>
      <c r="H674" s="13"/>
    </row>
    <row r="675" customHeight="1" spans="1:8">
      <c r="A675" s="11"/>
      <c r="B675" s="11"/>
      <c r="C675" s="11"/>
      <c r="D675" s="10"/>
      <c r="E675" s="11"/>
      <c r="H675" s="13"/>
    </row>
    <row r="676" customHeight="1" spans="1:8">
      <c r="A676" s="11"/>
      <c r="B676" s="11"/>
      <c r="C676" s="11"/>
      <c r="D676" s="10"/>
      <c r="E676" s="11"/>
      <c r="H676" s="13"/>
    </row>
    <row r="677" customHeight="1" spans="1:8">
      <c r="A677" s="11"/>
      <c r="B677" s="11"/>
      <c r="C677" s="11"/>
      <c r="D677" s="10"/>
      <c r="E677" s="11"/>
      <c r="H677" s="13"/>
    </row>
    <row r="678" customHeight="1" spans="1:8">
      <c r="A678" s="11"/>
      <c r="B678" s="11"/>
      <c r="C678" s="11"/>
      <c r="D678" s="10"/>
      <c r="E678" s="11"/>
      <c r="H678" s="13"/>
    </row>
    <row r="679" customHeight="1" spans="1:8">
      <c r="A679" s="11"/>
      <c r="B679" s="11"/>
      <c r="C679" s="11"/>
      <c r="D679" s="10"/>
      <c r="E679" s="11"/>
      <c r="H679" s="13"/>
    </row>
    <row r="680" customHeight="1" spans="1:8">
      <c r="A680" s="11"/>
      <c r="B680" s="11"/>
      <c r="C680" s="11"/>
      <c r="D680" s="10"/>
      <c r="E680" s="11"/>
      <c r="H680" s="13"/>
    </row>
    <row r="681" customHeight="1" spans="1:8">
      <c r="A681" s="11"/>
      <c r="B681" s="11"/>
      <c r="C681" s="11"/>
      <c r="D681" s="10"/>
      <c r="E681" s="11"/>
      <c r="H681" s="13"/>
    </row>
    <row r="682" customHeight="1" spans="1:8">
      <c r="A682" s="11"/>
      <c r="B682" s="11"/>
      <c r="C682" s="11"/>
      <c r="D682" s="10"/>
      <c r="E682" s="11"/>
      <c r="H682" s="13"/>
    </row>
    <row r="683" customHeight="1" spans="1:8">
      <c r="A683" s="11"/>
      <c r="B683" s="11"/>
      <c r="C683" s="11"/>
      <c r="D683" s="10"/>
      <c r="E683" s="11"/>
      <c r="H683" s="13"/>
    </row>
    <row r="684" customHeight="1" spans="1:8">
      <c r="A684" s="11"/>
      <c r="B684" s="11"/>
      <c r="C684" s="11"/>
      <c r="D684" s="10"/>
      <c r="E684" s="11"/>
      <c r="H684" s="13"/>
    </row>
    <row r="685" customHeight="1" spans="1:8">
      <c r="A685" s="11"/>
      <c r="B685" s="11"/>
      <c r="C685" s="11"/>
      <c r="D685" s="10"/>
      <c r="E685" s="11"/>
      <c r="H685" s="13"/>
    </row>
    <row r="686" customHeight="1" spans="1:8">
      <c r="A686" s="11"/>
      <c r="B686" s="11"/>
      <c r="C686" s="11"/>
      <c r="D686" s="10"/>
      <c r="E686" s="11"/>
      <c r="H686" s="13"/>
    </row>
    <row r="687" customHeight="1" spans="1:8">
      <c r="A687" s="11"/>
      <c r="B687" s="11"/>
      <c r="C687" s="11"/>
      <c r="D687" s="10"/>
      <c r="E687" s="11"/>
      <c r="H687" s="13"/>
    </row>
    <row r="688" customHeight="1" spans="1:8">
      <c r="A688" s="11"/>
      <c r="B688" s="11"/>
      <c r="C688" s="11"/>
      <c r="D688" s="10"/>
      <c r="E688" s="11"/>
      <c r="H688" s="13"/>
    </row>
    <row r="689" customHeight="1" spans="1:8">
      <c r="A689" s="11"/>
      <c r="B689" s="11"/>
      <c r="C689" s="11"/>
      <c r="D689" s="10"/>
      <c r="E689" s="11"/>
      <c r="H689" s="13"/>
    </row>
    <row r="690" customHeight="1" spans="1:8">
      <c r="A690" s="11"/>
      <c r="B690" s="11"/>
      <c r="C690" s="11"/>
      <c r="D690" s="10"/>
      <c r="E690" s="11"/>
      <c r="H690" s="13"/>
    </row>
    <row r="691" customHeight="1" spans="1:8">
      <c r="A691" s="11"/>
      <c r="B691" s="11"/>
      <c r="C691" s="11"/>
      <c r="D691" s="10"/>
      <c r="E691" s="11"/>
      <c r="H691" s="13"/>
    </row>
    <row r="692" customHeight="1" spans="1:8">
      <c r="A692" s="11"/>
      <c r="B692" s="11"/>
      <c r="C692" s="11"/>
      <c r="D692" s="10"/>
      <c r="E692" s="11"/>
      <c r="H692" s="13"/>
    </row>
    <row r="693" customHeight="1" spans="1:8">
      <c r="A693" s="11"/>
      <c r="B693" s="11"/>
      <c r="C693" s="11"/>
      <c r="D693" s="10"/>
      <c r="E693" s="11"/>
      <c r="H693" s="13"/>
    </row>
    <row r="694" customHeight="1" spans="1:8">
      <c r="A694" s="11"/>
      <c r="B694" s="11"/>
      <c r="C694" s="11"/>
      <c r="D694" s="10"/>
      <c r="E694" s="11"/>
      <c r="H694" s="13"/>
    </row>
    <row r="695" customHeight="1" spans="1:8">
      <c r="A695" s="11"/>
      <c r="B695" s="11"/>
      <c r="C695" s="11"/>
      <c r="D695" s="10"/>
      <c r="E695" s="11"/>
      <c r="H695" s="13"/>
    </row>
    <row r="696" customHeight="1" spans="1:8">
      <c r="A696" s="11"/>
      <c r="B696" s="11"/>
      <c r="C696" s="11"/>
      <c r="D696" s="10"/>
      <c r="E696" s="11"/>
      <c r="H696" s="13"/>
    </row>
    <row r="697" customHeight="1" spans="1:8">
      <c r="A697" s="11"/>
      <c r="B697" s="11"/>
      <c r="C697" s="11"/>
      <c r="D697" s="10"/>
      <c r="E697" s="11"/>
      <c r="H697" s="13"/>
    </row>
    <row r="698" customHeight="1" spans="1:8">
      <c r="A698" s="11"/>
      <c r="B698" s="11"/>
      <c r="C698" s="11"/>
      <c r="D698" s="10"/>
      <c r="E698" s="11"/>
      <c r="H698" s="13"/>
    </row>
    <row r="699" customHeight="1" spans="1:8">
      <c r="A699" s="11"/>
      <c r="B699" s="11"/>
      <c r="C699" s="11"/>
      <c r="D699" s="10"/>
      <c r="E699" s="11"/>
      <c r="H699" s="13"/>
    </row>
    <row r="700" customHeight="1" spans="1:8">
      <c r="A700" s="11"/>
      <c r="B700" s="11"/>
      <c r="C700" s="11"/>
      <c r="D700" s="10"/>
      <c r="E700" s="11"/>
      <c r="H700" s="13"/>
    </row>
    <row r="701" customHeight="1" spans="1:8">
      <c r="A701" s="11"/>
      <c r="B701" s="11"/>
      <c r="C701" s="11"/>
      <c r="D701" s="10"/>
      <c r="E701" s="11"/>
      <c r="H701" s="13"/>
    </row>
    <row r="702" customHeight="1" spans="1:8">
      <c r="A702" s="11"/>
      <c r="B702" s="11"/>
      <c r="C702" s="11"/>
      <c r="D702" s="10"/>
      <c r="E702" s="11"/>
      <c r="H702" s="13"/>
    </row>
    <row r="703" customHeight="1" spans="1:8">
      <c r="A703" s="11"/>
      <c r="B703" s="11"/>
      <c r="C703" s="11"/>
      <c r="D703" s="10"/>
      <c r="E703" s="11"/>
      <c r="H703" s="13"/>
    </row>
    <row r="704" customHeight="1" spans="1:8">
      <c r="A704" s="11"/>
      <c r="B704" s="11"/>
      <c r="C704" s="11"/>
      <c r="D704" s="10"/>
      <c r="E704" s="11"/>
      <c r="H704" s="13"/>
    </row>
    <row r="705" customHeight="1" spans="1:8">
      <c r="A705" s="11"/>
      <c r="B705" s="11"/>
      <c r="C705" s="11"/>
      <c r="D705" s="10"/>
      <c r="E705" s="11"/>
      <c r="H705" s="13"/>
    </row>
    <row r="706" customHeight="1" spans="1:8">
      <c r="A706" s="11"/>
      <c r="B706" s="11"/>
      <c r="C706" s="11"/>
      <c r="D706" s="10"/>
      <c r="E706" s="11"/>
      <c r="H706" s="13"/>
    </row>
    <row r="707" customHeight="1" spans="1:8">
      <c r="A707" s="11"/>
      <c r="B707" s="11"/>
      <c r="C707" s="11"/>
      <c r="D707" s="10"/>
      <c r="E707" s="11"/>
      <c r="H707" s="13"/>
    </row>
    <row r="708" customHeight="1" spans="1:8">
      <c r="A708" s="11"/>
      <c r="B708" s="11"/>
      <c r="C708" s="11"/>
      <c r="D708" s="10"/>
      <c r="E708" s="11"/>
      <c r="H708" s="13"/>
    </row>
    <row r="709" customHeight="1" spans="1:8">
      <c r="A709" s="11"/>
      <c r="B709" s="11"/>
      <c r="C709" s="11"/>
      <c r="D709" s="10"/>
      <c r="E709" s="11"/>
      <c r="H709" s="13"/>
    </row>
    <row r="710" customHeight="1" spans="1:8">
      <c r="A710" s="11"/>
      <c r="B710" s="11"/>
      <c r="C710" s="11"/>
      <c r="D710" s="10"/>
      <c r="E710" s="11"/>
      <c r="H710" s="13"/>
    </row>
    <row r="711" customHeight="1" spans="1:8">
      <c r="A711" s="11"/>
      <c r="B711" s="11"/>
      <c r="C711" s="11"/>
      <c r="D711" s="10"/>
      <c r="E711" s="11"/>
      <c r="H711" s="13"/>
    </row>
    <row r="712" customHeight="1" spans="1:8">
      <c r="A712" s="11"/>
      <c r="B712" s="11"/>
      <c r="C712" s="11"/>
      <c r="D712" s="10"/>
      <c r="E712" s="11"/>
      <c r="H712" s="13"/>
    </row>
    <row r="713" customHeight="1" spans="1:8">
      <c r="A713" s="11"/>
      <c r="B713" s="11"/>
      <c r="C713" s="11"/>
      <c r="D713" s="10"/>
      <c r="E713" s="11"/>
      <c r="H713" s="13"/>
    </row>
    <row r="714" customHeight="1" spans="1:8">
      <c r="A714" s="11"/>
      <c r="B714" s="11"/>
      <c r="C714" s="11"/>
      <c r="D714" s="10"/>
      <c r="E714" s="11"/>
      <c r="H714" s="13"/>
    </row>
    <row r="715" customHeight="1" spans="1:8">
      <c r="A715" s="11"/>
      <c r="B715" s="11"/>
      <c r="C715" s="11"/>
      <c r="D715" s="10"/>
      <c r="E715" s="11"/>
      <c r="H715" s="13"/>
    </row>
    <row r="716" customHeight="1" spans="1:8">
      <c r="A716" s="11"/>
      <c r="B716" s="11"/>
      <c r="C716" s="11"/>
      <c r="D716" s="10"/>
      <c r="E716" s="11"/>
      <c r="H716" s="13"/>
    </row>
    <row r="717" customHeight="1" spans="1:8">
      <c r="A717" s="11"/>
      <c r="B717" s="11"/>
      <c r="C717" s="11"/>
      <c r="D717" s="10"/>
      <c r="E717" s="11"/>
      <c r="H717" s="13"/>
    </row>
    <row r="718" customHeight="1" spans="1:8">
      <c r="A718" s="11"/>
      <c r="B718" s="11"/>
      <c r="C718" s="11"/>
      <c r="D718" s="10"/>
      <c r="E718" s="11"/>
      <c r="H718" s="13"/>
    </row>
    <row r="719" customHeight="1" spans="1:8">
      <c r="A719" s="11"/>
      <c r="B719" s="11"/>
      <c r="C719" s="11"/>
      <c r="D719" s="10"/>
      <c r="E719" s="11"/>
      <c r="H719" s="13"/>
    </row>
    <row r="720" customHeight="1" spans="1:8">
      <c r="A720" s="11"/>
      <c r="B720" s="11"/>
      <c r="C720" s="11"/>
      <c r="D720" s="10"/>
      <c r="E720" s="11"/>
      <c r="H720" s="13"/>
    </row>
    <row r="721" customHeight="1" spans="1:8">
      <c r="A721" s="11"/>
      <c r="B721" s="11"/>
      <c r="C721" s="11"/>
      <c r="D721" s="10"/>
      <c r="E721" s="11"/>
      <c r="H721" s="13"/>
    </row>
    <row r="722" customHeight="1" spans="1:8">
      <c r="A722" s="11"/>
      <c r="B722" s="11"/>
      <c r="C722" s="11"/>
      <c r="D722" s="10"/>
      <c r="E722" s="11"/>
      <c r="H722" s="13"/>
    </row>
    <row r="723" customHeight="1" spans="1:8">
      <c r="A723" s="11"/>
      <c r="B723" s="11"/>
      <c r="C723" s="11"/>
      <c r="D723" s="10"/>
      <c r="E723" s="11"/>
      <c r="H723" s="13"/>
    </row>
    <row r="724" customHeight="1" spans="1:8">
      <c r="A724" s="11"/>
      <c r="B724" s="11"/>
      <c r="C724" s="11"/>
      <c r="D724" s="10"/>
      <c r="E724" s="11"/>
      <c r="H724" s="13"/>
    </row>
    <row r="725" customHeight="1" spans="1:8">
      <c r="A725" s="11"/>
      <c r="B725" s="11"/>
      <c r="C725" s="11"/>
      <c r="D725" s="10"/>
      <c r="E725" s="11"/>
      <c r="H725" s="13"/>
    </row>
    <row r="726" customHeight="1" spans="1:8">
      <c r="A726" s="11"/>
      <c r="B726" s="11"/>
      <c r="C726" s="11"/>
      <c r="D726" s="10"/>
      <c r="E726" s="11"/>
      <c r="H726" s="13"/>
    </row>
    <row r="727" customHeight="1" spans="1:8">
      <c r="A727" s="11"/>
      <c r="B727" s="11"/>
      <c r="C727" s="11"/>
      <c r="D727" s="10"/>
      <c r="E727" s="11"/>
      <c r="H727" s="13"/>
    </row>
    <row r="728" customHeight="1" spans="1:8">
      <c r="A728" s="11"/>
      <c r="B728" s="11"/>
      <c r="C728" s="11"/>
      <c r="D728" s="10"/>
      <c r="E728" s="11"/>
      <c r="H728" s="13"/>
    </row>
    <row r="729" customHeight="1" spans="1:8">
      <c r="A729" s="11"/>
      <c r="B729" s="11"/>
      <c r="C729" s="11"/>
      <c r="D729" s="10"/>
      <c r="E729" s="11"/>
      <c r="H729" s="13"/>
    </row>
    <row r="730" customHeight="1" spans="1:8">
      <c r="A730" s="11"/>
      <c r="B730" s="11"/>
      <c r="C730" s="11"/>
      <c r="D730" s="10"/>
      <c r="E730" s="11"/>
      <c r="H730" s="13"/>
    </row>
    <row r="731" customHeight="1" spans="1:8">
      <c r="A731" s="11"/>
      <c r="B731" s="11"/>
      <c r="C731" s="11"/>
      <c r="D731" s="10"/>
      <c r="E731" s="11"/>
      <c r="H731" s="13"/>
    </row>
    <row r="732" customHeight="1" spans="1:8">
      <c r="A732" s="11"/>
      <c r="B732" s="11"/>
      <c r="C732" s="11"/>
      <c r="D732" s="10"/>
      <c r="E732" s="11"/>
      <c r="H732" s="13"/>
    </row>
    <row r="733" customHeight="1" spans="1:8">
      <c r="A733" s="11"/>
      <c r="B733" s="11"/>
      <c r="C733" s="11"/>
      <c r="D733" s="10"/>
      <c r="E733" s="11"/>
      <c r="H733" s="13"/>
    </row>
    <row r="734" customHeight="1" spans="1:8">
      <c r="A734" s="11"/>
      <c r="B734" s="11"/>
      <c r="C734" s="11"/>
      <c r="D734" s="10"/>
      <c r="E734" s="11"/>
      <c r="H734" s="13"/>
    </row>
    <row r="735" customHeight="1" spans="1:8">
      <c r="A735" s="11"/>
      <c r="B735" s="11"/>
      <c r="C735" s="11"/>
      <c r="D735" s="10"/>
      <c r="E735" s="11"/>
      <c r="H735" s="13"/>
    </row>
    <row r="736" customHeight="1" spans="1:8">
      <c r="A736" s="11"/>
      <c r="B736" s="11"/>
      <c r="C736" s="11"/>
      <c r="D736" s="10"/>
      <c r="E736" s="11"/>
      <c r="H736" s="13"/>
    </row>
    <row r="737" customHeight="1" spans="1:8">
      <c r="A737" s="11"/>
      <c r="B737" s="11"/>
      <c r="C737" s="11"/>
      <c r="D737" s="10"/>
      <c r="E737" s="11"/>
      <c r="H737" s="13"/>
    </row>
    <row r="738" customHeight="1" spans="1:8">
      <c r="A738" s="11"/>
      <c r="B738" s="11"/>
      <c r="C738" s="11"/>
      <c r="D738" s="10"/>
      <c r="E738" s="11"/>
      <c r="H738" s="13"/>
    </row>
    <row r="739" customHeight="1" spans="1:8">
      <c r="A739" s="11"/>
      <c r="B739" s="11"/>
      <c r="C739" s="11"/>
      <c r="D739" s="10"/>
      <c r="E739" s="11"/>
      <c r="H739" s="13"/>
    </row>
    <row r="740" customHeight="1" spans="1:8">
      <c r="A740" s="11"/>
      <c r="B740" s="11"/>
      <c r="C740" s="11"/>
      <c r="D740" s="10"/>
      <c r="E740" s="11"/>
      <c r="H740" s="13"/>
    </row>
    <row r="741" customHeight="1" spans="1:8">
      <c r="A741" s="11"/>
      <c r="B741" s="11"/>
      <c r="C741" s="11"/>
      <c r="D741" s="10"/>
      <c r="E741" s="11"/>
      <c r="H741" s="13"/>
    </row>
    <row r="742" customHeight="1" spans="1:8">
      <c r="A742" s="11"/>
      <c r="B742" s="11"/>
      <c r="C742" s="11"/>
      <c r="D742" s="10"/>
      <c r="E742" s="11"/>
      <c r="H742" s="13"/>
    </row>
    <row r="743" customHeight="1" spans="1:8">
      <c r="A743" s="11"/>
      <c r="B743" s="11"/>
      <c r="C743" s="11"/>
      <c r="D743" s="10"/>
      <c r="E743" s="11"/>
      <c r="H743" s="13"/>
    </row>
    <row r="744" customHeight="1" spans="1:8">
      <c r="A744" s="11"/>
      <c r="B744" s="11"/>
      <c r="C744" s="11"/>
      <c r="D744" s="10"/>
      <c r="E744" s="11"/>
      <c r="H744" s="13"/>
    </row>
    <row r="745" customHeight="1" spans="1:8">
      <c r="A745" s="11"/>
      <c r="B745" s="11"/>
      <c r="C745" s="11"/>
      <c r="D745" s="10"/>
      <c r="E745" s="11"/>
      <c r="H745" s="13"/>
    </row>
    <row r="746" customHeight="1" spans="1:8">
      <c r="A746" s="11"/>
      <c r="B746" s="11"/>
      <c r="C746" s="11"/>
      <c r="D746" s="10"/>
      <c r="E746" s="11"/>
      <c r="H746" s="13"/>
    </row>
    <row r="747" customHeight="1" spans="1:8">
      <c r="A747" s="11"/>
      <c r="B747" s="11"/>
      <c r="C747" s="11"/>
      <c r="D747" s="10"/>
      <c r="E747" s="11"/>
      <c r="H747" s="13"/>
    </row>
    <row r="748" customHeight="1" spans="1:8">
      <c r="A748" s="11"/>
      <c r="B748" s="11"/>
      <c r="C748" s="11"/>
      <c r="D748" s="10"/>
      <c r="E748" s="11"/>
      <c r="H748" s="13"/>
    </row>
    <row r="749" customHeight="1" spans="1:8">
      <c r="A749" s="11"/>
      <c r="B749" s="11"/>
      <c r="C749" s="11"/>
      <c r="D749" s="10"/>
      <c r="E749" s="11"/>
      <c r="H749" s="13"/>
    </row>
    <row r="750" customHeight="1" spans="1:8">
      <c r="A750" s="11"/>
      <c r="B750" s="11"/>
      <c r="C750" s="11"/>
      <c r="D750" s="10"/>
      <c r="E750" s="11"/>
      <c r="H750" s="13"/>
    </row>
    <row r="751" customHeight="1" spans="1:8">
      <c r="A751" s="11"/>
      <c r="B751" s="11"/>
      <c r="C751" s="11"/>
      <c r="D751" s="10"/>
      <c r="E751" s="11"/>
      <c r="H751" s="13"/>
    </row>
    <row r="752" customHeight="1" spans="1:8">
      <c r="A752" s="11"/>
      <c r="B752" s="11"/>
      <c r="C752" s="11"/>
      <c r="D752" s="10"/>
      <c r="E752" s="11"/>
      <c r="H752" s="13"/>
    </row>
    <row r="753" customHeight="1" spans="1:8">
      <c r="A753" s="11"/>
      <c r="B753" s="11"/>
      <c r="C753" s="11"/>
      <c r="D753" s="10"/>
      <c r="E753" s="11"/>
      <c r="H753" s="13"/>
    </row>
    <row r="754" customHeight="1" spans="1:8">
      <c r="A754" s="11"/>
      <c r="B754" s="11"/>
      <c r="C754" s="11"/>
      <c r="D754" s="10"/>
      <c r="E754" s="11"/>
      <c r="H754" s="13"/>
    </row>
    <row r="755" customHeight="1" spans="1:8">
      <c r="A755" s="11"/>
      <c r="B755" s="11"/>
      <c r="C755" s="11"/>
      <c r="D755" s="10"/>
      <c r="E755" s="11"/>
      <c r="H755" s="13"/>
    </row>
    <row r="756" customHeight="1" spans="1:8">
      <c r="A756" s="11"/>
      <c r="B756" s="11"/>
      <c r="C756" s="11"/>
      <c r="D756" s="10"/>
      <c r="E756" s="11"/>
      <c r="H756" s="13"/>
    </row>
    <row r="757" customHeight="1" spans="1:8">
      <c r="A757" s="11"/>
      <c r="B757" s="11"/>
      <c r="C757" s="11"/>
      <c r="D757" s="10"/>
      <c r="E757" s="11"/>
      <c r="H757" s="13"/>
    </row>
    <row r="758" customHeight="1" spans="1:8">
      <c r="A758" s="11"/>
      <c r="B758" s="11"/>
      <c r="C758" s="11"/>
      <c r="D758" s="10"/>
      <c r="E758" s="11"/>
      <c r="H758" s="13"/>
    </row>
    <row r="759" customHeight="1" spans="1:8">
      <c r="A759" s="11"/>
      <c r="B759" s="11"/>
      <c r="C759" s="11"/>
      <c r="D759" s="10"/>
      <c r="E759" s="11"/>
      <c r="H759" s="13"/>
    </row>
    <row r="760" customHeight="1" spans="1:8">
      <c r="A760" s="11"/>
      <c r="B760" s="11"/>
      <c r="C760" s="11"/>
      <c r="D760" s="10"/>
      <c r="E760" s="11"/>
      <c r="H760" s="13"/>
    </row>
    <row r="761" customHeight="1" spans="1:8">
      <c r="A761" s="11"/>
      <c r="B761" s="11"/>
      <c r="C761" s="11"/>
      <c r="D761" s="10"/>
      <c r="E761" s="11"/>
      <c r="H761" s="13"/>
    </row>
    <row r="762" customHeight="1" spans="1:8">
      <c r="A762" s="11"/>
      <c r="B762" s="11"/>
      <c r="C762" s="11"/>
      <c r="D762" s="10"/>
      <c r="E762" s="11"/>
      <c r="H762" s="13"/>
    </row>
    <row r="763" customHeight="1" spans="1:8">
      <c r="A763" s="11"/>
      <c r="B763" s="11"/>
      <c r="C763" s="11"/>
      <c r="D763" s="10"/>
      <c r="E763" s="11"/>
      <c r="H763" s="13"/>
    </row>
    <row r="764" customHeight="1" spans="1:8">
      <c r="A764" s="11"/>
      <c r="B764" s="11"/>
      <c r="C764" s="11"/>
      <c r="D764" s="10"/>
      <c r="E764" s="11"/>
      <c r="H764" s="13"/>
    </row>
    <row r="765" customHeight="1" spans="1:8">
      <c r="A765" s="11"/>
      <c r="B765" s="11"/>
      <c r="C765" s="11"/>
      <c r="D765" s="10"/>
      <c r="E765" s="11"/>
      <c r="H765" s="13"/>
    </row>
    <row r="766" customHeight="1" spans="1:8">
      <c r="A766" s="11"/>
      <c r="B766" s="11"/>
      <c r="C766" s="11"/>
      <c r="D766" s="10"/>
      <c r="E766" s="11"/>
      <c r="H766" s="13"/>
    </row>
    <row r="767" customHeight="1" spans="1:8">
      <c r="A767" s="11"/>
      <c r="B767" s="11"/>
      <c r="C767" s="11"/>
      <c r="D767" s="10"/>
      <c r="E767" s="11"/>
      <c r="H767" s="13"/>
    </row>
    <row r="768" customHeight="1" spans="1:8">
      <c r="A768" s="11"/>
      <c r="B768" s="11"/>
      <c r="C768" s="11"/>
      <c r="D768" s="10"/>
      <c r="E768" s="11"/>
      <c r="H768" s="13"/>
    </row>
    <row r="769" customHeight="1" spans="1:8">
      <c r="A769" s="11"/>
      <c r="B769" s="11"/>
      <c r="C769" s="11"/>
      <c r="D769" s="10"/>
      <c r="E769" s="11"/>
      <c r="H769" s="13"/>
    </row>
    <row r="770" customHeight="1" spans="1:8">
      <c r="A770" s="11"/>
      <c r="B770" s="11"/>
      <c r="C770" s="11"/>
      <c r="D770" s="10"/>
      <c r="E770" s="11"/>
      <c r="H770" s="13"/>
    </row>
    <row r="771" customHeight="1" spans="1:8">
      <c r="A771" s="11"/>
      <c r="B771" s="11"/>
      <c r="C771" s="11"/>
      <c r="D771" s="10"/>
      <c r="E771" s="11"/>
      <c r="H771" s="13"/>
    </row>
    <row r="772" customHeight="1" spans="1:8">
      <c r="A772" s="11"/>
      <c r="B772" s="11"/>
      <c r="C772" s="11"/>
      <c r="D772" s="10"/>
      <c r="E772" s="11"/>
      <c r="H772" s="13"/>
    </row>
    <row r="773" customHeight="1" spans="1:8">
      <c r="A773" s="11"/>
      <c r="B773" s="11"/>
      <c r="C773" s="11"/>
      <c r="D773" s="10"/>
      <c r="E773" s="11"/>
      <c r="H773" s="13"/>
    </row>
    <row r="774" customHeight="1" spans="1:8">
      <c r="A774" s="11"/>
      <c r="B774" s="11"/>
      <c r="C774" s="11"/>
      <c r="D774" s="10"/>
      <c r="E774" s="11"/>
      <c r="H774" s="13"/>
    </row>
    <row r="775" customHeight="1" spans="1:8">
      <c r="A775" s="11"/>
      <c r="B775" s="11"/>
      <c r="C775" s="11"/>
      <c r="D775" s="10"/>
      <c r="E775" s="11"/>
      <c r="H775" s="13"/>
    </row>
    <row r="776" customHeight="1" spans="1:8">
      <c r="A776" s="11"/>
      <c r="B776" s="11"/>
      <c r="C776" s="11"/>
      <c r="D776" s="10"/>
      <c r="E776" s="11"/>
      <c r="H776" s="13"/>
    </row>
    <row r="777" customHeight="1" spans="1:8">
      <c r="A777" s="11"/>
      <c r="B777" s="11"/>
      <c r="C777" s="11"/>
      <c r="D777" s="10"/>
      <c r="E777" s="11"/>
      <c r="H777" s="13"/>
    </row>
    <row r="778" customHeight="1" spans="1:8">
      <c r="A778" s="11"/>
      <c r="B778" s="11"/>
      <c r="C778" s="11"/>
      <c r="D778" s="10"/>
      <c r="E778" s="11"/>
      <c r="H778" s="13"/>
    </row>
    <row r="779" customHeight="1" spans="1:8">
      <c r="A779" s="11"/>
      <c r="B779" s="11"/>
      <c r="C779" s="11"/>
      <c r="D779" s="10"/>
      <c r="E779" s="11"/>
      <c r="H779" s="13"/>
    </row>
    <row r="780" customHeight="1" spans="1:8">
      <c r="A780" s="11"/>
      <c r="B780" s="11"/>
      <c r="C780" s="11"/>
      <c r="D780" s="10"/>
      <c r="E780" s="11"/>
      <c r="H780" s="13"/>
    </row>
    <row r="781" customHeight="1" spans="1:8">
      <c r="A781" s="11"/>
      <c r="B781" s="11"/>
      <c r="C781" s="11"/>
      <c r="D781" s="10"/>
      <c r="E781" s="11"/>
      <c r="H781" s="13"/>
    </row>
    <row r="782" customHeight="1" spans="1:8">
      <c r="A782" s="11"/>
      <c r="B782" s="11"/>
      <c r="C782" s="11"/>
      <c r="D782" s="10"/>
      <c r="E782" s="11"/>
      <c r="H782" s="13"/>
    </row>
    <row r="783" customHeight="1" spans="1:8">
      <c r="A783" s="11"/>
      <c r="B783" s="11"/>
      <c r="C783" s="11"/>
      <c r="D783" s="10"/>
      <c r="E783" s="11"/>
      <c r="H783" s="13"/>
    </row>
    <row r="784" customHeight="1" spans="1:8">
      <c r="A784" s="11"/>
      <c r="B784" s="11"/>
      <c r="C784" s="11"/>
      <c r="D784" s="10"/>
      <c r="E784" s="11"/>
      <c r="H784" s="13"/>
    </row>
    <row r="785" customHeight="1" spans="1:8">
      <c r="A785" s="11"/>
      <c r="B785" s="11"/>
      <c r="C785" s="11"/>
      <c r="D785" s="10"/>
      <c r="E785" s="11"/>
      <c r="H785" s="13"/>
    </row>
    <row r="786" customHeight="1" spans="1:8">
      <c r="A786" s="11"/>
      <c r="B786" s="11"/>
      <c r="C786" s="11"/>
      <c r="D786" s="10"/>
      <c r="E786" s="11"/>
      <c r="H786" s="13"/>
    </row>
    <row r="787" customHeight="1" spans="1:8">
      <c r="A787" s="11"/>
      <c r="B787" s="11"/>
      <c r="C787" s="11"/>
      <c r="D787" s="10"/>
      <c r="E787" s="11"/>
      <c r="H787" s="13"/>
    </row>
    <row r="788" customHeight="1" spans="1:8">
      <c r="A788" s="11"/>
      <c r="B788" s="11"/>
      <c r="C788" s="11"/>
      <c r="D788" s="10"/>
      <c r="E788" s="11"/>
      <c r="H788" s="13"/>
    </row>
    <row r="789" customHeight="1" spans="1:8">
      <c r="A789" s="11"/>
      <c r="B789" s="11"/>
      <c r="C789" s="11"/>
      <c r="D789" s="10"/>
      <c r="E789" s="11"/>
      <c r="H789" s="13"/>
    </row>
    <row r="790" customHeight="1" spans="1:8">
      <c r="A790" s="11"/>
      <c r="B790" s="11"/>
      <c r="C790" s="11"/>
      <c r="D790" s="10"/>
      <c r="E790" s="11"/>
      <c r="H790" s="13"/>
    </row>
    <row r="791" customHeight="1" spans="1:8">
      <c r="A791" s="11"/>
      <c r="B791" s="11"/>
      <c r="C791" s="11"/>
      <c r="D791" s="10"/>
      <c r="E791" s="11"/>
      <c r="H791" s="13"/>
    </row>
    <row r="792" customHeight="1" spans="1:8">
      <c r="A792" s="11"/>
      <c r="B792" s="11"/>
      <c r="C792" s="11"/>
      <c r="D792" s="10"/>
      <c r="E792" s="11"/>
      <c r="H792" s="13"/>
    </row>
    <row r="793" customHeight="1" spans="1:8">
      <c r="A793" s="11"/>
      <c r="B793" s="11"/>
      <c r="C793" s="11"/>
      <c r="D793" s="10"/>
      <c r="E793" s="11"/>
      <c r="H793" s="13"/>
    </row>
    <row r="794" customHeight="1" spans="1:8">
      <c r="A794" s="11"/>
      <c r="B794" s="11"/>
      <c r="C794" s="11"/>
      <c r="D794" s="10"/>
      <c r="E794" s="11"/>
      <c r="H794" s="13"/>
    </row>
    <row r="795" customHeight="1" spans="1:8">
      <c r="A795" s="11"/>
      <c r="B795" s="11"/>
      <c r="C795" s="11"/>
      <c r="D795" s="10"/>
      <c r="E795" s="11"/>
      <c r="H795" s="13"/>
    </row>
    <row r="796" customHeight="1" spans="1:8">
      <c r="A796" s="11"/>
      <c r="B796" s="11"/>
      <c r="C796" s="11"/>
      <c r="D796" s="10"/>
      <c r="E796" s="11"/>
      <c r="H796" s="13"/>
    </row>
    <row r="797" customHeight="1" spans="1:8">
      <c r="A797" s="11"/>
      <c r="B797" s="11"/>
      <c r="C797" s="11"/>
      <c r="D797" s="10"/>
      <c r="E797" s="11"/>
      <c r="H797" s="13"/>
    </row>
    <row r="798" customHeight="1" spans="1:8">
      <c r="A798" s="11"/>
      <c r="B798" s="11"/>
      <c r="C798" s="11"/>
      <c r="D798" s="10"/>
      <c r="E798" s="11"/>
      <c r="H798" s="13"/>
    </row>
    <row r="799" customHeight="1" spans="1:8">
      <c r="A799" s="11"/>
      <c r="B799" s="11"/>
      <c r="C799" s="11"/>
      <c r="D799" s="10"/>
      <c r="E799" s="11"/>
      <c r="H799" s="13"/>
    </row>
    <row r="800" customHeight="1" spans="1:8">
      <c r="A800" s="11"/>
      <c r="B800" s="11"/>
      <c r="C800" s="11"/>
      <c r="D800" s="10"/>
      <c r="E800" s="11"/>
      <c r="H800" s="13"/>
    </row>
    <row r="801" customHeight="1" spans="1:8">
      <c r="A801" s="11"/>
      <c r="B801" s="11"/>
      <c r="C801" s="11"/>
      <c r="D801" s="10"/>
      <c r="E801" s="11"/>
      <c r="H801" s="13"/>
    </row>
    <row r="802" customHeight="1" spans="1:8">
      <c r="A802" s="11"/>
      <c r="B802" s="11"/>
      <c r="C802" s="11"/>
      <c r="D802" s="10"/>
      <c r="E802" s="11"/>
      <c r="H802" s="13"/>
    </row>
    <row r="803" customHeight="1" spans="1:8">
      <c r="A803" s="11"/>
      <c r="B803" s="11"/>
      <c r="C803" s="11"/>
      <c r="D803" s="10"/>
      <c r="E803" s="11"/>
      <c r="H803" s="13"/>
    </row>
    <row r="804" customHeight="1" spans="1:8">
      <c r="A804" s="11"/>
      <c r="B804" s="11"/>
      <c r="C804" s="11"/>
      <c r="D804" s="10"/>
      <c r="E804" s="11"/>
      <c r="H804" s="13"/>
    </row>
    <row r="805" customHeight="1" spans="1:8">
      <c r="A805" s="11"/>
      <c r="B805" s="11"/>
      <c r="C805" s="11"/>
      <c r="D805" s="10"/>
      <c r="E805" s="11"/>
      <c r="H805" s="13"/>
    </row>
    <row r="806" customHeight="1" spans="1:8">
      <c r="A806" s="11"/>
      <c r="B806" s="11"/>
      <c r="C806" s="11"/>
      <c r="D806" s="10"/>
      <c r="E806" s="11"/>
      <c r="H806" s="13"/>
    </row>
    <row r="807" customHeight="1" spans="1:8">
      <c r="A807" s="11"/>
      <c r="B807" s="11"/>
      <c r="C807" s="11"/>
      <c r="D807" s="10"/>
      <c r="E807" s="11"/>
      <c r="H807" s="13"/>
    </row>
    <row r="808" customHeight="1" spans="1:8">
      <c r="A808" s="11"/>
      <c r="B808" s="11"/>
      <c r="C808" s="11"/>
      <c r="D808" s="10"/>
      <c r="E808" s="11"/>
      <c r="H808" s="13"/>
    </row>
    <row r="809" customHeight="1" spans="1:8">
      <c r="A809" s="11"/>
      <c r="B809" s="11"/>
      <c r="C809" s="11"/>
      <c r="D809" s="10"/>
      <c r="E809" s="11"/>
      <c r="H809" s="13"/>
    </row>
    <row r="810" customHeight="1" spans="1:8">
      <c r="A810" s="11"/>
      <c r="B810" s="11"/>
      <c r="C810" s="11"/>
      <c r="D810" s="10"/>
      <c r="E810" s="11"/>
      <c r="H810" s="13"/>
    </row>
    <row r="811" customHeight="1" spans="1:8">
      <c r="A811" s="11"/>
      <c r="B811" s="11"/>
      <c r="C811" s="11"/>
      <c r="D811" s="10"/>
      <c r="E811" s="11"/>
      <c r="H811" s="13"/>
    </row>
    <row r="812" customHeight="1" spans="1:8">
      <c r="A812" s="11"/>
      <c r="B812" s="11"/>
      <c r="C812" s="11"/>
      <c r="D812" s="10"/>
      <c r="E812" s="11"/>
      <c r="H812" s="13"/>
    </row>
    <row r="813" customHeight="1" spans="1:8">
      <c r="A813" s="11"/>
      <c r="B813" s="11"/>
      <c r="C813" s="11"/>
      <c r="D813" s="10"/>
      <c r="E813" s="11"/>
      <c r="H813" s="13"/>
    </row>
    <row r="814" customHeight="1" spans="1:8">
      <c r="A814" s="11"/>
      <c r="B814" s="11"/>
      <c r="C814" s="11"/>
      <c r="D814" s="10"/>
      <c r="E814" s="11"/>
      <c r="H814" s="13"/>
    </row>
    <row r="815" customHeight="1" spans="1:8">
      <c r="A815" s="11"/>
      <c r="B815" s="11"/>
      <c r="C815" s="11"/>
      <c r="D815" s="10"/>
      <c r="E815" s="11"/>
      <c r="H815" s="13"/>
    </row>
    <row r="816" customHeight="1" spans="1:8">
      <c r="A816" s="11"/>
      <c r="B816" s="11"/>
      <c r="C816" s="11"/>
      <c r="D816" s="10"/>
      <c r="E816" s="11"/>
      <c r="H816" s="13"/>
    </row>
    <row r="817" customHeight="1" spans="1:8">
      <c r="A817" s="11"/>
      <c r="B817" s="11"/>
      <c r="C817" s="11"/>
      <c r="D817" s="10"/>
      <c r="E817" s="11"/>
      <c r="H817" s="13"/>
    </row>
    <row r="818" customHeight="1" spans="1:8">
      <c r="A818" s="11"/>
      <c r="B818" s="11"/>
      <c r="C818" s="11"/>
      <c r="D818" s="10"/>
      <c r="E818" s="11"/>
      <c r="H818" s="13"/>
    </row>
    <row r="819" customHeight="1" spans="1:8">
      <c r="A819" s="11"/>
      <c r="B819" s="11"/>
      <c r="C819" s="11"/>
      <c r="D819" s="10"/>
      <c r="E819" s="11"/>
      <c r="H819" s="13"/>
    </row>
    <row r="820" customHeight="1" spans="1:8">
      <c r="A820" s="11"/>
      <c r="B820" s="11"/>
      <c r="C820" s="11"/>
      <c r="D820" s="10"/>
      <c r="E820" s="11"/>
      <c r="H820" s="13"/>
    </row>
    <row r="821" customHeight="1" spans="1:8">
      <c r="A821" s="11"/>
      <c r="B821" s="11"/>
      <c r="C821" s="11"/>
      <c r="D821" s="10"/>
      <c r="E821" s="11"/>
      <c r="H821" s="13"/>
    </row>
    <row r="822" customHeight="1" spans="1:8">
      <c r="A822" s="11"/>
      <c r="B822" s="11"/>
      <c r="C822" s="11"/>
      <c r="D822" s="10"/>
      <c r="E822" s="11"/>
      <c r="H822" s="13"/>
    </row>
    <row r="823" customHeight="1" spans="1:8">
      <c r="A823" s="11"/>
      <c r="B823" s="11"/>
      <c r="C823" s="11"/>
      <c r="D823" s="10"/>
      <c r="E823" s="11"/>
      <c r="H823" s="13"/>
    </row>
    <row r="824" customHeight="1" spans="1:8">
      <c r="A824" s="11"/>
      <c r="B824" s="11"/>
      <c r="C824" s="11"/>
      <c r="D824" s="10"/>
      <c r="E824" s="11"/>
      <c r="H824" s="13"/>
    </row>
    <row r="825" customHeight="1" spans="1:8">
      <c r="A825" s="11"/>
      <c r="B825" s="11"/>
      <c r="C825" s="11"/>
      <c r="D825" s="10"/>
      <c r="E825" s="11"/>
      <c r="H825" s="13"/>
    </row>
    <row r="826" customHeight="1" spans="1:8">
      <c r="A826" s="11"/>
      <c r="B826" s="11"/>
      <c r="C826" s="11"/>
      <c r="D826" s="10"/>
      <c r="E826" s="11"/>
      <c r="H826" s="13"/>
    </row>
    <row r="827" customHeight="1" spans="1:8">
      <c r="A827" s="11"/>
      <c r="B827" s="11"/>
      <c r="C827" s="11"/>
      <c r="D827" s="10"/>
      <c r="E827" s="11"/>
      <c r="H827" s="13"/>
    </row>
    <row r="828" customHeight="1" spans="1:8">
      <c r="A828" s="11"/>
      <c r="B828" s="11"/>
      <c r="C828" s="11"/>
      <c r="D828" s="10"/>
      <c r="E828" s="11"/>
      <c r="H828" s="13"/>
    </row>
    <row r="829" customHeight="1" spans="1:8">
      <c r="A829" s="11"/>
      <c r="B829" s="11"/>
      <c r="C829" s="11"/>
      <c r="D829" s="10"/>
      <c r="E829" s="11"/>
      <c r="H829" s="13"/>
    </row>
    <row r="830" customHeight="1" spans="1:8">
      <c r="A830" s="11"/>
      <c r="B830" s="11"/>
      <c r="C830" s="11"/>
      <c r="D830" s="10"/>
      <c r="E830" s="11"/>
      <c r="H830" s="13"/>
    </row>
    <row r="831" customHeight="1" spans="1:8">
      <c r="A831" s="11"/>
      <c r="B831" s="11"/>
      <c r="C831" s="11"/>
      <c r="D831" s="10"/>
      <c r="E831" s="11"/>
      <c r="H831" s="13"/>
    </row>
    <row r="832" customHeight="1" spans="1:8">
      <c r="A832" s="11"/>
      <c r="B832" s="11"/>
      <c r="C832" s="11"/>
      <c r="D832" s="10"/>
      <c r="E832" s="11"/>
      <c r="H832" s="13"/>
    </row>
    <row r="833" customHeight="1" spans="1:8">
      <c r="A833" s="11"/>
      <c r="B833" s="11"/>
      <c r="C833" s="11"/>
      <c r="D833" s="10"/>
      <c r="E833" s="11"/>
      <c r="H833" s="13"/>
    </row>
    <row r="834" customHeight="1" spans="1:8">
      <c r="A834" s="11"/>
      <c r="B834" s="11"/>
      <c r="C834" s="11"/>
      <c r="D834" s="10"/>
      <c r="E834" s="11"/>
      <c r="H834" s="13"/>
    </row>
    <row r="835" customHeight="1" spans="1:8">
      <c r="A835" s="11"/>
      <c r="B835" s="11"/>
      <c r="C835" s="11"/>
      <c r="D835" s="10"/>
      <c r="E835" s="11"/>
      <c r="H835" s="13"/>
    </row>
    <row r="836" customHeight="1" spans="1:8">
      <c r="A836" s="11"/>
      <c r="B836" s="11"/>
      <c r="C836" s="11"/>
      <c r="D836" s="10"/>
      <c r="E836" s="11"/>
      <c r="H836" s="13"/>
    </row>
    <row r="837" customHeight="1" spans="1:8">
      <c r="A837" s="11"/>
      <c r="B837" s="11"/>
      <c r="C837" s="11"/>
      <c r="D837" s="10"/>
      <c r="E837" s="11"/>
      <c r="H837" s="13"/>
    </row>
    <row r="838" customHeight="1" spans="1:8">
      <c r="A838" s="11"/>
      <c r="B838" s="11"/>
      <c r="C838" s="11"/>
      <c r="D838" s="10"/>
      <c r="E838" s="11"/>
      <c r="H838" s="13"/>
    </row>
    <row r="839" customHeight="1" spans="1:8">
      <c r="A839" s="11"/>
      <c r="B839" s="11"/>
      <c r="C839" s="11"/>
      <c r="D839" s="10"/>
      <c r="E839" s="11"/>
      <c r="H839" s="13"/>
    </row>
    <row r="840" customHeight="1" spans="1:8">
      <c r="A840" s="11"/>
      <c r="B840" s="11"/>
      <c r="C840" s="11"/>
      <c r="D840" s="10"/>
      <c r="E840" s="11"/>
      <c r="H840" s="13"/>
    </row>
    <row r="841" customHeight="1" spans="1:8">
      <c r="A841" s="11"/>
      <c r="B841" s="11"/>
      <c r="C841" s="11"/>
      <c r="D841" s="10"/>
      <c r="E841" s="11"/>
      <c r="H841" s="13"/>
    </row>
    <row r="842" customHeight="1" spans="1:8">
      <c r="A842" s="11"/>
      <c r="B842" s="11"/>
      <c r="C842" s="11"/>
      <c r="D842" s="10"/>
      <c r="E842" s="11"/>
      <c r="H842" s="13"/>
    </row>
    <row r="843" customHeight="1" spans="1:8">
      <c r="A843" s="11"/>
      <c r="B843" s="11"/>
      <c r="C843" s="11"/>
      <c r="D843" s="10"/>
      <c r="E843" s="11"/>
      <c r="H843" s="13"/>
    </row>
    <row r="844" customHeight="1" spans="1:8">
      <c r="A844" s="11"/>
      <c r="B844" s="11"/>
      <c r="C844" s="11"/>
      <c r="D844" s="10"/>
      <c r="E844" s="11"/>
      <c r="H844" s="13"/>
    </row>
    <row r="845" customHeight="1" spans="1:8">
      <c r="A845" s="11"/>
      <c r="B845" s="11"/>
      <c r="C845" s="11"/>
      <c r="D845" s="10"/>
      <c r="E845" s="11"/>
      <c r="H845" s="13"/>
    </row>
    <row r="846" customHeight="1" spans="1:8">
      <c r="A846" s="11"/>
      <c r="B846" s="11"/>
      <c r="C846" s="11"/>
      <c r="D846" s="10"/>
      <c r="E846" s="11"/>
      <c r="H846" s="13"/>
    </row>
    <row r="847" customHeight="1" spans="1:8">
      <c r="A847" s="11"/>
      <c r="B847" s="11"/>
      <c r="C847" s="11"/>
      <c r="D847" s="10"/>
      <c r="E847" s="11"/>
      <c r="H847" s="13"/>
    </row>
    <row r="848" customHeight="1" spans="1:8">
      <c r="A848" s="11"/>
      <c r="B848" s="11"/>
      <c r="C848" s="11"/>
      <c r="D848" s="10"/>
      <c r="E848" s="11"/>
      <c r="H848" s="13"/>
    </row>
    <row r="849" customHeight="1" spans="1:8">
      <c r="A849" s="11"/>
      <c r="B849" s="11"/>
      <c r="C849" s="11"/>
      <c r="D849" s="10"/>
      <c r="E849" s="11"/>
      <c r="H849" s="13"/>
    </row>
    <row r="850" customHeight="1" spans="1:8">
      <c r="A850" s="11"/>
      <c r="B850" s="11"/>
      <c r="C850" s="11"/>
      <c r="D850" s="10"/>
      <c r="E850" s="11"/>
      <c r="H850" s="13"/>
    </row>
    <row r="851" customHeight="1" spans="1:8">
      <c r="A851" s="11"/>
      <c r="B851" s="11"/>
      <c r="C851" s="11"/>
      <c r="D851" s="10"/>
      <c r="E851" s="11"/>
      <c r="H851" s="13"/>
    </row>
    <row r="852" customHeight="1" spans="1:8">
      <c r="A852" s="11"/>
      <c r="B852" s="11"/>
      <c r="C852" s="11"/>
      <c r="D852" s="10"/>
      <c r="E852" s="11"/>
      <c r="H852" s="13"/>
    </row>
    <row r="853" customHeight="1" spans="1:8">
      <c r="A853" s="11"/>
      <c r="B853" s="11"/>
      <c r="C853" s="11"/>
      <c r="D853" s="10"/>
      <c r="E853" s="11"/>
      <c r="H853" s="13"/>
    </row>
    <row r="854" customHeight="1" spans="1:8">
      <c r="A854" s="11"/>
      <c r="B854" s="11"/>
      <c r="C854" s="11"/>
      <c r="D854" s="10"/>
      <c r="E854" s="11"/>
      <c r="H854" s="13"/>
    </row>
    <row r="855" customHeight="1" spans="1:8">
      <c r="A855" s="11"/>
      <c r="B855" s="11"/>
      <c r="C855" s="11"/>
      <c r="D855" s="10"/>
      <c r="E855" s="11"/>
      <c r="H855" s="13"/>
    </row>
    <row r="856" customHeight="1" spans="1:8">
      <c r="A856" s="11"/>
      <c r="B856" s="11"/>
      <c r="C856" s="11"/>
      <c r="D856" s="10"/>
      <c r="E856" s="11"/>
      <c r="H856" s="13"/>
    </row>
    <row r="857" customHeight="1" spans="1:8">
      <c r="A857" s="11"/>
      <c r="B857" s="11"/>
      <c r="C857" s="11"/>
      <c r="D857" s="10"/>
      <c r="E857" s="11"/>
      <c r="H857" s="13"/>
    </row>
    <row r="858" customHeight="1" spans="1:8">
      <c r="A858" s="11"/>
      <c r="B858" s="11"/>
      <c r="C858" s="11"/>
      <c r="D858" s="10"/>
      <c r="E858" s="11"/>
      <c r="H858" s="13"/>
    </row>
    <row r="859" customHeight="1" spans="1:8">
      <c r="A859" s="11"/>
      <c r="B859" s="11"/>
      <c r="C859" s="11"/>
      <c r="D859" s="10"/>
      <c r="E859" s="11"/>
      <c r="H859" s="13"/>
    </row>
    <row r="860" customHeight="1" spans="1:8">
      <c r="A860" s="11"/>
      <c r="B860" s="11"/>
      <c r="C860" s="11"/>
      <c r="D860" s="10"/>
      <c r="E860" s="11"/>
      <c r="H860" s="13"/>
    </row>
    <row r="861" customHeight="1" spans="1:8">
      <c r="A861" s="11"/>
      <c r="B861" s="11"/>
      <c r="C861" s="11"/>
      <c r="D861" s="10"/>
      <c r="E861" s="11"/>
      <c r="H861" s="13"/>
    </row>
    <row r="862" customHeight="1" spans="1:8">
      <c r="A862" s="11"/>
      <c r="B862" s="11"/>
      <c r="C862" s="11"/>
      <c r="D862" s="10"/>
      <c r="E862" s="11"/>
      <c r="H862" s="13"/>
    </row>
    <row r="863" customHeight="1" spans="1:8">
      <c r="A863" s="11"/>
      <c r="B863" s="11"/>
      <c r="C863" s="11"/>
      <c r="D863" s="10"/>
      <c r="E863" s="11"/>
      <c r="H863" s="13"/>
    </row>
    <row r="864" customHeight="1" spans="1:8">
      <c r="A864" s="11"/>
      <c r="B864" s="11"/>
      <c r="C864" s="11"/>
      <c r="D864" s="10"/>
      <c r="E864" s="11"/>
      <c r="H864" s="13"/>
    </row>
    <row r="865" customHeight="1" spans="1:8">
      <c r="A865" s="11"/>
      <c r="B865" s="11"/>
      <c r="C865" s="11"/>
      <c r="D865" s="10"/>
      <c r="E865" s="11"/>
      <c r="H865" s="13"/>
    </row>
    <row r="866" customHeight="1" spans="1:8">
      <c r="A866" s="11"/>
      <c r="B866" s="11"/>
      <c r="C866" s="11"/>
      <c r="D866" s="10"/>
      <c r="E866" s="11"/>
      <c r="H866" s="13"/>
    </row>
    <row r="867" customHeight="1" spans="1:8">
      <c r="A867" s="11"/>
      <c r="B867" s="11"/>
      <c r="C867" s="11"/>
      <c r="D867" s="10"/>
      <c r="E867" s="11"/>
      <c r="H867" s="13"/>
    </row>
    <row r="868" customHeight="1" spans="1:8">
      <c r="A868" s="11"/>
      <c r="B868" s="11"/>
      <c r="C868" s="11"/>
      <c r="D868" s="10"/>
      <c r="E868" s="11"/>
      <c r="H868" s="13"/>
    </row>
    <row r="869" customHeight="1" spans="1:8">
      <c r="A869" s="11"/>
      <c r="B869" s="11"/>
      <c r="C869" s="11"/>
      <c r="D869" s="10"/>
      <c r="E869" s="11"/>
      <c r="H869" s="13"/>
    </row>
    <row r="870" customHeight="1" spans="1:8">
      <c r="A870" s="11"/>
      <c r="B870" s="11"/>
      <c r="C870" s="11"/>
      <c r="D870" s="10"/>
      <c r="E870" s="11"/>
      <c r="H870" s="13"/>
    </row>
    <row r="871" customHeight="1" spans="1:8">
      <c r="A871" s="11"/>
      <c r="B871" s="11"/>
      <c r="C871" s="11"/>
      <c r="D871" s="10"/>
      <c r="E871" s="11"/>
      <c r="H871" s="13"/>
    </row>
    <row r="872" customHeight="1" spans="1:8">
      <c r="A872" s="11"/>
      <c r="B872" s="11"/>
      <c r="C872" s="11"/>
      <c r="D872" s="10"/>
      <c r="E872" s="11"/>
      <c r="H872" s="13"/>
    </row>
    <row r="873" customHeight="1" spans="1:8">
      <c r="A873" s="11"/>
      <c r="B873" s="11"/>
      <c r="C873" s="11"/>
      <c r="D873" s="10"/>
      <c r="E873" s="11"/>
      <c r="H873" s="13"/>
    </row>
    <row r="874" customHeight="1" spans="1:8">
      <c r="A874" s="11"/>
      <c r="B874" s="11"/>
      <c r="C874" s="11"/>
      <c r="D874" s="10"/>
      <c r="E874" s="11"/>
      <c r="H874" s="13"/>
    </row>
    <row r="875" customHeight="1" spans="1:8">
      <c r="A875" s="11"/>
      <c r="B875" s="11"/>
      <c r="C875" s="11"/>
      <c r="D875" s="10"/>
      <c r="E875" s="11"/>
      <c r="H875" s="13"/>
    </row>
    <row r="876" customHeight="1" spans="1:8">
      <c r="A876" s="11"/>
      <c r="B876" s="11"/>
      <c r="C876" s="11"/>
      <c r="D876" s="10"/>
      <c r="E876" s="11"/>
      <c r="H876" s="13"/>
    </row>
    <row r="877" customHeight="1" spans="1:8">
      <c r="A877" s="11"/>
      <c r="B877" s="11"/>
      <c r="C877" s="11"/>
      <c r="D877" s="10"/>
      <c r="E877" s="11"/>
      <c r="H877" s="13"/>
    </row>
    <row r="878" customHeight="1" spans="1:8">
      <c r="A878" s="11"/>
      <c r="B878" s="11"/>
      <c r="C878" s="11"/>
      <c r="D878" s="10"/>
      <c r="E878" s="11"/>
      <c r="H878" s="13"/>
    </row>
    <row r="879" customHeight="1" spans="1:8">
      <c r="A879" s="11"/>
      <c r="B879" s="11"/>
      <c r="C879" s="11"/>
      <c r="D879" s="10"/>
      <c r="E879" s="11"/>
      <c r="H879" s="13"/>
    </row>
    <row r="880" customHeight="1" spans="1:8">
      <c r="A880" s="11"/>
      <c r="B880" s="11"/>
      <c r="C880" s="11"/>
      <c r="D880" s="10"/>
      <c r="E880" s="11"/>
      <c r="H880" s="13"/>
    </row>
    <row r="881" customHeight="1" spans="1:8">
      <c r="A881" s="11"/>
      <c r="B881" s="11"/>
      <c r="C881" s="11"/>
      <c r="D881" s="10"/>
      <c r="E881" s="11"/>
      <c r="H881" s="13"/>
    </row>
    <row r="882" customHeight="1" spans="1:8">
      <c r="A882" s="11"/>
      <c r="B882" s="11"/>
      <c r="C882" s="11"/>
      <c r="D882" s="10"/>
      <c r="E882" s="11"/>
      <c r="H882" s="13"/>
    </row>
    <row r="883" customHeight="1" spans="1:8">
      <c r="A883" s="11"/>
      <c r="B883" s="11"/>
      <c r="C883" s="11"/>
      <c r="D883" s="10"/>
      <c r="E883" s="11"/>
      <c r="H883" s="13"/>
    </row>
    <row r="884" customHeight="1" spans="1:8">
      <c r="A884" s="11"/>
      <c r="B884" s="11"/>
      <c r="C884" s="11"/>
      <c r="D884" s="10"/>
      <c r="E884" s="11"/>
      <c r="H884" s="13"/>
    </row>
    <row r="885" customHeight="1" spans="1:8">
      <c r="A885" s="11"/>
      <c r="B885" s="11"/>
      <c r="C885" s="11"/>
      <c r="D885" s="10"/>
      <c r="E885" s="11"/>
      <c r="H885" s="13"/>
    </row>
    <row r="886" customHeight="1" spans="1:8">
      <c r="A886" s="11"/>
      <c r="B886" s="11"/>
      <c r="C886" s="11"/>
      <c r="D886" s="10"/>
      <c r="E886" s="11"/>
      <c r="H886" s="13"/>
    </row>
    <row r="887" customHeight="1" spans="1:8">
      <c r="A887" s="11"/>
      <c r="B887" s="11"/>
      <c r="C887" s="11"/>
      <c r="D887" s="10"/>
      <c r="E887" s="11"/>
      <c r="H887" s="13"/>
    </row>
    <row r="888" customHeight="1" spans="1:8">
      <c r="A888" s="11"/>
      <c r="B888" s="11"/>
      <c r="C888" s="11"/>
      <c r="D888" s="10"/>
      <c r="E888" s="11"/>
      <c r="H888" s="13"/>
    </row>
    <row r="889" customHeight="1" spans="1:8">
      <c r="A889" s="11"/>
      <c r="B889" s="11"/>
      <c r="C889" s="11"/>
      <c r="D889" s="10"/>
      <c r="E889" s="11"/>
      <c r="H889" s="13"/>
    </row>
    <row r="890" customHeight="1" spans="1:8">
      <c r="A890" s="11"/>
      <c r="B890" s="11"/>
      <c r="C890" s="11"/>
      <c r="D890" s="10"/>
      <c r="E890" s="11"/>
      <c r="H890" s="13"/>
    </row>
    <row r="891" customHeight="1" spans="1:8">
      <c r="A891" s="11"/>
      <c r="B891" s="11"/>
      <c r="C891" s="11"/>
      <c r="D891" s="10"/>
      <c r="E891" s="11"/>
      <c r="H891" s="13"/>
    </row>
    <row r="892" customHeight="1" spans="1:8">
      <c r="A892" s="11"/>
      <c r="B892" s="11"/>
      <c r="C892" s="11"/>
      <c r="D892" s="10"/>
      <c r="E892" s="11"/>
      <c r="H892" s="13"/>
    </row>
    <row r="893" customHeight="1" spans="1:8">
      <c r="A893" s="11"/>
      <c r="B893" s="11"/>
      <c r="C893" s="11"/>
      <c r="D893" s="10"/>
      <c r="E893" s="11"/>
      <c r="H893" s="13"/>
    </row>
    <row r="894" customHeight="1" spans="1:8">
      <c r="A894" s="11"/>
      <c r="B894" s="11"/>
      <c r="C894" s="11"/>
      <c r="D894" s="10"/>
      <c r="E894" s="11"/>
      <c r="H894" s="13"/>
    </row>
    <row r="895" customHeight="1" spans="1:8">
      <c r="A895" s="11"/>
      <c r="B895" s="11"/>
      <c r="C895" s="11"/>
      <c r="D895" s="10"/>
      <c r="E895" s="11"/>
      <c r="H895" s="13"/>
    </row>
    <row r="896" customHeight="1" spans="1:8">
      <c r="A896" s="11"/>
      <c r="B896" s="11"/>
      <c r="C896" s="11"/>
      <c r="D896" s="10"/>
      <c r="E896" s="11"/>
      <c r="H896" s="13"/>
    </row>
    <row r="897" customHeight="1" spans="1:8">
      <c r="A897" s="11"/>
      <c r="B897" s="11"/>
      <c r="C897" s="11"/>
      <c r="D897" s="10"/>
      <c r="E897" s="11"/>
      <c r="H897" s="13"/>
    </row>
    <row r="898" customHeight="1" spans="1:8">
      <c r="A898" s="11"/>
      <c r="B898" s="11"/>
      <c r="C898" s="11"/>
      <c r="D898" s="10"/>
      <c r="E898" s="11"/>
      <c r="H898" s="13"/>
    </row>
    <row r="899" customHeight="1" spans="1:8">
      <c r="A899" s="11"/>
      <c r="B899" s="11"/>
      <c r="C899" s="11"/>
      <c r="D899" s="10"/>
      <c r="E899" s="11"/>
      <c r="H899" s="13"/>
    </row>
    <row r="900" customHeight="1" spans="1:8">
      <c r="A900" s="11"/>
      <c r="B900" s="11"/>
      <c r="C900" s="11"/>
      <c r="D900" s="10"/>
      <c r="E900" s="11"/>
      <c r="H900" s="13"/>
    </row>
    <row r="901" customHeight="1" spans="1:8">
      <c r="A901" s="11"/>
      <c r="B901" s="11"/>
      <c r="C901" s="11"/>
      <c r="D901" s="10"/>
      <c r="E901" s="11"/>
      <c r="H901" s="13"/>
    </row>
    <row r="902" customHeight="1" spans="1:8">
      <c r="A902" s="11"/>
      <c r="B902" s="11"/>
      <c r="C902" s="11"/>
      <c r="D902" s="10"/>
      <c r="E902" s="11"/>
      <c r="H902" s="13"/>
    </row>
    <row r="903" customHeight="1" spans="1:8">
      <c r="A903" s="11"/>
      <c r="B903" s="11"/>
      <c r="C903" s="11"/>
      <c r="D903" s="10"/>
      <c r="E903" s="11"/>
      <c r="H903" s="13"/>
    </row>
    <row r="904" customHeight="1" spans="1:8">
      <c r="A904" s="11"/>
      <c r="B904" s="11"/>
      <c r="C904" s="11"/>
      <c r="D904" s="10"/>
      <c r="E904" s="11"/>
      <c r="H904" s="13"/>
    </row>
    <row r="905" customHeight="1" spans="1:8">
      <c r="A905" s="11"/>
      <c r="B905" s="11"/>
      <c r="C905" s="11"/>
      <c r="D905" s="10"/>
      <c r="E905" s="11"/>
      <c r="H905" s="13"/>
    </row>
    <row r="906" customHeight="1" spans="1:8">
      <c r="A906" s="11"/>
      <c r="B906" s="11"/>
      <c r="C906" s="11"/>
      <c r="D906" s="10"/>
      <c r="E906" s="11"/>
      <c r="H906" s="13"/>
    </row>
    <row r="907" customHeight="1" spans="1:8">
      <c r="A907" s="11"/>
      <c r="B907" s="11"/>
      <c r="C907" s="11"/>
      <c r="D907" s="10"/>
      <c r="E907" s="11"/>
      <c r="H907" s="13"/>
    </row>
    <row r="908" customHeight="1" spans="1:8">
      <c r="A908" s="11"/>
      <c r="B908" s="11"/>
      <c r="C908" s="11"/>
      <c r="D908" s="10"/>
      <c r="E908" s="11"/>
      <c r="H908" s="13"/>
    </row>
    <row r="909" customHeight="1" spans="1:8">
      <c r="A909" s="11"/>
      <c r="B909" s="11"/>
      <c r="C909" s="11"/>
      <c r="D909" s="10"/>
      <c r="E909" s="11"/>
      <c r="H909" s="13"/>
    </row>
    <row r="910" customHeight="1" spans="1:8">
      <c r="A910" s="11"/>
      <c r="B910" s="11"/>
      <c r="C910" s="11"/>
      <c r="D910" s="10"/>
      <c r="E910" s="11"/>
      <c r="H910" s="13"/>
    </row>
    <row r="911" customHeight="1" spans="1:8">
      <c r="A911" s="11"/>
      <c r="B911" s="11"/>
      <c r="C911" s="11"/>
      <c r="D911" s="10"/>
      <c r="E911" s="11"/>
      <c r="H911" s="13"/>
    </row>
    <row r="912" customHeight="1" spans="1:8">
      <c r="A912" s="11"/>
      <c r="B912" s="11"/>
      <c r="C912" s="11"/>
      <c r="D912" s="10"/>
      <c r="E912" s="11"/>
      <c r="H912" s="13"/>
    </row>
    <row r="913" customHeight="1" spans="1:8">
      <c r="A913" s="11"/>
      <c r="B913" s="11"/>
      <c r="C913" s="11"/>
      <c r="D913" s="10"/>
      <c r="E913" s="11"/>
      <c r="H913" s="13"/>
    </row>
    <row r="914" customHeight="1" spans="1:8">
      <c r="A914" s="11"/>
      <c r="B914" s="11"/>
      <c r="C914" s="11"/>
      <c r="D914" s="10"/>
      <c r="E914" s="11"/>
      <c r="H914" s="13"/>
    </row>
    <row r="915" customHeight="1" spans="1:8">
      <c r="A915" s="11"/>
      <c r="B915" s="11"/>
      <c r="C915" s="11"/>
      <c r="D915" s="10"/>
      <c r="E915" s="11"/>
      <c r="H915" s="13"/>
    </row>
    <row r="916" customHeight="1" spans="1:8">
      <c r="A916" s="11"/>
      <c r="B916" s="11"/>
      <c r="C916" s="11"/>
      <c r="D916" s="10"/>
      <c r="E916" s="11"/>
      <c r="H916" s="13"/>
    </row>
    <row r="917" customHeight="1" spans="1:8">
      <c r="A917" s="11"/>
      <c r="B917" s="11"/>
      <c r="C917" s="11"/>
      <c r="D917" s="10"/>
      <c r="E917" s="11"/>
      <c r="H917" s="13"/>
    </row>
    <row r="918" customHeight="1" spans="1:8">
      <c r="A918" s="11"/>
      <c r="B918" s="11"/>
      <c r="C918" s="11"/>
      <c r="D918" s="10"/>
      <c r="E918" s="11"/>
      <c r="H918" s="13"/>
    </row>
    <row r="919" customHeight="1" spans="1:8">
      <c r="A919" s="11"/>
      <c r="B919" s="11"/>
      <c r="C919" s="11"/>
      <c r="D919" s="10"/>
      <c r="E919" s="11"/>
      <c r="H919" s="13"/>
    </row>
    <row r="920" customHeight="1" spans="1:8">
      <c r="A920" s="11"/>
      <c r="B920" s="11"/>
      <c r="C920" s="11"/>
      <c r="D920" s="10"/>
      <c r="E920" s="11"/>
      <c r="H920" s="13"/>
    </row>
    <row r="921" customHeight="1" spans="1:8">
      <c r="A921" s="11"/>
      <c r="B921" s="11"/>
      <c r="C921" s="11"/>
      <c r="D921" s="10"/>
      <c r="E921" s="11"/>
      <c r="H921" s="13"/>
    </row>
    <row r="922" customHeight="1" spans="1:8">
      <c r="A922" s="11"/>
      <c r="B922" s="11"/>
      <c r="C922" s="11"/>
      <c r="D922" s="10"/>
      <c r="E922" s="11"/>
      <c r="H922" s="13"/>
    </row>
    <row r="923" customHeight="1" spans="1:8">
      <c r="A923" s="11"/>
      <c r="B923" s="11"/>
      <c r="C923" s="11"/>
      <c r="D923" s="10"/>
      <c r="E923" s="11"/>
      <c r="H923" s="13"/>
    </row>
    <row r="924" customHeight="1" spans="1:8">
      <c r="A924" s="11"/>
      <c r="B924" s="11"/>
      <c r="C924" s="11"/>
      <c r="D924" s="10"/>
      <c r="E924" s="11"/>
      <c r="H924" s="13"/>
    </row>
    <row r="925" customHeight="1" spans="1:8">
      <c r="A925" s="11"/>
      <c r="B925" s="11"/>
      <c r="C925" s="11"/>
      <c r="D925" s="10"/>
      <c r="E925" s="11"/>
      <c r="H925" s="13"/>
    </row>
    <row r="926" customHeight="1" spans="1:8">
      <c r="A926" s="11"/>
      <c r="B926" s="11"/>
      <c r="C926" s="11"/>
      <c r="D926" s="10"/>
      <c r="E926" s="11"/>
      <c r="H926" s="13"/>
    </row>
    <row r="927" customHeight="1" spans="1:8">
      <c r="A927" s="11"/>
      <c r="B927" s="11"/>
      <c r="C927" s="11"/>
      <c r="D927" s="10"/>
      <c r="E927" s="11"/>
      <c r="H927" s="13"/>
    </row>
    <row r="928" customHeight="1" spans="1:8">
      <c r="A928" s="11"/>
      <c r="B928" s="11"/>
      <c r="C928" s="11"/>
      <c r="D928" s="10"/>
      <c r="E928" s="11"/>
      <c r="H928" s="13"/>
    </row>
    <row r="929" customHeight="1" spans="1:8">
      <c r="A929" s="11"/>
      <c r="B929" s="11"/>
      <c r="C929" s="11"/>
      <c r="D929" s="10"/>
      <c r="E929" s="11"/>
      <c r="H929" s="13"/>
    </row>
    <row r="930" customHeight="1" spans="1:8">
      <c r="A930" s="11"/>
      <c r="B930" s="11"/>
      <c r="C930" s="11"/>
      <c r="D930" s="10"/>
      <c r="E930" s="11"/>
      <c r="H930" s="13"/>
    </row>
    <row r="931" customHeight="1" spans="1:8">
      <c r="A931" s="11"/>
      <c r="B931" s="11"/>
      <c r="C931" s="11"/>
      <c r="D931" s="10"/>
      <c r="E931" s="11"/>
      <c r="H931" s="13"/>
    </row>
    <row r="932" customHeight="1" spans="1:8">
      <c r="A932" s="11"/>
      <c r="B932" s="11"/>
      <c r="C932" s="11"/>
      <c r="D932" s="10"/>
      <c r="E932" s="11"/>
      <c r="H932" s="13"/>
    </row>
    <row r="933" customHeight="1" spans="1:8">
      <c r="A933" s="11"/>
      <c r="B933" s="11"/>
      <c r="C933" s="11"/>
      <c r="D933" s="10"/>
      <c r="E933" s="11"/>
      <c r="H933" s="13"/>
    </row>
    <row r="934" customHeight="1" spans="1:8">
      <c r="A934" s="11"/>
      <c r="B934" s="11"/>
      <c r="C934" s="11"/>
      <c r="D934" s="10"/>
      <c r="E934" s="11"/>
      <c r="H934" s="13"/>
    </row>
    <row r="935" customHeight="1" spans="1:8">
      <c r="A935" s="11"/>
      <c r="B935" s="11"/>
      <c r="C935" s="11"/>
      <c r="D935" s="10"/>
      <c r="E935" s="11"/>
      <c r="H935" s="13"/>
    </row>
    <row r="936" customHeight="1" spans="1:8">
      <c r="A936" s="11"/>
      <c r="B936" s="11"/>
      <c r="C936" s="11"/>
      <c r="D936" s="10"/>
      <c r="E936" s="11"/>
      <c r="H936" s="13"/>
    </row>
    <row r="937" customHeight="1" spans="1:8">
      <c r="A937" s="11"/>
      <c r="B937" s="11"/>
      <c r="C937" s="11"/>
      <c r="D937" s="10"/>
      <c r="E937" s="11"/>
      <c r="H937" s="13"/>
    </row>
    <row r="938" customHeight="1" spans="1:8">
      <c r="A938" s="11"/>
      <c r="B938" s="11"/>
      <c r="C938" s="11"/>
      <c r="D938" s="10"/>
      <c r="E938" s="11"/>
      <c r="H938" s="13"/>
    </row>
    <row r="939" customHeight="1" spans="1:8">
      <c r="A939" s="11"/>
      <c r="B939" s="11"/>
      <c r="C939" s="11"/>
      <c r="D939" s="10"/>
      <c r="E939" s="11"/>
      <c r="H939" s="13"/>
    </row>
    <row r="940" customHeight="1" spans="1:8">
      <c r="A940" s="11"/>
      <c r="B940" s="11"/>
      <c r="C940" s="11"/>
      <c r="D940" s="10"/>
      <c r="E940" s="11"/>
      <c r="H940" s="13"/>
    </row>
    <row r="941" customHeight="1" spans="1:8">
      <c r="A941" s="11"/>
      <c r="B941" s="11"/>
      <c r="C941" s="11"/>
      <c r="D941" s="10"/>
      <c r="E941" s="11"/>
      <c r="H941" s="13"/>
    </row>
    <row r="942" customHeight="1" spans="1:8">
      <c r="A942" s="11"/>
      <c r="B942" s="11"/>
      <c r="C942" s="11"/>
      <c r="D942" s="10"/>
      <c r="E942" s="11"/>
      <c r="H942" s="13"/>
    </row>
    <row r="943" customHeight="1" spans="1:8">
      <c r="A943" s="11"/>
      <c r="B943" s="11"/>
      <c r="C943" s="11"/>
      <c r="D943" s="10"/>
      <c r="E943" s="11"/>
      <c r="H943" s="13"/>
    </row>
    <row r="944" customHeight="1" spans="1:8">
      <c r="A944" s="11"/>
      <c r="B944" s="11"/>
      <c r="C944" s="11"/>
      <c r="D944" s="10"/>
      <c r="E944" s="11"/>
      <c r="H944" s="13"/>
    </row>
    <row r="945" customHeight="1" spans="1:8">
      <c r="A945" s="11"/>
      <c r="B945" s="11"/>
      <c r="C945" s="11"/>
      <c r="D945" s="10"/>
      <c r="E945" s="11"/>
      <c r="H945" s="13"/>
    </row>
    <row r="946" customHeight="1" spans="1:8">
      <c r="A946" s="11"/>
      <c r="B946" s="11"/>
      <c r="C946" s="11"/>
      <c r="D946" s="10"/>
      <c r="E946" s="11"/>
      <c r="H946" s="13"/>
    </row>
    <row r="947" customHeight="1" spans="1:8">
      <c r="A947" s="11"/>
      <c r="B947" s="11"/>
      <c r="C947" s="11"/>
      <c r="D947" s="10"/>
      <c r="E947" s="11"/>
      <c r="H947" s="13"/>
    </row>
    <row r="948" customHeight="1" spans="1:8">
      <c r="A948" s="11"/>
      <c r="B948" s="11"/>
      <c r="C948" s="11"/>
      <c r="D948" s="10"/>
      <c r="E948" s="11"/>
      <c r="H948" s="13"/>
    </row>
    <row r="949" customHeight="1" spans="1:8">
      <c r="A949" s="11"/>
      <c r="B949" s="11"/>
      <c r="C949" s="11"/>
      <c r="D949" s="10"/>
      <c r="E949" s="11"/>
      <c r="H949" s="13"/>
    </row>
    <row r="950" customHeight="1" spans="1:8">
      <c r="A950" s="11"/>
      <c r="B950" s="11"/>
      <c r="C950" s="11"/>
      <c r="D950" s="10"/>
      <c r="E950" s="11"/>
      <c r="H950" s="13"/>
    </row>
    <row r="951" customHeight="1" spans="1:8">
      <c r="A951" s="11"/>
      <c r="B951" s="11"/>
      <c r="C951" s="11"/>
      <c r="D951" s="10"/>
      <c r="E951" s="11"/>
      <c r="H951" s="13"/>
    </row>
    <row r="952" customHeight="1" spans="1:8">
      <c r="A952" s="11"/>
      <c r="B952" s="11"/>
      <c r="C952" s="11"/>
      <c r="D952" s="10"/>
      <c r="E952" s="11"/>
      <c r="H952" s="13"/>
    </row>
    <row r="953" customHeight="1" spans="1:8">
      <c r="A953" s="11"/>
      <c r="B953" s="11"/>
      <c r="C953" s="11"/>
      <c r="D953" s="10"/>
      <c r="E953" s="11"/>
      <c r="H953" s="13"/>
    </row>
    <row r="954" customHeight="1" spans="1:8">
      <c r="A954" s="11"/>
      <c r="B954" s="11"/>
      <c r="C954" s="11"/>
      <c r="D954" s="10"/>
      <c r="E954" s="11"/>
      <c r="H954" s="13"/>
    </row>
    <row r="955" customHeight="1" spans="1:8">
      <c r="A955" s="11"/>
      <c r="B955" s="11"/>
      <c r="C955" s="11"/>
      <c r="D955" s="10"/>
      <c r="E955" s="11"/>
      <c r="H955" s="13"/>
    </row>
    <row r="956" customHeight="1" spans="1:8">
      <c r="A956" s="11"/>
      <c r="B956" s="11"/>
      <c r="C956" s="11"/>
      <c r="D956" s="10"/>
      <c r="E956" s="11"/>
      <c r="H956" s="13"/>
    </row>
    <row r="957" customHeight="1" spans="1:8">
      <c r="A957" s="11"/>
      <c r="B957" s="11"/>
      <c r="C957" s="11"/>
      <c r="D957" s="10"/>
      <c r="E957" s="11"/>
      <c r="H957" s="13"/>
    </row>
    <row r="958" customHeight="1" spans="1:8">
      <c r="A958" s="11"/>
      <c r="B958" s="11"/>
      <c r="C958" s="11"/>
      <c r="D958" s="10"/>
      <c r="E958" s="11"/>
      <c r="H958" s="13"/>
    </row>
    <row r="959" customHeight="1" spans="1:8">
      <c r="A959" s="11"/>
      <c r="B959" s="11"/>
      <c r="C959" s="11"/>
      <c r="D959" s="10"/>
      <c r="E959" s="11"/>
      <c r="H959" s="13"/>
    </row>
    <row r="960" customHeight="1" spans="1:8">
      <c r="A960" s="11"/>
      <c r="B960" s="11"/>
      <c r="C960" s="11"/>
      <c r="D960" s="10"/>
      <c r="E960" s="11"/>
      <c r="H960" s="13"/>
    </row>
    <row r="961" customHeight="1" spans="1:8">
      <c r="A961" s="11"/>
      <c r="B961" s="11"/>
      <c r="C961" s="11"/>
      <c r="D961" s="10"/>
      <c r="E961" s="11"/>
      <c r="H961" s="13"/>
    </row>
    <row r="962" customHeight="1" spans="1:8">
      <c r="A962" s="11"/>
      <c r="B962" s="11"/>
      <c r="C962" s="11"/>
      <c r="D962" s="10"/>
      <c r="E962" s="11"/>
      <c r="H962" s="13"/>
    </row>
    <row r="963" customHeight="1" spans="1:8">
      <c r="A963" s="11"/>
      <c r="B963" s="11"/>
      <c r="C963" s="11"/>
      <c r="D963" s="10"/>
      <c r="E963" s="11"/>
      <c r="H963" s="13"/>
    </row>
    <row r="964" customHeight="1" spans="1:8">
      <c r="A964" s="11"/>
      <c r="B964" s="11"/>
      <c r="C964" s="11"/>
      <c r="D964" s="10"/>
      <c r="E964" s="11"/>
      <c r="H964" s="13"/>
    </row>
    <row r="965" customHeight="1" spans="1:8">
      <c r="A965" s="11"/>
      <c r="B965" s="11"/>
      <c r="C965" s="11"/>
      <c r="D965" s="10"/>
      <c r="E965" s="11"/>
      <c r="H965" s="13"/>
    </row>
    <row r="966" customHeight="1" spans="1:8">
      <c r="A966" s="11"/>
      <c r="B966" s="11"/>
      <c r="C966" s="11"/>
      <c r="D966" s="10"/>
      <c r="E966" s="11"/>
      <c r="H966" s="13"/>
    </row>
    <row r="967" customHeight="1" spans="1:8">
      <c r="A967" s="11"/>
      <c r="B967" s="11"/>
      <c r="C967" s="11"/>
      <c r="D967" s="10"/>
      <c r="E967" s="11"/>
      <c r="H967" s="13"/>
    </row>
    <row r="968" customHeight="1" spans="1:8">
      <c r="A968" s="11"/>
      <c r="B968" s="11"/>
      <c r="C968" s="11"/>
      <c r="D968" s="10"/>
      <c r="E968" s="11"/>
      <c r="H968" s="13"/>
    </row>
    <row r="969" customHeight="1" spans="1:8">
      <c r="A969" s="11"/>
      <c r="B969" s="11"/>
      <c r="C969" s="11"/>
      <c r="D969" s="10"/>
      <c r="E969" s="11"/>
      <c r="H969" s="13"/>
    </row>
    <row r="970" customHeight="1" spans="1:8">
      <c r="A970" s="11"/>
      <c r="B970" s="11"/>
      <c r="C970" s="11"/>
      <c r="D970" s="10"/>
      <c r="E970" s="11"/>
      <c r="H970" s="13"/>
    </row>
    <row r="971" customHeight="1" spans="1:8">
      <c r="A971" s="11"/>
      <c r="B971" s="11"/>
      <c r="C971" s="11"/>
      <c r="D971" s="10"/>
      <c r="E971" s="11"/>
      <c r="H971" s="13"/>
    </row>
    <row r="972" customHeight="1" spans="1:8">
      <c r="A972" s="11"/>
      <c r="B972" s="11"/>
      <c r="C972" s="11"/>
      <c r="D972" s="10"/>
      <c r="E972" s="11"/>
      <c r="H972" s="13"/>
    </row>
    <row r="973" customHeight="1" spans="1:8">
      <c r="A973" s="11"/>
      <c r="B973" s="11"/>
      <c r="C973" s="11"/>
      <c r="D973" s="10"/>
      <c r="E973" s="11"/>
      <c r="H973" s="13"/>
    </row>
    <row r="974" customHeight="1" spans="1:8">
      <c r="A974" s="11"/>
      <c r="B974" s="11"/>
      <c r="C974" s="11"/>
      <c r="D974" s="10"/>
      <c r="E974" s="11"/>
      <c r="H974" s="13"/>
    </row>
    <row r="975" customHeight="1" spans="1:8">
      <c r="A975" s="11"/>
      <c r="B975" s="11"/>
      <c r="C975" s="11"/>
      <c r="D975" s="10"/>
      <c r="E975" s="11"/>
      <c r="H975" s="13"/>
    </row>
    <row r="976" customHeight="1" spans="1:8">
      <c r="A976" s="11"/>
      <c r="B976" s="11"/>
      <c r="C976" s="11"/>
      <c r="D976" s="10"/>
      <c r="E976" s="11"/>
      <c r="H976" s="13"/>
    </row>
    <row r="977" customHeight="1" spans="1:8">
      <c r="A977" s="11"/>
      <c r="B977" s="11"/>
      <c r="C977" s="11"/>
      <c r="D977" s="10"/>
      <c r="E977" s="11"/>
      <c r="H977" s="13"/>
    </row>
    <row r="978" customHeight="1" spans="1:8">
      <c r="A978" s="11"/>
      <c r="B978" s="11"/>
      <c r="C978" s="11"/>
      <c r="D978" s="10"/>
      <c r="E978" s="11"/>
      <c r="H978" s="13"/>
    </row>
    <row r="979" customHeight="1" spans="1:8">
      <c r="A979" s="11"/>
      <c r="B979" s="11"/>
      <c r="C979" s="11"/>
      <c r="D979" s="10"/>
      <c r="E979" s="11"/>
      <c r="H979" s="13"/>
    </row>
    <row r="980" customHeight="1" spans="1:8">
      <c r="A980" s="11"/>
      <c r="B980" s="11"/>
      <c r="C980" s="11"/>
      <c r="D980" s="10"/>
      <c r="E980" s="11"/>
      <c r="H980" s="13"/>
    </row>
    <row r="981" customHeight="1" spans="1:8">
      <c r="A981" s="11"/>
      <c r="B981" s="11"/>
      <c r="C981" s="11"/>
      <c r="D981" s="10"/>
      <c r="E981" s="11"/>
      <c r="H981" s="13"/>
    </row>
    <row r="982" customHeight="1" spans="1:8">
      <c r="A982" s="11"/>
      <c r="B982" s="11"/>
      <c r="C982" s="11"/>
      <c r="D982" s="10"/>
      <c r="E982" s="11"/>
      <c r="H982" s="13"/>
    </row>
    <row r="983" customHeight="1" spans="1:8">
      <c r="A983" s="11"/>
      <c r="B983" s="11"/>
      <c r="C983" s="11"/>
      <c r="D983" s="10"/>
      <c r="E983" s="11"/>
      <c r="H983" s="13"/>
    </row>
    <row r="984" customHeight="1" spans="1:8">
      <c r="A984" s="11"/>
      <c r="B984" s="11"/>
      <c r="C984" s="11"/>
      <c r="D984" s="10"/>
      <c r="E984" s="11"/>
      <c r="H984" s="13"/>
    </row>
    <row r="985" customHeight="1" spans="1:8">
      <c r="A985" s="11"/>
      <c r="B985" s="11"/>
      <c r="C985" s="11"/>
      <c r="D985" s="10"/>
      <c r="E985" s="11"/>
      <c r="H985" s="13"/>
    </row>
    <row r="986" customHeight="1" spans="1:8">
      <c r="A986" s="11"/>
      <c r="B986" s="11"/>
      <c r="C986" s="11"/>
      <c r="D986" s="10"/>
      <c r="E986" s="11"/>
      <c r="H986" s="13"/>
    </row>
    <row r="987" customHeight="1" spans="1:8">
      <c r="A987" s="11"/>
      <c r="B987" s="11"/>
      <c r="C987" s="11"/>
      <c r="D987" s="10"/>
      <c r="E987" s="11"/>
      <c r="H987" s="13"/>
    </row>
    <row r="988" customHeight="1" spans="1:8">
      <c r="A988" s="11"/>
      <c r="B988" s="11"/>
      <c r="C988" s="11"/>
      <c r="D988" s="10"/>
      <c r="E988" s="11"/>
      <c r="H988" s="13"/>
    </row>
    <row r="989" customHeight="1" spans="1:8">
      <c r="A989" s="11"/>
      <c r="B989" s="11"/>
      <c r="C989" s="11"/>
      <c r="D989" s="10"/>
      <c r="E989" s="11"/>
      <c r="H989" s="13"/>
    </row>
    <row r="990" customHeight="1" spans="1:8">
      <c r="A990" s="11"/>
      <c r="B990" s="11"/>
      <c r="C990" s="11"/>
      <c r="D990" s="10"/>
      <c r="E990" s="11"/>
      <c r="H990" s="13"/>
    </row>
    <row r="991" customHeight="1" spans="1:8">
      <c r="A991" s="11"/>
      <c r="B991" s="11"/>
      <c r="C991" s="11"/>
      <c r="D991" s="10"/>
      <c r="E991" s="11"/>
      <c r="H991" s="13"/>
    </row>
    <row r="992" customHeight="1" spans="1:8">
      <c r="A992" s="11"/>
      <c r="B992" s="11"/>
      <c r="C992" s="11"/>
      <c r="D992" s="10"/>
      <c r="E992" s="11"/>
      <c r="H992" s="13"/>
    </row>
    <row r="993" customHeight="1" spans="1:8">
      <c r="A993" s="11"/>
      <c r="B993" s="11"/>
      <c r="C993" s="11"/>
      <c r="D993" s="10"/>
      <c r="E993" s="11"/>
      <c r="H993" s="13"/>
    </row>
    <row r="994" customHeight="1" spans="1:8">
      <c r="A994" s="11"/>
      <c r="B994" s="11"/>
      <c r="C994" s="11"/>
      <c r="D994" s="10"/>
      <c r="E994" s="11"/>
      <c r="H994" s="13"/>
    </row>
    <row r="995" customHeight="1" spans="1:8">
      <c r="A995" s="11"/>
      <c r="B995" s="11"/>
      <c r="C995" s="11"/>
      <c r="D995" s="10"/>
      <c r="E995" s="11"/>
      <c r="H995" s="13"/>
    </row>
    <row r="996" customHeight="1" spans="1:8">
      <c r="A996" s="11"/>
      <c r="B996" s="11"/>
      <c r="C996" s="11"/>
      <c r="D996" s="10"/>
      <c r="E996" s="11"/>
      <c r="H996" s="13"/>
    </row>
    <row r="997" customHeight="1" spans="1:8">
      <c r="A997" s="11"/>
      <c r="B997" s="11"/>
      <c r="C997" s="11"/>
      <c r="D997" s="10"/>
      <c r="E997" s="11"/>
      <c r="H997" s="13"/>
    </row>
    <row r="998" customHeight="1" spans="1:8">
      <c r="A998" s="11"/>
      <c r="B998" s="11"/>
      <c r="C998" s="11"/>
      <c r="D998" s="10"/>
      <c r="E998" s="11"/>
      <c r="H998" s="13"/>
    </row>
    <row r="999" customHeight="1" spans="1:8">
      <c r="A999" s="11"/>
      <c r="B999" s="11"/>
      <c r="C999" s="11"/>
      <c r="D999" s="10"/>
      <c r="E999" s="11"/>
      <c r="H999" s="13"/>
    </row>
    <row r="1000" customHeight="1" spans="1:8">
      <c r="A1000" s="11"/>
      <c r="B1000" s="11"/>
      <c r="C1000" s="11"/>
      <c r="D1000" s="10"/>
      <c r="E1000" s="11"/>
      <c r="H1000" s="13"/>
    </row>
  </sheetData>
  <autoFilter ref="A1:E1000">
    <sortState ref="A1:E1000">
      <sortCondition ref="A1:A1000"/>
      <sortCondition ref="B1:B1000" descending="1"/>
      <sortCondition ref="D1:D1000" descending="1"/>
    </sortState>
    <extLst/>
  </autoFilter>
  <conditionalFormatting sqref="D1:D1000">
    <cfRule type="colorScale" priority="1">
      <colorScale>
        <cfvo type="percent" val="0"/>
        <cfvo type="percent" val="100"/>
        <color rgb="FFFF0000"/>
        <color rgb="FF00FF00"/>
      </colorScale>
    </cfRule>
  </conditionalFormatting>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57"/>
  <sheetViews>
    <sheetView workbookViewId="0">
      <selection activeCell="A1" sqref="A1"/>
    </sheetView>
  </sheetViews>
  <sheetFormatPr defaultColWidth="12.6296296296296" defaultRowHeight="15.75" customHeight="1" outlineLevelCol="1"/>
  <cols>
    <col min="1" max="1" width="34.6296296296296" customWidth="1"/>
    <col min="2" max="2" width="28.3796296296296" customWidth="1"/>
  </cols>
  <sheetData>
    <row r="1" customHeight="1" spans="1:2">
      <c r="A1" s="1" t="s">
        <v>4432</v>
      </c>
      <c r="B1" s="1" t="s">
        <v>4432</v>
      </c>
    </row>
    <row r="2" customHeight="1" spans="1:2">
      <c r="A2" s="3" t="s">
        <v>4433</v>
      </c>
      <c r="B2" s="3" t="s">
        <v>4434</v>
      </c>
    </row>
    <row r="3" customHeight="1" spans="1:2">
      <c r="A3" s="3" t="s">
        <v>4435</v>
      </c>
      <c r="B3" s="3" t="s">
        <v>4436</v>
      </c>
    </row>
    <row r="4" customHeight="1" spans="1:2">
      <c r="A4" s="3" t="s">
        <v>4437</v>
      </c>
      <c r="B4" s="3" t="s">
        <v>4438</v>
      </c>
    </row>
    <row r="5" customHeight="1" spans="1:2">
      <c r="A5" s="3" t="s">
        <v>4439</v>
      </c>
      <c r="B5" s="3" t="s">
        <v>4440</v>
      </c>
    </row>
    <row r="6" customHeight="1" spans="1:2">
      <c r="A6" s="3" t="s">
        <v>4441</v>
      </c>
      <c r="B6" s="3" t="s">
        <v>4442</v>
      </c>
    </row>
    <row r="7" customHeight="1" spans="1:2">
      <c r="A7" s="3" t="s">
        <v>4443</v>
      </c>
      <c r="B7" s="3" t="s">
        <v>4444</v>
      </c>
    </row>
    <row r="8" customHeight="1" spans="1:2">
      <c r="A8" s="3" t="s">
        <v>4445</v>
      </c>
      <c r="B8" s="3" t="s">
        <v>4446</v>
      </c>
    </row>
    <row r="9" customHeight="1" spans="1:2">
      <c r="A9" s="3" t="s">
        <v>4447</v>
      </c>
      <c r="B9" s="3" t="s">
        <v>4448</v>
      </c>
    </row>
    <row r="10" customHeight="1" spans="1:2">
      <c r="A10" s="3" t="s">
        <v>4449</v>
      </c>
      <c r="B10" s="3" t="s">
        <v>4450</v>
      </c>
    </row>
    <row r="11" customHeight="1" spans="1:2">
      <c r="A11" s="3" t="s">
        <v>4451</v>
      </c>
      <c r="B11" s="3" t="s">
        <v>4452</v>
      </c>
    </row>
    <row r="12" customHeight="1" spans="1:2">
      <c r="A12" s="3" t="s">
        <v>4453</v>
      </c>
      <c r="B12" s="3" t="s">
        <v>4454</v>
      </c>
    </row>
    <row r="13" customHeight="1" spans="1:2">
      <c r="A13" s="3" t="s">
        <v>4455</v>
      </c>
      <c r="B13" s="3" t="s">
        <v>4456</v>
      </c>
    </row>
    <row r="14" customHeight="1" spans="1:2">
      <c r="A14" s="3" t="s">
        <v>4457</v>
      </c>
      <c r="B14" s="3" t="s">
        <v>4458</v>
      </c>
    </row>
    <row r="15" customHeight="1" spans="1:2">
      <c r="A15" s="3" t="s">
        <v>4459</v>
      </c>
      <c r="B15" s="3" t="s">
        <v>4460</v>
      </c>
    </row>
    <row r="16" customHeight="1" spans="1:2">
      <c r="A16" s="3" t="s">
        <v>4461</v>
      </c>
      <c r="B16" s="3" t="s">
        <v>4462</v>
      </c>
    </row>
    <row r="17" customHeight="1" spans="1:2">
      <c r="A17" s="3" t="s">
        <v>4463</v>
      </c>
      <c r="B17" s="3" t="s">
        <v>4464</v>
      </c>
    </row>
    <row r="18" customHeight="1" spans="1:2">
      <c r="A18" s="3" t="s">
        <v>4465</v>
      </c>
      <c r="B18" s="3" t="s">
        <v>4466</v>
      </c>
    </row>
    <row r="19" customHeight="1" spans="1:2">
      <c r="A19" s="3" t="s">
        <v>4467</v>
      </c>
      <c r="B19" s="3" t="s">
        <v>4468</v>
      </c>
    </row>
    <row r="20" customHeight="1" spans="1:2">
      <c r="A20" s="3" t="s">
        <v>4469</v>
      </c>
      <c r="B20" s="3" t="s">
        <v>4470</v>
      </c>
    </row>
    <row r="21" customHeight="1" spans="1:2">
      <c r="A21" s="3" t="s">
        <v>4471</v>
      </c>
      <c r="B21" s="3" t="s">
        <v>4472</v>
      </c>
    </row>
    <row r="22" customHeight="1" spans="1:2">
      <c r="A22" s="3" t="s">
        <v>4473</v>
      </c>
      <c r="B22" s="3" t="s">
        <v>4474</v>
      </c>
    </row>
    <row r="23" customHeight="1" spans="1:2">
      <c r="A23" s="3" t="s">
        <v>4475</v>
      </c>
      <c r="B23" s="3" t="s">
        <v>4476</v>
      </c>
    </row>
    <row r="24" customHeight="1" spans="1:2">
      <c r="A24" s="3" t="s">
        <v>4477</v>
      </c>
      <c r="B24" s="3" t="s">
        <v>4478</v>
      </c>
    </row>
    <row r="25" customHeight="1" spans="1:2">
      <c r="A25" s="3" t="s">
        <v>4479</v>
      </c>
      <c r="B25" s="3" t="s">
        <v>4480</v>
      </c>
    </row>
    <row r="26" customHeight="1" spans="1:2">
      <c r="A26" s="3" t="s">
        <v>4481</v>
      </c>
      <c r="B26" s="3" t="s">
        <v>4482</v>
      </c>
    </row>
    <row r="27" customHeight="1" spans="1:2">
      <c r="A27" s="3" t="s">
        <v>4483</v>
      </c>
      <c r="B27" s="3" t="s">
        <v>4484</v>
      </c>
    </row>
    <row r="28" customHeight="1" spans="1:2">
      <c r="A28" s="3" t="s">
        <v>4485</v>
      </c>
      <c r="B28" s="3" t="s">
        <v>4486</v>
      </c>
    </row>
    <row r="29" customHeight="1" spans="1:2">
      <c r="A29" s="3" t="s">
        <v>4487</v>
      </c>
      <c r="B29" s="3" t="s">
        <v>4488</v>
      </c>
    </row>
    <row r="30" customHeight="1" spans="1:2">
      <c r="A30" s="3" t="s">
        <v>4489</v>
      </c>
      <c r="B30" s="3" t="s">
        <v>4490</v>
      </c>
    </row>
    <row r="31" customHeight="1" spans="1:2">
      <c r="A31" s="3" t="s">
        <v>4491</v>
      </c>
      <c r="B31" s="3" t="s">
        <v>4492</v>
      </c>
    </row>
    <row r="32" customHeight="1" spans="1:2">
      <c r="A32" s="3" t="s">
        <v>4493</v>
      </c>
      <c r="B32" s="3" t="s">
        <v>4494</v>
      </c>
    </row>
    <row r="33" customHeight="1" spans="1:2">
      <c r="A33" s="3" t="s">
        <v>4495</v>
      </c>
      <c r="B33" s="3" t="s">
        <v>4496</v>
      </c>
    </row>
    <row r="34" customHeight="1" spans="1:2">
      <c r="A34" s="3" t="s">
        <v>4497</v>
      </c>
      <c r="B34" s="3" t="s">
        <v>4498</v>
      </c>
    </row>
    <row r="35" customHeight="1" spans="1:2">
      <c r="A35" s="3" t="s">
        <v>4499</v>
      </c>
      <c r="B35" s="3" t="s">
        <v>4500</v>
      </c>
    </row>
    <row r="36" customHeight="1" spans="1:2">
      <c r="A36" s="3" t="s">
        <v>4501</v>
      </c>
      <c r="B36" s="3" t="s">
        <v>4502</v>
      </c>
    </row>
    <row r="37" customHeight="1" spans="1:2">
      <c r="A37" s="3" t="s">
        <v>4503</v>
      </c>
      <c r="B37" s="3" t="s">
        <v>4504</v>
      </c>
    </row>
    <row r="38" customHeight="1" spans="1:2">
      <c r="A38" s="3" t="s">
        <v>4505</v>
      </c>
      <c r="B38" s="3" t="s">
        <v>4506</v>
      </c>
    </row>
    <row r="39" customHeight="1" spans="1:2">
      <c r="A39" s="3" t="s">
        <v>4450</v>
      </c>
      <c r="B39" s="3" t="s">
        <v>4507</v>
      </c>
    </row>
    <row r="40" customHeight="1" spans="1:2">
      <c r="A40" s="3" t="s">
        <v>4508</v>
      </c>
      <c r="B40" s="3" t="s">
        <v>4509</v>
      </c>
    </row>
    <row r="41" customHeight="1" spans="1:2">
      <c r="A41" s="3" t="s">
        <v>4510</v>
      </c>
      <c r="B41" s="3" t="s">
        <v>4511</v>
      </c>
    </row>
    <row r="42" customHeight="1" spans="1:2">
      <c r="A42" s="3" t="s">
        <v>4512</v>
      </c>
      <c r="B42" s="3" t="s">
        <v>4513</v>
      </c>
    </row>
    <row r="43" customHeight="1" spans="1:2">
      <c r="A43" s="3" t="s">
        <v>4448</v>
      </c>
      <c r="B43" s="3" t="s">
        <v>4514</v>
      </c>
    </row>
    <row r="44" customHeight="1" spans="1:2">
      <c r="A44" s="3" t="s">
        <v>4515</v>
      </c>
      <c r="B44" s="3" t="s">
        <v>4516</v>
      </c>
    </row>
    <row r="45" customHeight="1" spans="1:1">
      <c r="A45" s="3" t="s">
        <v>4517</v>
      </c>
    </row>
    <row r="46" customHeight="1" spans="1:1">
      <c r="A46" s="3" t="s">
        <v>4518</v>
      </c>
    </row>
    <row r="47" customHeight="1" spans="1:1">
      <c r="A47" s="3" t="s">
        <v>4519</v>
      </c>
    </row>
    <row r="48" customHeight="1" spans="1:1">
      <c r="A48" s="3" t="s">
        <v>4520</v>
      </c>
    </row>
    <row r="49" customHeight="1" spans="1:1">
      <c r="A49" s="3" t="s">
        <v>4521</v>
      </c>
    </row>
    <row r="50" customHeight="1" spans="1:1">
      <c r="A50" s="3" t="s">
        <v>4522</v>
      </c>
    </row>
    <row r="51" customHeight="1" spans="1:1">
      <c r="A51" s="3" t="s">
        <v>4523</v>
      </c>
    </row>
    <row r="52" customHeight="1" spans="1:1">
      <c r="A52" s="3" t="s">
        <v>4524</v>
      </c>
    </row>
    <row r="53" customHeight="1" spans="1:1">
      <c r="A53" s="3" t="s">
        <v>4525</v>
      </c>
    </row>
    <row r="54" customHeight="1" spans="1:1">
      <c r="A54" s="3" t="s">
        <v>4526</v>
      </c>
    </row>
    <row r="55" customHeight="1" spans="1:1">
      <c r="A55" s="3" t="s">
        <v>4527</v>
      </c>
    </row>
    <row r="56" customHeight="1" spans="1:1">
      <c r="A56" s="3" t="s">
        <v>4528</v>
      </c>
    </row>
    <row r="57" customHeight="1" spans="1:1">
      <c r="A57" s="3" t="s">
        <v>4529</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51"/>
  <sheetViews>
    <sheetView workbookViewId="0">
      <pane ySplit="1" topLeftCell="A2" activePane="bottomLeft" state="frozen"/>
      <selection/>
      <selection pane="bottomLeft" activeCell="B3" sqref="B3"/>
    </sheetView>
  </sheetViews>
  <sheetFormatPr defaultColWidth="12.6296296296296" defaultRowHeight="15.75" customHeight="1"/>
  <cols>
    <col min="1" max="1" width="6.62962962962963" customWidth="1"/>
    <col min="3" max="3" width="16.5" customWidth="1"/>
    <col min="4" max="4" width="17.25" customWidth="1"/>
  </cols>
  <sheetData>
    <row r="1" customHeight="1" spans="1:26">
      <c r="A1" s="1" t="s">
        <v>370</v>
      </c>
      <c r="B1" s="1" t="s">
        <v>0</v>
      </c>
      <c r="C1" s="1" t="s">
        <v>2713</v>
      </c>
      <c r="D1" s="1" t="s">
        <v>2879</v>
      </c>
      <c r="E1" s="2"/>
      <c r="F1" s="2"/>
      <c r="G1" s="2"/>
      <c r="H1" s="2"/>
      <c r="I1" s="2"/>
      <c r="J1" s="2"/>
      <c r="K1" s="2"/>
      <c r="L1" s="2"/>
      <c r="M1" s="2"/>
      <c r="N1" s="2"/>
      <c r="O1" s="2"/>
      <c r="P1" s="2"/>
      <c r="Q1" s="2"/>
      <c r="R1" s="2"/>
      <c r="S1" s="2"/>
      <c r="T1" s="2"/>
      <c r="U1" s="2"/>
      <c r="V1" s="2"/>
      <c r="W1" s="2"/>
      <c r="X1" s="2"/>
      <c r="Y1" s="2"/>
      <c r="Z1" s="2"/>
    </row>
    <row r="2" customHeight="1" spans="1:4">
      <c r="A2" s="3">
        <v>1</v>
      </c>
      <c r="B2" s="3" t="s">
        <v>8</v>
      </c>
      <c r="C2" s="3" t="s">
        <v>2946</v>
      </c>
      <c r="D2" s="3" t="s">
        <v>2911</v>
      </c>
    </row>
    <row r="3" customHeight="1" spans="1:4">
      <c r="A3" s="3">
        <v>2</v>
      </c>
      <c r="B3" s="3" t="s">
        <v>371</v>
      </c>
      <c r="C3" s="3" t="s">
        <v>1721</v>
      </c>
      <c r="D3" s="3" t="s">
        <v>2889</v>
      </c>
    </row>
    <row r="4" customHeight="1" spans="1:4">
      <c r="A4" s="3">
        <v>3</v>
      </c>
      <c r="B4" s="3" t="s">
        <v>372</v>
      </c>
      <c r="C4" s="3" t="s">
        <v>2928</v>
      </c>
      <c r="D4" s="3" t="s">
        <v>2889</v>
      </c>
    </row>
    <row r="5" customHeight="1" spans="1:4">
      <c r="A5" s="3">
        <v>4</v>
      </c>
      <c r="B5" s="3" t="s">
        <v>373</v>
      </c>
      <c r="C5" s="3" t="s">
        <v>2717</v>
      </c>
      <c r="D5" s="3" t="s">
        <v>2896</v>
      </c>
    </row>
    <row r="6" customHeight="1" spans="1:4">
      <c r="A6" s="3">
        <v>5</v>
      </c>
      <c r="B6" s="3" t="s">
        <v>374</v>
      </c>
      <c r="C6" s="3" t="s">
        <v>1721</v>
      </c>
      <c r="D6" s="3" t="s">
        <v>2911</v>
      </c>
    </row>
    <row r="7" customHeight="1" spans="1:4">
      <c r="A7" s="3">
        <v>6</v>
      </c>
      <c r="B7" s="3" t="s">
        <v>375</v>
      </c>
      <c r="C7" s="3" t="s">
        <v>2946</v>
      </c>
      <c r="D7" s="3" t="s">
        <v>2889</v>
      </c>
    </row>
    <row r="8" customHeight="1" spans="1:4">
      <c r="A8" s="3">
        <v>7</v>
      </c>
      <c r="B8" s="3" t="s">
        <v>376</v>
      </c>
      <c r="C8" s="3" t="s">
        <v>2928</v>
      </c>
      <c r="D8" s="3" t="s">
        <v>2908</v>
      </c>
    </row>
    <row r="9" customHeight="1" spans="1:4">
      <c r="A9" s="3">
        <v>8</v>
      </c>
      <c r="B9" s="3" t="s">
        <v>377</v>
      </c>
      <c r="C9" s="3" t="s">
        <v>2946</v>
      </c>
      <c r="D9" s="3" t="s">
        <v>2889</v>
      </c>
    </row>
    <row r="10" customHeight="1" spans="1:4">
      <c r="A10" s="3">
        <v>9</v>
      </c>
      <c r="B10" s="3" t="s">
        <v>378</v>
      </c>
      <c r="C10" s="3" t="s">
        <v>2928</v>
      </c>
      <c r="D10" s="3" t="s">
        <v>2889</v>
      </c>
    </row>
    <row r="11" customHeight="1" spans="1:4">
      <c r="A11" s="3">
        <v>10</v>
      </c>
      <c r="B11" s="3" t="s">
        <v>379</v>
      </c>
      <c r="C11" s="3" t="s">
        <v>2717</v>
      </c>
      <c r="D11" s="3" t="s">
        <v>2889</v>
      </c>
    </row>
    <row r="12" customHeight="1" spans="1:4">
      <c r="A12" s="3">
        <v>11</v>
      </c>
      <c r="B12" s="3" t="s">
        <v>16</v>
      </c>
      <c r="C12" s="3" t="s">
        <v>2898</v>
      </c>
      <c r="D12" s="3" t="s">
        <v>2889</v>
      </c>
    </row>
    <row r="13" customHeight="1" spans="1:4">
      <c r="A13" s="3">
        <v>12</v>
      </c>
      <c r="B13" s="3" t="s">
        <v>24</v>
      </c>
      <c r="C13" s="3" t="s">
        <v>2892</v>
      </c>
      <c r="D13" s="3" t="s">
        <v>2908</v>
      </c>
    </row>
    <row r="14" customHeight="1" spans="1:4">
      <c r="A14" s="3">
        <v>13</v>
      </c>
      <c r="B14" s="3" t="s">
        <v>32</v>
      </c>
      <c r="C14" s="3" t="s">
        <v>1721</v>
      </c>
      <c r="D14" s="3" t="s">
        <v>2889</v>
      </c>
    </row>
    <row r="15" customHeight="1" spans="1:4">
      <c r="A15" s="3">
        <v>14</v>
      </c>
      <c r="B15" s="3" t="s">
        <v>380</v>
      </c>
      <c r="C15" s="3" t="s">
        <v>2928</v>
      </c>
      <c r="D15" s="3" t="s">
        <v>2889</v>
      </c>
    </row>
    <row r="16" customHeight="1" spans="1:4">
      <c r="A16" s="3">
        <v>15</v>
      </c>
      <c r="B16" s="3" t="s">
        <v>381</v>
      </c>
      <c r="C16" s="3" t="s">
        <v>1721</v>
      </c>
      <c r="D16" s="3" t="s">
        <v>2889</v>
      </c>
    </row>
    <row r="17" customHeight="1" spans="1:4">
      <c r="A17" s="3">
        <v>16</v>
      </c>
      <c r="B17" s="3" t="s">
        <v>382</v>
      </c>
      <c r="C17" s="3" t="s">
        <v>2717</v>
      </c>
      <c r="D17" s="3" t="s">
        <v>2889</v>
      </c>
    </row>
    <row r="18" customHeight="1" spans="1:4">
      <c r="A18" s="3">
        <v>17</v>
      </c>
      <c r="B18" s="3" t="s">
        <v>383</v>
      </c>
      <c r="C18" s="3" t="s">
        <v>2928</v>
      </c>
      <c r="D18" s="3" t="s">
        <v>2889</v>
      </c>
    </row>
    <row r="19" customHeight="1" spans="1:4">
      <c r="A19" s="3">
        <v>18</v>
      </c>
      <c r="B19" s="3" t="s">
        <v>384</v>
      </c>
      <c r="C19" s="3" t="s">
        <v>2928</v>
      </c>
      <c r="D19" s="3" t="s">
        <v>2889</v>
      </c>
    </row>
    <row r="20" customHeight="1" spans="1:4">
      <c r="A20" s="3">
        <v>19</v>
      </c>
      <c r="B20" s="3" t="s">
        <v>39</v>
      </c>
      <c r="C20" s="3" t="s">
        <v>2928</v>
      </c>
      <c r="D20" s="3" t="s">
        <v>2889</v>
      </c>
    </row>
    <row r="21" customHeight="1" spans="1:4">
      <c r="A21" s="3">
        <v>20</v>
      </c>
      <c r="B21" s="3" t="s">
        <v>46</v>
      </c>
      <c r="C21" s="3" t="s">
        <v>1638</v>
      </c>
      <c r="D21" s="3" t="s">
        <v>2889</v>
      </c>
    </row>
    <row r="22" customHeight="1" spans="1:4">
      <c r="A22" s="3">
        <v>21</v>
      </c>
      <c r="B22" s="3" t="s">
        <v>385</v>
      </c>
      <c r="C22" s="3" t="s">
        <v>2892</v>
      </c>
      <c r="D22" s="3" t="s">
        <v>2889</v>
      </c>
    </row>
    <row r="23" customHeight="1" spans="1:4">
      <c r="A23" s="3">
        <v>22</v>
      </c>
      <c r="B23" s="3" t="s">
        <v>386</v>
      </c>
      <c r="C23" s="3" t="s">
        <v>2717</v>
      </c>
      <c r="D23" s="3" t="s">
        <v>2889</v>
      </c>
    </row>
    <row r="24" customHeight="1" spans="1:4">
      <c r="A24" s="3">
        <v>23</v>
      </c>
      <c r="B24" s="3" t="s">
        <v>387</v>
      </c>
      <c r="C24" s="3" t="s">
        <v>2717</v>
      </c>
      <c r="D24" s="3" t="s">
        <v>2889</v>
      </c>
    </row>
    <row r="25" customHeight="1" spans="1:4">
      <c r="A25" s="3">
        <v>24</v>
      </c>
      <c r="B25" s="3" t="s">
        <v>298</v>
      </c>
      <c r="C25" s="3" t="s">
        <v>2717</v>
      </c>
      <c r="D25" s="3" t="s">
        <v>2896</v>
      </c>
    </row>
    <row r="26" customHeight="1" spans="1:4">
      <c r="A26" s="3">
        <v>25</v>
      </c>
      <c r="B26" s="3" t="s">
        <v>306</v>
      </c>
      <c r="C26" s="3" t="s">
        <v>3016</v>
      </c>
      <c r="D26" s="3" t="s">
        <v>2889</v>
      </c>
    </row>
    <row r="27" customHeight="1" spans="1:4">
      <c r="A27" s="3">
        <v>26</v>
      </c>
      <c r="B27" s="3" t="s">
        <v>388</v>
      </c>
      <c r="C27" s="3" t="s">
        <v>2928</v>
      </c>
      <c r="D27" s="3" t="s">
        <v>2893</v>
      </c>
    </row>
    <row r="28" customHeight="1" spans="1:4">
      <c r="A28" s="3">
        <v>27</v>
      </c>
      <c r="B28" s="3" t="s">
        <v>389</v>
      </c>
      <c r="C28" s="3" t="s">
        <v>2928</v>
      </c>
      <c r="D28" s="3" t="s">
        <v>2889</v>
      </c>
    </row>
    <row r="29" customHeight="1" spans="1:4">
      <c r="A29" s="3">
        <v>28</v>
      </c>
      <c r="B29" s="3" t="s">
        <v>313</v>
      </c>
      <c r="C29" s="3" t="s">
        <v>2717</v>
      </c>
      <c r="D29" s="3" t="s">
        <v>2889</v>
      </c>
    </row>
    <row r="30" customHeight="1" spans="1:4">
      <c r="A30" s="3">
        <v>29</v>
      </c>
      <c r="B30" s="3" t="s">
        <v>390</v>
      </c>
      <c r="C30" s="3" t="s">
        <v>2946</v>
      </c>
      <c r="D30" s="3" t="s">
        <v>2889</v>
      </c>
    </row>
    <row r="31" customHeight="1" spans="1:4">
      <c r="A31" s="3">
        <v>30</v>
      </c>
      <c r="B31" s="3" t="s">
        <v>320</v>
      </c>
      <c r="C31" s="3" t="s">
        <v>2717</v>
      </c>
      <c r="D31" s="3" t="s">
        <v>2889</v>
      </c>
    </row>
    <row r="32" customHeight="1" spans="1:4">
      <c r="A32" s="3">
        <v>31</v>
      </c>
      <c r="B32" s="3" t="s">
        <v>327</v>
      </c>
      <c r="C32" s="3" t="s">
        <v>3022</v>
      </c>
      <c r="D32" s="3" t="s">
        <v>2889</v>
      </c>
    </row>
    <row r="33" customHeight="1" spans="1:4">
      <c r="A33" s="3">
        <v>32</v>
      </c>
      <c r="B33" s="3" t="s">
        <v>334</v>
      </c>
      <c r="C33" s="3" t="s">
        <v>2898</v>
      </c>
      <c r="D33" s="3" t="s">
        <v>2889</v>
      </c>
    </row>
    <row r="34" customHeight="1" spans="1:4">
      <c r="A34" s="3">
        <v>33</v>
      </c>
      <c r="B34" s="3" t="s">
        <v>391</v>
      </c>
      <c r="C34" s="3" t="s">
        <v>2717</v>
      </c>
      <c r="D34" s="3" t="s">
        <v>2889</v>
      </c>
    </row>
    <row r="35" customHeight="1" spans="1:4">
      <c r="A35" s="3">
        <v>34</v>
      </c>
      <c r="B35" s="3" t="s">
        <v>392</v>
      </c>
      <c r="C35" s="3" t="s">
        <v>2928</v>
      </c>
      <c r="D35" s="3" t="s">
        <v>2889</v>
      </c>
    </row>
    <row r="36" customHeight="1" spans="1:4">
      <c r="A36" s="3">
        <v>35</v>
      </c>
      <c r="B36" s="3" t="s">
        <v>393</v>
      </c>
      <c r="C36" s="3" t="s">
        <v>1721</v>
      </c>
      <c r="D36" s="3" t="s">
        <v>2889</v>
      </c>
    </row>
    <row r="37" customHeight="1" spans="1:4">
      <c r="A37" s="3">
        <v>36</v>
      </c>
      <c r="B37" s="3" t="s">
        <v>394</v>
      </c>
      <c r="C37" s="3" t="s">
        <v>2928</v>
      </c>
      <c r="D37" s="3" t="s">
        <v>2889</v>
      </c>
    </row>
    <row r="38" customHeight="1" spans="1:4">
      <c r="A38" s="3">
        <v>37</v>
      </c>
      <c r="B38" s="3" t="s">
        <v>341</v>
      </c>
      <c r="C38" s="3" t="s">
        <v>2717</v>
      </c>
      <c r="D38" s="3" t="s">
        <v>2911</v>
      </c>
    </row>
    <row r="39" customHeight="1" spans="1:4">
      <c r="A39" s="3">
        <v>38</v>
      </c>
      <c r="B39" s="3" t="s">
        <v>348</v>
      </c>
      <c r="C39" s="3" t="s">
        <v>2946</v>
      </c>
      <c r="D39" s="3" t="s">
        <v>2889</v>
      </c>
    </row>
    <row r="40" customHeight="1" spans="1:4">
      <c r="A40" s="3">
        <v>39</v>
      </c>
      <c r="B40" s="3" t="s">
        <v>395</v>
      </c>
      <c r="C40" s="3" t="s">
        <v>2716</v>
      </c>
      <c r="D40" s="3" t="s">
        <v>2889</v>
      </c>
    </row>
    <row r="41" customHeight="1" spans="1:4">
      <c r="A41" s="3">
        <v>40</v>
      </c>
      <c r="B41" s="3" t="s">
        <v>396</v>
      </c>
      <c r="C41" s="3" t="s">
        <v>2716</v>
      </c>
      <c r="D41" s="3" t="s">
        <v>2889</v>
      </c>
    </row>
    <row r="42" customHeight="1" spans="1:4">
      <c r="A42" s="3">
        <v>41</v>
      </c>
      <c r="B42" s="3" t="s">
        <v>397</v>
      </c>
      <c r="C42" s="3" t="s">
        <v>2717</v>
      </c>
      <c r="D42" s="3" t="s">
        <v>2889</v>
      </c>
    </row>
    <row r="43" customHeight="1" spans="1:4">
      <c r="A43" s="3">
        <v>42</v>
      </c>
      <c r="B43" s="3" t="s">
        <v>355</v>
      </c>
      <c r="C43" s="3" t="s">
        <v>2928</v>
      </c>
      <c r="D43" s="3" t="s">
        <v>2893</v>
      </c>
    </row>
    <row r="44" customHeight="1" spans="1:4">
      <c r="A44" s="3">
        <v>43</v>
      </c>
      <c r="B44" s="3" t="s">
        <v>363</v>
      </c>
      <c r="C44" s="3" t="s">
        <v>2717</v>
      </c>
      <c r="D44" s="3" t="s">
        <v>2889</v>
      </c>
    </row>
    <row r="45" customHeight="1" spans="1:4">
      <c r="A45" s="3">
        <v>44</v>
      </c>
      <c r="B45" s="3" t="s">
        <v>398</v>
      </c>
      <c r="C45" s="3" t="s">
        <v>2946</v>
      </c>
      <c r="D45" s="3" t="s">
        <v>2889</v>
      </c>
    </row>
    <row r="46" customHeight="1" spans="1:4">
      <c r="A46" s="3">
        <v>45</v>
      </c>
      <c r="B46" s="3" t="s">
        <v>399</v>
      </c>
      <c r="C46" s="3" t="s">
        <v>2946</v>
      </c>
      <c r="D46" s="3" t="s">
        <v>2889</v>
      </c>
    </row>
    <row r="47" customHeight="1" spans="1:4">
      <c r="A47" s="3">
        <v>46</v>
      </c>
      <c r="B47" s="3" t="s">
        <v>400</v>
      </c>
      <c r="C47" s="3" t="s">
        <v>2717</v>
      </c>
      <c r="D47" s="3" t="s">
        <v>2889</v>
      </c>
    </row>
    <row r="48" customHeight="1" spans="1:4">
      <c r="A48" s="3">
        <v>47</v>
      </c>
      <c r="B48" s="3" t="s">
        <v>401</v>
      </c>
      <c r="C48" s="3" t="s">
        <v>2717</v>
      </c>
      <c r="D48" s="3" t="s">
        <v>2889</v>
      </c>
    </row>
    <row r="49" customHeight="1" spans="1:4">
      <c r="A49" s="3">
        <v>48</v>
      </c>
      <c r="B49" s="3" t="s">
        <v>402</v>
      </c>
      <c r="C49" s="3" t="s">
        <v>2946</v>
      </c>
      <c r="D49" s="3" t="s">
        <v>2911</v>
      </c>
    </row>
    <row r="50" customHeight="1" spans="1:4">
      <c r="A50" s="3">
        <v>49</v>
      </c>
      <c r="B50" s="3" t="s">
        <v>403</v>
      </c>
      <c r="C50" s="3" t="s">
        <v>2717</v>
      </c>
      <c r="D50" s="3" t="s">
        <v>2911</v>
      </c>
    </row>
    <row r="51" customHeight="1" spans="1:4">
      <c r="A51" s="3">
        <v>50</v>
      </c>
      <c r="B51" s="3" t="s">
        <v>404</v>
      </c>
      <c r="C51" s="3" t="s">
        <v>2946</v>
      </c>
      <c r="D51" s="3" t="s">
        <v>2908</v>
      </c>
    </row>
    <row r="52" customHeight="1" spans="1:4">
      <c r="A52" s="3">
        <v>51</v>
      </c>
      <c r="B52" s="3" t="s">
        <v>405</v>
      </c>
      <c r="C52" s="3" t="s">
        <v>2946</v>
      </c>
      <c r="D52" s="3" t="s">
        <v>2889</v>
      </c>
    </row>
    <row r="53" customHeight="1" spans="1:4">
      <c r="A53" s="3">
        <v>52</v>
      </c>
      <c r="B53" s="3" t="s">
        <v>406</v>
      </c>
      <c r="C53" s="3" t="s">
        <v>2717</v>
      </c>
      <c r="D53" s="3" t="s">
        <v>2889</v>
      </c>
    </row>
    <row r="54" customHeight="1" spans="1:4">
      <c r="A54" s="3">
        <v>53</v>
      </c>
      <c r="B54" s="3" t="s">
        <v>407</v>
      </c>
      <c r="C54" s="3" t="s">
        <v>1721</v>
      </c>
      <c r="D54" s="3" t="s">
        <v>2893</v>
      </c>
    </row>
    <row r="55" customHeight="1" spans="1:4">
      <c r="A55" s="3">
        <v>54</v>
      </c>
      <c r="B55" s="3" t="s">
        <v>53</v>
      </c>
      <c r="C55" s="3" t="s">
        <v>2717</v>
      </c>
      <c r="D55" s="3" t="s">
        <v>2889</v>
      </c>
    </row>
    <row r="56" customHeight="1" spans="1:4">
      <c r="A56" s="3">
        <v>55</v>
      </c>
      <c r="B56" s="3" t="s">
        <v>408</v>
      </c>
      <c r="C56" s="3" t="s">
        <v>2946</v>
      </c>
      <c r="D56" s="3" t="s">
        <v>2889</v>
      </c>
    </row>
    <row r="57" customHeight="1" spans="1:4">
      <c r="A57" s="3">
        <v>56</v>
      </c>
      <c r="B57" s="3" t="s">
        <v>409</v>
      </c>
      <c r="C57" s="3" t="s">
        <v>2892</v>
      </c>
      <c r="D57" s="3" t="s">
        <v>2908</v>
      </c>
    </row>
    <row r="58" customHeight="1" spans="1:4">
      <c r="A58" s="3">
        <v>57</v>
      </c>
      <c r="B58" s="3" t="s">
        <v>410</v>
      </c>
      <c r="C58" s="3" t="s">
        <v>2928</v>
      </c>
      <c r="D58" s="3" t="s">
        <v>2889</v>
      </c>
    </row>
    <row r="59" customHeight="1" spans="1:4">
      <c r="A59" s="3">
        <v>58</v>
      </c>
      <c r="B59" s="3" t="s">
        <v>411</v>
      </c>
      <c r="C59" s="3" t="s">
        <v>2717</v>
      </c>
      <c r="D59" s="3" t="s">
        <v>2889</v>
      </c>
    </row>
    <row r="60" customHeight="1" spans="1:4">
      <c r="A60" s="3">
        <v>59</v>
      </c>
      <c r="B60" s="3" t="s">
        <v>412</v>
      </c>
      <c r="C60" s="3" t="s">
        <v>1721</v>
      </c>
      <c r="D60" s="3" t="s">
        <v>2889</v>
      </c>
    </row>
    <row r="61" customHeight="1" spans="1:4">
      <c r="A61" s="3">
        <v>60</v>
      </c>
      <c r="B61" s="3" t="s">
        <v>413</v>
      </c>
      <c r="C61" s="3" t="s">
        <v>2946</v>
      </c>
      <c r="D61" s="3" t="s">
        <v>2899</v>
      </c>
    </row>
    <row r="62" customHeight="1" spans="1:4">
      <c r="A62" s="3">
        <v>61</v>
      </c>
      <c r="B62" s="3" t="s">
        <v>414</v>
      </c>
      <c r="C62" s="3" t="s">
        <v>2717</v>
      </c>
      <c r="D62" s="3" t="s">
        <v>2911</v>
      </c>
    </row>
    <row r="63" customHeight="1" spans="1:4">
      <c r="A63" s="3">
        <v>62</v>
      </c>
      <c r="B63" s="3" t="s">
        <v>415</v>
      </c>
      <c r="C63" s="3" t="s">
        <v>2892</v>
      </c>
      <c r="D63" s="3" t="s">
        <v>2889</v>
      </c>
    </row>
    <row r="64" customHeight="1" spans="1:4">
      <c r="A64" s="3">
        <v>63</v>
      </c>
      <c r="B64" s="3" t="s">
        <v>416</v>
      </c>
      <c r="C64" s="3" t="s">
        <v>2928</v>
      </c>
      <c r="D64" s="3" t="s">
        <v>2889</v>
      </c>
    </row>
    <row r="65" customHeight="1" spans="1:4">
      <c r="A65" s="3">
        <v>64</v>
      </c>
      <c r="B65" s="3" t="s">
        <v>417</v>
      </c>
      <c r="C65" s="3" t="s">
        <v>2946</v>
      </c>
      <c r="D65" s="3" t="s">
        <v>2889</v>
      </c>
    </row>
    <row r="66" customHeight="1" spans="1:4">
      <c r="A66" s="3">
        <v>65</v>
      </c>
      <c r="B66" s="3" t="s">
        <v>418</v>
      </c>
      <c r="C66" s="3" t="s">
        <v>2717</v>
      </c>
      <c r="D66" s="3" t="s">
        <v>2889</v>
      </c>
    </row>
    <row r="67" customHeight="1" spans="1:4">
      <c r="A67" s="3">
        <v>66</v>
      </c>
      <c r="B67" s="3" t="s">
        <v>419</v>
      </c>
      <c r="C67" s="3" t="s">
        <v>2717</v>
      </c>
      <c r="D67" s="3" t="s">
        <v>2889</v>
      </c>
    </row>
    <row r="68" customHeight="1" spans="1:4">
      <c r="A68" s="3">
        <v>67</v>
      </c>
      <c r="B68" s="3" t="s">
        <v>420</v>
      </c>
      <c r="C68" s="3" t="s">
        <v>1721</v>
      </c>
      <c r="D68" s="3" t="s">
        <v>2889</v>
      </c>
    </row>
    <row r="69" customHeight="1" spans="1:4">
      <c r="A69" s="3">
        <v>68</v>
      </c>
      <c r="B69" s="3" t="s">
        <v>421</v>
      </c>
      <c r="C69" s="3" t="s">
        <v>2717</v>
      </c>
      <c r="D69" s="3" t="s">
        <v>2889</v>
      </c>
    </row>
    <row r="70" customHeight="1" spans="1:4">
      <c r="A70" s="3">
        <v>69</v>
      </c>
      <c r="B70" s="3" t="s">
        <v>422</v>
      </c>
      <c r="C70" s="3" t="s">
        <v>2717</v>
      </c>
      <c r="D70" s="3" t="s">
        <v>2889</v>
      </c>
    </row>
    <row r="71" customHeight="1" spans="1:4">
      <c r="A71" s="3">
        <v>70</v>
      </c>
      <c r="B71" s="3" t="s">
        <v>423</v>
      </c>
      <c r="C71" s="3" t="s">
        <v>2892</v>
      </c>
      <c r="D71" s="3" t="s">
        <v>2893</v>
      </c>
    </row>
    <row r="72" customHeight="1" spans="1:4">
      <c r="A72" s="3">
        <v>71</v>
      </c>
      <c r="B72" s="3" t="s">
        <v>424</v>
      </c>
      <c r="C72" s="3" t="s">
        <v>2946</v>
      </c>
      <c r="D72" s="3" t="s">
        <v>2911</v>
      </c>
    </row>
    <row r="73" customHeight="1" spans="1:4">
      <c r="A73" s="3">
        <v>72</v>
      </c>
      <c r="B73" s="3" t="s">
        <v>61</v>
      </c>
      <c r="C73" s="3" t="s">
        <v>1721</v>
      </c>
      <c r="D73" s="3" t="s">
        <v>2893</v>
      </c>
    </row>
    <row r="74" customHeight="1" spans="1:4">
      <c r="A74" s="3">
        <v>73</v>
      </c>
      <c r="B74" s="3" t="s">
        <v>425</v>
      </c>
      <c r="C74" s="3" t="s">
        <v>1721</v>
      </c>
      <c r="D74" s="3" t="s">
        <v>2893</v>
      </c>
    </row>
    <row r="75" customHeight="1" spans="1:4">
      <c r="A75" s="3">
        <v>74</v>
      </c>
      <c r="B75" s="3" t="s">
        <v>426</v>
      </c>
      <c r="C75" s="3" t="s">
        <v>2928</v>
      </c>
      <c r="D75" s="3" t="s">
        <v>2889</v>
      </c>
    </row>
    <row r="76" customHeight="1" spans="1:4">
      <c r="A76" s="3">
        <v>75</v>
      </c>
      <c r="B76" s="3" t="s">
        <v>427</v>
      </c>
      <c r="C76" s="3" t="s">
        <v>1721</v>
      </c>
      <c r="D76" s="3" t="s">
        <v>2893</v>
      </c>
    </row>
    <row r="77" customHeight="1" spans="1:4">
      <c r="A77" s="3">
        <v>76</v>
      </c>
      <c r="B77" s="3" t="s">
        <v>428</v>
      </c>
      <c r="C77" s="3" t="s">
        <v>2946</v>
      </c>
      <c r="D77" s="3" t="s">
        <v>2889</v>
      </c>
    </row>
    <row r="78" customHeight="1" spans="1:4">
      <c r="A78" s="3">
        <v>77</v>
      </c>
      <c r="B78" s="3" t="s">
        <v>429</v>
      </c>
      <c r="C78" s="3" t="s">
        <v>2946</v>
      </c>
      <c r="D78" s="3" t="s">
        <v>2889</v>
      </c>
    </row>
    <row r="79" customHeight="1" spans="1:4">
      <c r="A79" s="3">
        <v>78</v>
      </c>
      <c r="B79" s="3" t="s">
        <v>430</v>
      </c>
      <c r="C79" s="3" t="s">
        <v>2898</v>
      </c>
      <c r="D79" s="3" t="s">
        <v>2889</v>
      </c>
    </row>
    <row r="80" customHeight="1" spans="1:4">
      <c r="A80" s="3">
        <v>79</v>
      </c>
      <c r="B80" s="3" t="s">
        <v>431</v>
      </c>
      <c r="C80" s="3" t="s">
        <v>2928</v>
      </c>
      <c r="D80" s="3" t="s">
        <v>2893</v>
      </c>
    </row>
    <row r="81" customHeight="1" spans="1:4">
      <c r="A81" s="3">
        <v>80</v>
      </c>
      <c r="B81" s="3" t="s">
        <v>68</v>
      </c>
      <c r="C81" s="3" t="s">
        <v>2928</v>
      </c>
      <c r="D81" s="3" t="s">
        <v>2893</v>
      </c>
    </row>
    <row r="82" customHeight="1" spans="1:4">
      <c r="A82" s="3">
        <v>81</v>
      </c>
      <c r="B82" s="3" t="s">
        <v>432</v>
      </c>
      <c r="C82" s="3" t="s">
        <v>2946</v>
      </c>
      <c r="D82" s="3" t="s">
        <v>2893</v>
      </c>
    </row>
    <row r="83" customHeight="1" spans="1:4">
      <c r="A83" s="3">
        <v>82</v>
      </c>
      <c r="B83" s="3" t="s">
        <v>433</v>
      </c>
      <c r="C83" s="3" t="s">
        <v>2946</v>
      </c>
      <c r="D83" s="3" t="s">
        <v>2893</v>
      </c>
    </row>
    <row r="84" customHeight="1" spans="1:4">
      <c r="A84" s="3">
        <v>83</v>
      </c>
      <c r="B84" s="3" t="s">
        <v>434</v>
      </c>
      <c r="C84" s="3" t="s">
        <v>1721</v>
      </c>
      <c r="D84" s="3" t="s">
        <v>2889</v>
      </c>
    </row>
    <row r="85" customHeight="1" spans="1:4">
      <c r="A85" s="3">
        <v>84</v>
      </c>
      <c r="B85" s="3" t="s">
        <v>435</v>
      </c>
      <c r="C85" s="3" t="s">
        <v>2946</v>
      </c>
      <c r="D85" s="3" t="s">
        <v>2893</v>
      </c>
    </row>
    <row r="86" customHeight="1" spans="1:4">
      <c r="A86" s="3">
        <v>85</v>
      </c>
      <c r="B86" s="3" t="s">
        <v>436</v>
      </c>
      <c r="C86" s="3" t="s">
        <v>1721</v>
      </c>
      <c r="D86" s="3" t="s">
        <v>2889</v>
      </c>
    </row>
    <row r="87" customHeight="1" spans="1:4">
      <c r="A87" s="3">
        <v>86</v>
      </c>
      <c r="B87" s="3" t="s">
        <v>437</v>
      </c>
      <c r="C87" s="3" t="s">
        <v>2928</v>
      </c>
      <c r="D87" s="3" t="s">
        <v>2893</v>
      </c>
    </row>
    <row r="88" customHeight="1" spans="1:4">
      <c r="A88" s="3">
        <v>87</v>
      </c>
      <c r="B88" s="3" t="s">
        <v>438</v>
      </c>
      <c r="C88" s="3" t="s">
        <v>2946</v>
      </c>
      <c r="D88" s="3" t="s">
        <v>2893</v>
      </c>
    </row>
    <row r="89" customHeight="1" spans="1:4">
      <c r="A89" s="3">
        <v>88</v>
      </c>
      <c r="B89" s="3" t="s">
        <v>439</v>
      </c>
      <c r="C89" s="3" t="s">
        <v>2928</v>
      </c>
      <c r="D89" s="3" t="s">
        <v>2893</v>
      </c>
    </row>
    <row r="90" customHeight="1" spans="1:4">
      <c r="A90" s="3">
        <v>89</v>
      </c>
      <c r="B90" s="3" t="s">
        <v>440</v>
      </c>
      <c r="C90" s="3" t="s">
        <v>2946</v>
      </c>
      <c r="D90" s="3" t="s">
        <v>2911</v>
      </c>
    </row>
    <row r="91" customHeight="1" spans="1:4">
      <c r="A91" s="3">
        <v>90</v>
      </c>
      <c r="B91" s="3" t="s">
        <v>441</v>
      </c>
      <c r="C91" s="3" t="s">
        <v>1721</v>
      </c>
      <c r="D91" s="3" t="s">
        <v>2893</v>
      </c>
    </row>
    <row r="92" customHeight="1" spans="1:4">
      <c r="A92" s="3">
        <v>91</v>
      </c>
      <c r="B92" s="3" t="s">
        <v>442</v>
      </c>
      <c r="C92" s="3" t="s">
        <v>2928</v>
      </c>
      <c r="D92" s="3" t="s">
        <v>2893</v>
      </c>
    </row>
    <row r="93" customHeight="1" spans="1:4">
      <c r="A93" s="3">
        <v>92</v>
      </c>
      <c r="B93" s="3" t="s">
        <v>443</v>
      </c>
      <c r="C93" s="3" t="s">
        <v>2946</v>
      </c>
      <c r="D93" s="3" t="s">
        <v>2889</v>
      </c>
    </row>
    <row r="94" customHeight="1" spans="1:4">
      <c r="A94" s="3">
        <v>93</v>
      </c>
      <c r="B94" s="3" t="s">
        <v>444</v>
      </c>
      <c r="C94" s="3" t="s">
        <v>2928</v>
      </c>
      <c r="D94" s="3" t="s">
        <v>2889</v>
      </c>
    </row>
    <row r="95" customHeight="1" spans="1:4">
      <c r="A95" s="3">
        <v>94</v>
      </c>
      <c r="B95" s="3" t="s">
        <v>445</v>
      </c>
      <c r="C95" s="3" t="s">
        <v>2946</v>
      </c>
      <c r="D95" s="3" t="s">
        <v>2889</v>
      </c>
    </row>
    <row r="96" customHeight="1" spans="1:4">
      <c r="A96" s="3">
        <v>95</v>
      </c>
      <c r="B96" s="3" t="s">
        <v>446</v>
      </c>
      <c r="C96" s="3" t="s">
        <v>1721</v>
      </c>
      <c r="D96" s="3" t="s">
        <v>2911</v>
      </c>
    </row>
    <row r="97" customHeight="1" spans="1:4">
      <c r="A97" s="3">
        <v>96</v>
      </c>
      <c r="B97" s="3" t="s">
        <v>447</v>
      </c>
      <c r="C97" s="3" t="s">
        <v>2717</v>
      </c>
      <c r="D97" s="3" t="s">
        <v>2889</v>
      </c>
    </row>
    <row r="98" customHeight="1" spans="1:4">
      <c r="A98" s="3">
        <v>97</v>
      </c>
      <c r="B98" s="3" t="s">
        <v>448</v>
      </c>
      <c r="C98" s="3" t="s">
        <v>2928</v>
      </c>
      <c r="D98" s="3" t="s">
        <v>2889</v>
      </c>
    </row>
    <row r="99" customHeight="1" spans="1:4">
      <c r="A99" s="3">
        <v>98</v>
      </c>
      <c r="B99" s="3" t="s">
        <v>449</v>
      </c>
      <c r="C99" s="3" t="s">
        <v>1721</v>
      </c>
      <c r="D99" s="3" t="s">
        <v>2911</v>
      </c>
    </row>
    <row r="100" customHeight="1" spans="1:4">
      <c r="A100" s="3">
        <v>99</v>
      </c>
      <c r="B100" s="3" t="s">
        <v>450</v>
      </c>
      <c r="C100" s="3" t="s">
        <v>2717</v>
      </c>
      <c r="D100" s="3" t="s">
        <v>2889</v>
      </c>
    </row>
    <row r="101" customHeight="1" spans="1:4">
      <c r="A101" s="3">
        <v>100</v>
      </c>
      <c r="B101" s="3" t="s">
        <v>451</v>
      </c>
      <c r="C101" s="3" t="s">
        <v>2928</v>
      </c>
      <c r="D101" s="3" t="s">
        <v>2889</v>
      </c>
    </row>
    <row r="102" customHeight="1" spans="1:4">
      <c r="A102" s="3">
        <v>101</v>
      </c>
      <c r="B102" s="3" t="s">
        <v>452</v>
      </c>
      <c r="C102" s="3" t="s">
        <v>2928</v>
      </c>
      <c r="D102" s="3" t="s">
        <v>2889</v>
      </c>
    </row>
    <row r="103" customHeight="1" spans="1:4">
      <c r="A103" s="3">
        <v>102</v>
      </c>
      <c r="B103" s="3" t="s">
        <v>453</v>
      </c>
      <c r="C103" s="3" t="s">
        <v>1721</v>
      </c>
      <c r="D103" s="3" t="s">
        <v>2893</v>
      </c>
    </row>
    <row r="104" customHeight="1" spans="1:4">
      <c r="A104" s="3">
        <v>103</v>
      </c>
      <c r="B104" s="3" t="s">
        <v>454</v>
      </c>
      <c r="C104" s="3" t="s">
        <v>2928</v>
      </c>
      <c r="D104" s="3" t="s">
        <v>2889</v>
      </c>
    </row>
    <row r="105" customHeight="1" spans="1:4">
      <c r="A105" s="3">
        <v>104</v>
      </c>
      <c r="B105" s="3" t="s">
        <v>455</v>
      </c>
      <c r="C105" s="3" t="s">
        <v>2946</v>
      </c>
      <c r="D105" s="3" t="s">
        <v>2889</v>
      </c>
    </row>
    <row r="106" customHeight="1" spans="1:4">
      <c r="A106" s="3">
        <v>105</v>
      </c>
      <c r="B106" s="3" t="s">
        <v>75</v>
      </c>
      <c r="C106" s="3" t="s">
        <v>2898</v>
      </c>
      <c r="D106" s="3" t="s">
        <v>2889</v>
      </c>
    </row>
    <row r="107" customHeight="1" spans="1:4">
      <c r="A107" s="3">
        <v>106</v>
      </c>
      <c r="B107" s="3" t="s">
        <v>456</v>
      </c>
      <c r="C107" s="3" t="s">
        <v>2892</v>
      </c>
      <c r="D107" s="3" t="s">
        <v>2889</v>
      </c>
    </row>
    <row r="108" customHeight="1" spans="1:4">
      <c r="A108" s="3">
        <v>107</v>
      </c>
      <c r="B108" s="3" t="s">
        <v>457</v>
      </c>
      <c r="C108" s="3" t="s">
        <v>2717</v>
      </c>
      <c r="D108" s="3" t="s">
        <v>2908</v>
      </c>
    </row>
    <row r="109" customHeight="1" spans="1:4">
      <c r="A109" s="3">
        <v>108</v>
      </c>
      <c r="B109" s="3" t="s">
        <v>458</v>
      </c>
      <c r="C109" s="3" t="s">
        <v>2717</v>
      </c>
      <c r="D109" s="3" t="s">
        <v>2889</v>
      </c>
    </row>
    <row r="110" customHeight="1" spans="1:4">
      <c r="A110" s="3">
        <v>109</v>
      </c>
      <c r="B110" s="3" t="s">
        <v>459</v>
      </c>
      <c r="C110" s="3" t="s">
        <v>2717</v>
      </c>
      <c r="D110" s="3" t="s">
        <v>2908</v>
      </c>
    </row>
    <row r="111" customHeight="1" spans="1:4">
      <c r="A111" s="3">
        <v>110</v>
      </c>
      <c r="B111" s="3" t="s">
        <v>460</v>
      </c>
      <c r="C111" s="3" t="s">
        <v>2928</v>
      </c>
      <c r="D111" s="3" t="s">
        <v>2889</v>
      </c>
    </row>
    <row r="112" customHeight="1" spans="1:4">
      <c r="A112" s="3">
        <v>111</v>
      </c>
      <c r="B112" s="3" t="s">
        <v>461</v>
      </c>
      <c r="C112" s="3" t="s">
        <v>2928</v>
      </c>
      <c r="D112" s="3" t="s">
        <v>2893</v>
      </c>
    </row>
    <row r="113" customHeight="1" spans="1:4">
      <c r="A113" s="3">
        <v>112</v>
      </c>
      <c r="B113" s="3" t="s">
        <v>462</v>
      </c>
      <c r="C113" s="3" t="s">
        <v>2928</v>
      </c>
      <c r="D113" s="3" t="s">
        <v>2889</v>
      </c>
    </row>
    <row r="114" customHeight="1" spans="1:4">
      <c r="A114" s="3">
        <v>113</v>
      </c>
      <c r="B114" s="3" t="s">
        <v>463</v>
      </c>
      <c r="C114" s="3" t="s">
        <v>2946</v>
      </c>
      <c r="D114" s="3" t="s">
        <v>2889</v>
      </c>
    </row>
    <row r="115" customHeight="1" spans="1:4">
      <c r="A115" s="3">
        <v>114</v>
      </c>
      <c r="B115" s="3" t="s">
        <v>464</v>
      </c>
      <c r="C115" s="3" t="s">
        <v>2946</v>
      </c>
      <c r="D115" s="3" t="s">
        <v>2889</v>
      </c>
    </row>
    <row r="116" customHeight="1" spans="1:4">
      <c r="A116" s="3">
        <v>115</v>
      </c>
      <c r="B116" s="3" t="s">
        <v>465</v>
      </c>
      <c r="C116" s="3" t="s">
        <v>2717</v>
      </c>
      <c r="D116" s="3" t="s">
        <v>2889</v>
      </c>
    </row>
    <row r="117" customHeight="1" spans="1:4">
      <c r="A117" s="3">
        <v>116</v>
      </c>
      <c r="B117" s="3" t="s">
        <v>466</v>
      </c>
      <c r="C117" s="3" t="s">
        <v>2717</v>
      </c>
      <c r="D117" s="3" t="s">
        <v>2889</v>
      </c>
    </row>
    <row r="118" customHeight="1" spans="1:4">
      <c r="A118" s="3">
        <v>117</v>
      </c>
      <c r="B118" s="3" t="s">
        <v>82</v>
      </c>
      <c r="C118" s="3" t="s">
        <v>2946</v>
      </c>
      <c r="D118" s="3" t="s">
        <v>2889</v>
      </c>
    </row>
    <row r="119" customHeight="1" spans="1:4">
      <c r="A119" s="3">
        <v>118</v>
      </c>
      <c r="B119" s="3" t="s">
        <v>467</v>
      </c>
      <c r="C119" s="3" t="s">
        <v>2946</v>
      </c>
      <c r="D119" s="3" t="s">
        <v>2908</v>
      </c>
    </row>
    <row r="120" customHeight="1" spans="1:4">
      <c r="A120" s="3">
        <v>119</v>
      </c>
      <c r="B120" s="3" t="s">
        <v>468</v>
      </c>
      <c r="C120" s="3" t="s">
        <v>2946</v>
      </c>
      <c r="D120" s="3" t="s">
        <v>2908</v>
      </c>
    </row>
    <row r="121" customHeight="1" spans="1:4">
      <c r="A121" s="3">
        <v>120</v>
      </c>
      <c r="B121" s="3" t="s">
        <v>469</v>
      </c>
      <c r="C121" s="3" t="s">
        <v>3016</v>
      </c>
      <c r="D121" s="3" t="s">
        <v>2889</v>
      </c>
    </row>
    <row r="122" customHeight="1" spans="1:4">
      <c r="A122" s="3">
        <v>121</v>
      </c>
      <c r="B122" s="3" t="s">
        <v>470</v>
      </c>
      <c r="C122" s="3" t="s">
        <v>3022</v>
      </c>
      <c r="D122" s="3" t="s">
        <v>2889</v>
      </c>
    </row>
    <row r="123" customHeight="1" spans="1:4">
      <c r="A123" s="3">
        <v>122</v>
      </c>
      <c r="B123" s="3" t="s">
        <v>471</v>
      </c>
      <c r="C123" s="3" t="s">
        <v>2928</v>
      </c>
      <c r="D123" s="3" t="s">
        <v>2889</v>
      </c>
    </row>
    <row r="124" customHeight="1" spans="1:4">
      <c r="A124" s="3">
        <v>123</v>
      </c>
      <c r="B124" s="3" t="s">
        <v>472</v>
      </c>
      <c r="C124" s="3" t="s">
        <v>2898</v>
      </c>
      <c r="D124" s="3" t="s">
        <v>2889</v>
      </c>
    </row>
    <row r="125" customHeight="1" spans="1:4">
      <c r="A125" s="3">
        <v>124</v>
      </c>
      <c r="B125" s="3" t="s">
        <v>473</v>
      </c>
      <c r="C125" s="3" t="s">
        <v>2928</v>
      </c>
      <c r="D125" s="3" t="s">
        <v>2889</v>
      </c>
    </row>
    <row r="126" customHeight="1" spans="1:4">
      <c r="A126" s="3">
        <v>125</v>
      </c>
      <c r="B126" s="3" t="s">
        <v>474</v>
      </c>
      <c r="C126" s="3" t="s">
        <v>2928</v>
      </c>
      <c r="D126" s="3" t="s">
        <v>2893</v>
      </c>
    </row>
    <row r="127" customHeight="1" spans="1:4">
      <c r="A127" s="3">
        <v>126</v>
      </c>
      <c r="B127" s="3" t="s">
        <v>475</v>
      </c>
      <c r="C127" s="3" t="s">
        <v>2717</v>
      </c>
      <c r="D127" s="3" t="s">
        <v>2889</v>
      </c>
    </row>
    <row r="128" customHeight="1" spans="1:4">
      <c r="A128" s="3">
        <v>127</v>
      </c>
      <c r="B128" s="3" t="s">
        <v>476</v>
      </c>
      <c r="C128" s="3" t="s">
        <v>2717</v>
      </c>
      <c r="D128" s="3" t="s">
        <v>2889</v>
      </c>
    </row>
    <row r="129" customHeight="1" spans="1:4">
      <c r="A129" s="3">
        <v>128</v>
      </c>
      <c r="B129" s="3" t="s">
        <v>477</v>
      </c>
      <c r="C129" s="3" t="s">
        <v>2717</v>
      </c>
      <c r="D129" s="3" t="s">
        <v>2889</v>
      </c>
    </row>
    <row r="130" customHeight="1" spans="1:4">
      <c r="A130" s="3">
        <v>129</v>
      </c>
      <c r="B130" s="3" t="s">
        <v>478</v>
      </c>
      <c r="C130" s="3" t="s">
        <v>1721</v>
      </c>
      <c r="D130" s="3" t="s">
        <v>2889</v>
      </c>
    </row>
    <row r="131" customHeight="1" spans="1:4">
      <c r="A131" s="3">
        <v>130</v>
      </c>
      <c r="B131" s="3" t="s">
        <v>479</v>
      </c>
      <c r="C131" s="3" t="s">
        <v>2717</v>
      </c>
      <c r="D131" s="3" t="s">
        <v>2889</v>
      </c>
    </row>
    <row r="132" customHeight="1" spans="1:4">
      <c r="A132" s="3">
        <v>131</v>
      </c>
      <c r="B132" s="3" t="s">
        <v>480</v>
      </c>
      <c r="C132" s="3" t="s">
        <v>2946</v>
      </c>
      <c r="D132" s="3" t="s">
        <v>2889</v>
      </c>
    </row>
    <row r="133" customHeight="1" spans="1:4">
      <c r="A133" s="3">
        <v>132</v>
      </c>
      <c r="B133" s="3" t="s">
        <v>481</v>
      </c>
      <c r="C133" s="3" t="s">
        <v>2946</v>
      </c>
      <c r="D133" s="3" t="s">
        <v>2889</v>
      </c>
    </row>
    <row r="134" customHeight="1" spans="1:4">
      <c r="A134" s="3">
        <v>133</v>
      </c>
      <c r="B134" s="3" t="s">
        <v>482</v>
      </c>
      <c r="C134" s="3" t="s">
        <v>2928</v>
      </c>
      <c r="D134" s="3" t="s">
        <v>2893</v>
      </c>
    </row>
    <row r="135" customHeight="1" spans="1:4">
      <c r="A135" s="3">
        <v>134</v>
      </c>
      <c r="B135" s="3" t="s">
        <v>483</v>
      </c>
      <c r="C135" s="3" t="s">
        <v>2928</v>
      </c>
      <c r="D135" s="3" t="s">
        <v>2889</v>
      </c>
    </row>
    <row r="136" customHeight="1" spans="1:4">
      <c r="A136" s="3">
        <v>135</v>
      </c>
      <c r="B136" s="3" t="s">
        <v>484</v>
      </c>
      <c r="C136" s="3" t="s">
        <v>2716</v>
      </c>
      <c r="D136" s="3" t="s">
        <v>2889</v>
      </c>
    </row>
    <row r="137" customHeight="1" spans="1:4">
      <c r="A137" s="3">
        <v>136</v>
      </c>
      <c r="B137" s="3" t="s">
        <v>485</v>
      </c>
      <c r="C137" s="3" t="s">
        <v>2716</v>
      </c>
      <c r="D137" s="3" t="s">
        <v>2889</v>
      </c>
    </row>
    <row r="138" customHeight="1" spans="1:4">
      <c r="A138" s="3">
        <v>137</v>
      </c>
      <c r="B138" s="3" t="s">
        <v>486</v>
      </c>
      <c r="C138" s="3" t="s">
        <v>2928</v>
      </c>
      <c r="D138" s="3" t="s">
        <v>2889</v>
      </c>
    </row>
    <row r="139" customHeight="1" spans="1:4">
      <c r="A139" s="3">
        <v>138</v>
      </c>
      <c r="B139" s="3" t="s">
        <v>487</v>
      </c>
      <c r="C139" s="3" t="s">
        <v>2946</v>
      </c>
      <c r="D139" s="3" t="s">
        <v>2889</v>
      </c>
    </row>
    <row r="140" customHeight="1" spans="1:4">
      <c r="A140" s="3">
        <v>139</v>
      </c>
      <c r="B140" s="3" t="s">
        <v>488</v>
      </c>
      <c r="C140" s="3" t="s">
        <v>1721</v>
      </c>
      <c r="D140" s="3" t="s">
        <v>2889</v>
      </c>
    </row>
    <row r="141" customHeight="1" spans="1:4">
      <c r="A141" s="3">
        <v>140</v>
      </c>
      <c r="B141" s="3" t="s">
        <v>489</v>
      </c>
      <c r="C141" s="3" t="s">
        <v>2717</v>
      </c>
      <c r="D141" s="3" t="s">
        <v>2889</v>
      </c>
    </row>
    <row r="142" customHeight="1" spans="1:4">
      <c r="A142" s="3">
        <v>141</v>
      </c>
      <c r="B142" s="3" t="s">
        <v>490</v>
      </c>
      <c r="C142" s="3" t="s">
        <v>2928</v>
      </c>
      <c r="D142" s="3" t="s">
        <v>2893</v>
      </c>
    </row>
    <row r="143" customHeight="1" spans="1:4">
      <c r="A143" s="3">
        <v>142</v>
      </c>
      <c r="B143" s="3" t="s">
        <v>491</v>
      </c>
      <c r="C143" s="3" t="s">
        <v>2946</v>
      </c>
      <c r="D143" s="3" t="s">
        <v>2947</v>
      </c>
    </row>
    <row r="144" customHeight="1" spans="1:4">
      <c r="A144" s="3">
        <v>143</v>
      </c>
      <c r="B144" s="3" t="s">
        <v>492</v>
      </c>
      <c r="C144" s="3" t="s">
        <v>2892</v>
      </c>
      <c r="D144" s="3" t="s">
        <v>3019</v>
      </c>
    </row>
    <row r="145" customHeight="1" spans="1:4">
      <c r="A145" s="3">
        <v>144</v>
      </c>
      <c r="B145" s="3" t="s">
        <v>493</v>
      </c>
      <c r="C145" s="3" t="s">
        <v>2716</v>
      </c>
      <c r="D145" s="3" t="s">
        <v>2911</v>
      </c>
    </row>
    <row r="146" customHeight="1" spans="1:4">
      <c r="A146" s="3">
        <v>145</v>
      </c>
      <c r="B146" s="3" t="s">
        <v>494</v>
      </c>
      <c r="C146" s="3" t="s">
        <v>1721</v>
      </c>
      <c r="D146" s="3" t="s">
        <v>2908</v>
      </c>
    </row>
    <row r="147" customHeight="1" spans="1:4">
      <c r="A147" s="3">
        <v>146</v>
      </c>
      <c r="B147" s="3" t="s">
        <v>495</v>
      </c>
      <c r="C147" s="3" t="s">
        <v>2717</v>
      </c>
      <c r="D147" s="3" t="s">
        <v>2911</v>
      </c>
    </row>
    <row r="148" customHeight="1" spans="1:4">
      <c r="A148" s="3">
        <v>147</v>
      </c>
      <c r="B148" s="3" t="s">
        <v>496</v>
      </c>
      <c r="C148" s="3" t="s">
        <v>2892</v>
      </c>
      <c r="D148" s="3" t="s">
        <v>3182</v>
      </c>
    </row>
    <row r="149" customHeight="1" spans="1:4">
      <c r="A149" s="3">
        <v>148</v>
      </c>
      <c r="B149" s="3" t="s">
        <v>497</v>
      </c>
      <c r="C149" s="3" t="s">
        <v>2892</v>
      </c>
      <c r="D149" s="3" t="s">
        <v>2911</v>
      </c>
    </row>
    <row r="150" customHeight="1" spans="1:4">
      <c r="A150" s="3">
        <v>149</v>
      </c>
      <c r="B150" s="3" t="s">
        <v>498</v>
      </c>
      <c r="C150" s="3" t="s">
        <v>2892</v>
      </c>
      <c r="D150" s="3" t="s">
        <v>2908</v>
      </c>
    </row>
    <row r="151" customHeight="1" spans="1:4">
      <c r="A151" s="3">
        <v>150</v>
      </c>
      <c r="B151" s="3" t="s">
        <v>499</v>
      </c>
      <c r="C151" s="3" t="s">
        <v>2716</v>
      </c>
      <c r="D151" s="3" t="s">
        <v>2889</v>
      </c>
    </row>
    <row r="152" customHeight="1" spans="1:4">
      <c r="A152" s="3">
        <v>151</v>
      </c>
      <c r="B152" s="3" t="s">
        <v>500</v>
      </c>
      <c r="C152" s="3" t="s">
        <v>2716</v>
      </c>
      <c r="D152" s="3" t="s">
        <v>2908</v>
      </c>
    </row>
    <row r="153" customHeight="1" spans="1:4">
      <c r="A153" s="3">
        <v>152</v>
      </c>
      <c r="B153" s="3" t="s">
        <v>501</v>
      </c>
      <c r="C153" s="3" t="s">
        <v>2946</v>
      </c>
      <c r="D153" s="3" t="s">
        <v>2899</v>
      </c>
    </row>
    <row r="154" customHeight="1" spans="1:4">
      <c r="A154" s="3">
        <v>153</v>
      </c>
      <c r="B154" s="3" t="s">
        <v>502</v>
      </c>
      <c r="C154" s="3" t="s">
        <v>2892</v>
      </c>
      <c r="D154" s="3" t="s">
        <v>2908</v>
      </c>
    </row>
    <row r="155" customHeight="1" spans="1:4">
      <c r="A155" s="3">
        <v>154</v>
      </c>
      <c r="B155" s="3" t="s">
        <v>503</v>
      </c>
      <c r="C155" s="3" t="s">
        <v>2717</v>
      </c>
      <c r="D155" s="3" t="s">
        <v>2908</v>
      </c>
    </row>
    <row r="156" customHeight="1" spans="1:4">
      <c r="A156" s="3">
        <v>155</v>
      </c>
      <c r="B156" s="3" t="s">
        <v>504</v>
      </c>
      <c r="C156" s="3" t="s">
        <v>2946</v>
      </c>
      <c r="D156" s="3" t="s">
        <v>2908</v>
      </c>
    </row>
    <row r="157" customHeight="1" spans="1:4">
      <c r="A157" s="3">
        <v>156</v>
      </c>
      <c r="B157" s="3" t="s">
        <v>505</v>
      </c>
      <c r="C157" s="3" t="s">
        <v>2946</v>
      </c>
      <c r="D157" s="3" t="s">
        <v>2899</v>
      </c>
    </row>
    <row r="158" customHeight="1" spans="1:4">
      <c r="A158" s="3">
        <v>157</v>
      </c>
      <c r="B158" s="3" t="s">
        <v>506</v>
      </c>
      <c r="C158" s="3" t="s">
        <v>2946</v>
      </c>
      <c r="D158" s="3" t="s">
        <v>2908</v>
      </c>
    </row>
    <row r="159" customHeight="1" spans="1:4">
      <c r="A159" s="3">
        <v>158</v>
      </c>
      <c r="B159" s="3" t="s">
        <v>507</v>
      </c>
      <c r="C159" s="3" t="s">
        <v>2946</v>
      </c>
      <c r="D159" s="3" t="s">
        <v>2899</v>
      </c>
    </row>
    <row r="160" customHeight="1" spans="1:4">
      <c r="A160" s="3">
        <v>159</v>
      </c>
      <c r="B160" s="3" t="s">
        <v>508</v>
      </c>
      <c r="C160" s="3" t="s">
        <v>2946</v>
      </c>
      <c r="D160" s="3" t="s">
        <v>2889</v>
      </c>
    </row>
    <row r="161" customHeight="1" spans="1:4">
      <c r="A161" s="3">
        <v>160</v>
      </c>
      <c r="B161" s="3" t="s">
        <v>509</v>
      </c>
      <c r="C161" s="3" t="s">
        <v>2946</v>
      </c>
      <c r="D161" s="3" t="s">
        <v>2889</v>
      </c>
    </row>
    <row r="162" customHeight="1" spans="1:4">
      <c r="A162" s="3">
        <v>161</v>
      </c>
      <c r="B162" s="3" t="s">
        <v>510</v>
      </c>
      <c r="C162" s="3" t="s">
        <v>2946</v>
      </c>
      <c r="D162" s="3" t="s">
        <v>2908</v>
      </c>
    </row>
    <row r="163" customHeight="1" spans="1:4">
      <c r="A163" s="3">
        <v>162</v>
      </c>
      <c r="B163" s="3" t="s">
        <v>511</v>
      </c>
      <c r="C163" s="3" t="s">
        <v>2717</v>
      </c>
      <c r="D163" s="3" t="s">
        <v>2889</v>
      </c>
    </row>
    <row r="164" customHeight="1" spans="1:4">
      <c r="A164" s="3">
        <v>163</v>
      </c>
      <c r="B164" s="3" t="s">
        <v>512</v>
      </c>
      <c r="C164" s="3" t="s">
        <v>2717</v>
      </c>
      <c r="D164" s="3" t="s">
        <v>2889</v>
      </c>
    </row>
    <row r="165" customHeight="1" spans="1:4">
      <c r="A165" s="3">
        <v>164</v>
      </c>
      <c r="B165" s="3" t="s">
        <v>513</v>
      </c>
      <c r="C165" s="3" t="s">
        <v>2717</v>
      </c>
      <c r="D165" s="3" t="s">
        <v>2889</v>
      </c>
    </row>
    <row r="166" customHeight="1" spans="1:4">
      <c r="A166" s="3">
        <v>165</v>
      </c>
      <c r="B166" s="3" t="s">
        <v>514</v>
      </c>
      <c r="C166" s="3" t="s">
        <v>2946</v>
      </c>
      <c r="D166" s="3" t="s">
        <v>2908</v>
      </c>
    </row>
    <row r="167" customHeight="1" spans="1:4">
      <c r="A167" s="3">
        <v>166</v>
      </c>
      <c r="B167" s="3" t="s">
        <v>515</v>
      </c>
      <c r="C167" s="3" t="s">
        <v>2946</v>
      </c>
      <c r="D167" s="3" t="s">
        <v>2908</v>
      </c>
    </row>
    <row r="168" customHeight="1" spans="1:4">
      <c r="A168" s="3">
        <v>167</v>
      </c>
      <c r="B168" s="3" t="s">
        <v>516</v>
      </c>
      <c r="C168" s="3" t="s">
        <v>2946</v>
      </c>
      <c r="D168" s="3" t="s">
        <v>2899</v>
      </c>
    </row>
    <row r="169" customHeight="1" spans="1:4">
      <c r="A169" s="3">
        <v>168</v>
      </c>
      <c r="B169" s="3" t="s">
        <v>517</v>
      </c>
      <c r="C169" s="3" t="s">
        <v>2928</v>
      </c>
      <c r="D169" s="3" t="s">
        <v>2893</v>
      </c>
    </row>
    <row r="170" customHeight="1" spans="1:4">
      <c r="A170" s="3">
        <v>169</v>
      </c>
      <c r="B170" s="3" t="s">
        <v>518</v>
      </c>
      <c r="C170" s="3" t="s">
        <v>2716</v>
      </c>
      <c r="D170" s="3" t="s">
        <v>2896</v>
      </c>
    </row>
    <row r="171" customHeight="1" spans="1:4">
      <c r="A171" s="3">
        <v>170</v>
      </c>
      <c r="B171" s="3" t="s">
        <v>519</v>
      </c>
      <c r="C171" s="3" t="s">
        <v>2716</v>
      </c>
      <c r="D171" s="3" t="s">
        <v>2908</v>
      </c>
    </row>
    <row r="172" customHeight="1" spans="1:4">
      <c r="A172" s="3">
        <v>171</v>
      </c>
      <c r="B172" s="3" t="s">
        <v>520</v>
      </c>
      <c r="C172" s="3" t="s">
        <v>2717</v>
      </c>
      <c r="D172" s="3" t="s">
        <v>2908</v>
      </c>
    </row>
    <row r="173" customHeight="1" spans="1:4">
      <c r="A173" s="3">
        <v>172</v>
      </c>
      <c r="B173" s="3" t="s">
        <v>521</v>
      </c>
      <c r="C173" s="3" t="s">
        <v>2898</v>
      </c>
      <c r="D173" s="3" t="s">
        <v>2899</v>
      </c>
    </row>
    <row r="174" customHeight="1" spans="1:4">
      <c r="A174" s="3">
        <v>173</v>
      </c>
      <c r="B174" s="3" t="s">
        <v>522</v>
      </c>
      <c r="C174" s="3" t="s">
        <v>2716</v>
      </c>
      <c r="D174" s="3" t="s">
        <v>3391</v>
      </c>
    </row>
    <row r="175" customHeight="1" spans="1:4">
      <c r="A175" s="3">
        <v>174</v>
      </c>
      <c r="B175" s="3" t="s">
        <v>524</v>
      </c>
      <c r="C175" s="3" t="s">
        <v>1638</v>
      </c>
      <c r="D175" s="3" t="s">
        <v>2899</v>
      </c>
    </row>
    <row r="176" customHeight="1" spans="1:4">
      <c r="A176" s="3">
        <v>175</v>
      </c>
      <c r="B176" s="3" t="s">
        <v>89</v>
      </c>
      <c r="C176" s="3" t="s">
        <v>2892</v>
      </c>
      <c r="D176" s="3" t="s">
        <v>2899</v>
      </c>
    </row>
    <row r="177" customHeight="1" spans="1:4">
      <c r="A177" s="3">
        <v>176</v>
      </c>
      <c r="B177" s="3" t="s">
        <v>526</v>
      </c>
      <c r="C177" s="3" t="s">
        <v>1638</v>
      </c>
      <c r="D177" s="3" t="s">
        <v>2893</v>
      </c>
    </row>
    <row r="178" customHeight="1" spans="1:4">
      <c r="A178" s="3">
        <v>177</v>
      </c>
      <c r="B178" s="3" t="s">
        <v>527</v>
      </c>
      <c r="C178" s="3" t="s">
        <v>2717</v>
      </c>
      <c r="D178" s="3" t="s">
        <v>2908</v>
      </c>
    </row>
    <row r="179" customHeight="1" spans="1:4">
      <c r="A179" s="3">
        <v>178</v>
      </c>
      <c r="B179" s="3" t="s">
        <v>528</v>
      </c>
      <c r="C179" s="3" t="s">
        <v>2716</v>
      </c>
      <c r="D179" s="3" t="s">
        <v>2899</v>
      </c>
    </row>
    <row r="180" customHeight="1" spans="1:4">
      <c r="A180" s="3">
        <v>179</v>
      </c>
      <c r="B180" s="3" t="s">
        <v>529</v>
      </c>
      <c r="C180" s="3" t="s">
        <v>2716</v>
      </c>
      <c r="D180" s="3" t="s">
        <v>2899</v>
      </c>
    </row>
    <row r="181" customHeight="1" spans="1:4">
      <c r="A181" s="3">
        <v>180</v>
      </c>
      <c r="B181" s="3" t="s">
        <v>530</v>
      </c>
      <c r="C181" s="3" t="s">
        <v>2898</v>
      </c>
      <c r="D181" s="3" t="s">
        <v>2899</v>
      </c>
    </row>
    <row r="182" customHeight="1" spans="1:4">
      <c r="A182" s="3">
        <v>181</v>
      </c>
      <c r="B182" s="3" t="s">
        <v>531</v>
      </c>
      <c r="C182" s="3" t="s">
        <v>2946</v>
      </c>
      <c r="D182" s="3" t="s">
        <v>3019</v>
      </c>
    </row>
    <row r="183" customHeight="1" spans="1:4">
      <c r="A183" s="3">
        <v>182</v>
      </c>
      <c r="B183" s="3" t="s">
        <v>532</v>
      </c>
      <c r="C183" s="3" t="s">
        <v>2946</v>
      </c>
      <c r="D183" s="3" t="s">
        <v>2908</v>
      </c>
    </row>
    <row r="184" customHeight="1" spans="1:4">
      <c r="A184" s="3">
        <v>183</v>
      </c>
      <c r="B184" s="3" t="s">
        <v>533</v>
      </c>
      <c r="C184" s="3" t="s">
        <v>1721</v>
      </c>
      <c r="D184" s="3" t="s">
        <v>2889</v>
      </c>
    </row>
    <row r="185" customHeight="1" spans="1:4">
      <c r="A185" s="3">
        <v>184</v>
      </c>
      <c r="B185" s="3" t="s">
        <v>534</v>
      </c>
      <c r="C185" s="3" t="s">
        <v>2898</v>
      </c>
      <c r="D185" s="3" t="s">
        <v>2908</v>
      </c>
    </row>
    <row r="186" customHeight="1" spans="1:4">
      <c r="A186" s="3">
        <v>185</v>
      </c>
      <c r="B186" s="3" t="s">
        <v>535</v>
      </c>
      <c r="C186" s="3" t="s">
        <v>2928</v>
      </c>
      <c r="D186" s="3" t="s">
        <v>2893</v>
      </c>
    </row>
    <row r="187" customHeight="1" spans="1:4">
      <c r="A187" s="3">
        <v>186</v>
      </c>
      <c r="B187" s="3" t="s">
        <v>536</v>
      </c>
      <c r="C187" s="3" t="s">
        <v>2892</v>
      </c>
      <c r="D187" s="3" t="s">
        <v>2908</v>
      </c>
    </row>
    <row r="188" customHeight="1" spans="1:4">
      <c r="A188" s="3">
        <v>187</v>
      </c>
      <c r="B188" s="3" t="s">
        <v>537</v>
      </c>
      <c r="C188" s="3" t="s">
        <v>2892</v>
      </c>
      <c r="D188" s="3" t="s">
        <v>2889</v>
      </c>
    </row>
    <row r="189" customHeight="1" spans="1:4">
      <c r="A189" s="3">
        <v>188</v>
      </c>
      <c r="B189" s="3" t="s">
        <v>538</v>
      </c>
      <c r="C189" s="3" t="s">
        <v>2892</v>
      </c>
      <c r="D189" s="3" t="s">
        <v>2889</v>
      </c>
    </row>
    <row r="190" customHeight="1" spans="1:4">
      <c r="A190" s="3">
        <v>189</v>
      </c>
      <c r="B190" s="3" t="s">
        <v>539</v>
      </c>
      <c r="C190" s="3" t="s">
        <v>2892</v>
      </c>
      <c r="D190" s="3" t="s">
        <v>2911</v>
      </c>
    </row>
    <row r="191" customHeight="1" spans="1:4">
      <c r="A191" s="3">
        <v>190</v>
      </c>
      <c r="B191" s="3" t="s">
        <v>540</v>
      </c>
      <c r="C191" s="3" t="s">
        <v>2892</v>
      </c>
      <c r="D191" s="3" t="s">
        <v>2896</v>
      </c>
    </row>
    <row r="192" customHeight="1" spans="1:4">
      <c r="A192" s="3">
        <v>191</v>
      </c>
      <c r="B192" s="3" t="s">
        <v>541</v>
      </c>
      <c r="C192" s="3" t="s">
        <v>2892</v>
      </c>
      <c r="D192" s="3" t="s">
        <v>2899</v>
      </c>
    </row>
    <row r="193" customHeight="1" spans="1:4">
      <c r="A193" s="3">
        <v>192</v>
      </c>
      <c r="B193" s="3" t="s">
        <v>542</v>
      </c>
      <c r="C193" s="3" t="s">
        <v>2892</v>
      </c>
      <c r="D193" s="3" t="s">
        <v>2896</v>
      </c>
    </row>
    <row r="194" customHeight="1" spans="1:4">
      <c r="A194" s="3">
        <v>193</v>
      </c>
      <c r="B194" s="3" t="s">
        <v>543</v>
      </c>
      <c r="C194" s="3" t="s">
        <v>2892</v>
      </c>
      <c r="D194" s="3" t="s">
        <v>2889</v>
      </c>
    </row>
    <row r="195" customHeight="1" spans="1:4">
      <c r="A195" s="3">
        <v>194</v>
      </c>
      <c r="B195" s="3" t="s">
        <v>544</v>
      </c>
      <c r="C195" s="3" t="s">
        <v>1638</v>
      </c>
      <c r="D195" s="3" t="s">
        <v>2893</v>
      </c>
    </row>
    <row r="196" customHeight="1" spans="1:4">
      <c r="A196" s="3">
        <v>195</v>
      </c>
      <c r="B196" s="3" t="s">
        <v>545</v>
      </c>
      <c r="C196" s="3" t="s">
        <v>2946</v>
      </c>
      <c r="D196" s="3" t="s">
        <v>2911</v>
      </c>
    </row>
    <row r="197" customHeight="1" spans="1:4">
      <c r="A197" s="3">
        <v>196</v>
      </c>
      <c r="B197" s="3" t="s">
        <v>546</v>
      </c>
      <c r="C197" s="3" t="s">
        <v>2716</v>
      </c>
      <c r="D197" s="3" t="s">
        <v>2889</v>
      </c>
    </row>
    <row r="198" customHeight="1" spans="1:4">
      <c r="A198" s="3">
        <v>197</v>
      </c>
      <c r="B198" s="3" t="s">
        <v>547</v>
      </c>
      <c r="C198" s="3" t="s">
        <v>2892</v>
      </c>
      <c r="D198" s="3" t="s">
        <v>2889</v>
      </c>
    </row>
    <row r="199" customHeight="1" spans="1:4">
      <c r="A199" s="3">
        <v>198</v>
      </c>
      <c r="B199" s="3" t="s">
        <v>548</v>
      </c>
      <c r="C199" s="3" t="s">
        <v>2716</v>
      </c>
      <c r="D199" s="3" t="s">
        <v>2889</v>
      </c>
    </row>
    <row r="200" customHeight="1" spans="1:4">
      <c r="A200" s="3">
        <v>199</v>
      </c>
      <c r="B200" s="3" t="s">
        <v>549</v>
      </c>
      <c r="C200" s="3" t="s">
        <v>2716</v>
      </c>
      <c r="D200" s="3" t="s">
        <v>2899</v>
      </c>
    </row>
    <row r="201" customHeight="1" spans="1:4">
      <c r="A201" s="3">
        <v>200</v>
      </c>
      <c r="B201" s="3" t="s">
        <v>550</v>
      </c>
      <c r="C201" s="3" t="s">
        <v>2716</v>
      </c>
      <c r="D201" s="3" t="s">
        <v>2889</v>
      </c>
    </row>
    <row r="202" customHeight="1" spans="1:4">
      <c r="A202" s="3">
        <v>201</v>
      </c>
      <c r="B202" s="3" t="s">
        <v>551</v>
      </c>
      <c r="C202" s="3" t="s">
        <v>2717</v>
      </c>
      <c r="D202" s="3" t="s">
        <v>2911</v>
      </c>
    </row>
    <row r="203" customHeight="1" spans="1:4">
      <c r="A203" s="3">
        <v>202</v>
      </c>
      <c r="B203" s="3" t="s">
        <v>552</v>
      </c>
      <c r="C203" s="3" t="s">
        <v>2717</v>
      </c>
      <c r="D203" s="3" t="s">
        <v>2889</v>
      </c>
    </row>
    <row r="204" customHeight="1" spans="1:4">
      <c r="A204" s="3">
        <v>203</v>
      </c>
      <c r="B204" s="3" t="s">
        <v>553</v>
      </c>
      <c r="C204" s="3" t="s">
        <v>2717</v>
      </c>
      <c r="D204" s="3" t="s">
        <v>2889</v>
      </c>
    </row>
    <row r="205" customHeight="1" spans="1:4">
      <c r="A205" s="3">
        <v>204</v>
      </c>
      <c r="B205" s="3" t="s">
        <v>554</v>
      </c>
      <c r="C205" s="3" t="s">
        <v>2717</v>
      </c>
      <c r="D205" s="3" t="s">
        <v>2947</v>
      </c>
    </row>
    <row r="206" customHeight="1" spans="1:4">
      <c r="A206" s="3">
        <v>205</v>
      </c>
      <c r="B206" s="3" t="s">
        <v>555</v>
      </c>
      <c r="C206" s="3" t="s">
        <v>3234</v>
      </c>
      <c r="D206" s="3" t="s">
        <v>2889</v>
      </c>
    </row>
    <row r="207" customHeight="1" spans="1:4">
      <c r="A207" s="3">
        <v>206</v>
      </c>
      <c r="B207" s="3" t="s">
        <v>556</v>
      </c>
      <c r="C207" s="3" t="s">
        <v>1721</v>
      </c>
      <c r="D207" s="3" t="s">
        <v>2889</v>
      </c>
    </row>
    <row r="208" customHeight="1" spans="1:4">
      <c r="A208" s="3">
        <v>207</v>
      </c>
      <c r="B208" s="3" t="s">
        <v>557</v>
      </c>
      <c r="C208" s="3" t="s">
        <v>2946</v>
      </c>
      <c r="D208" s="3" t="s">
        <v>3019</v>
      </c>
    </row>
    <row r="209" customHeight="1" spans="1:4">
      <c r="A209" s="3">
        <v>208</v>
      </c>
      <c r="B209" s="3" t="s">
        <v>96</v>
      </c>
      <c r="C209" s="3" t="s">
        <v>2946</v>
      </c>
      <c r="D209" s="3" t="s">
        <v>3019</v>
      </c>
    </row>
    <row r="210" customHeight="1" spans="1:4">
      <c r="A210" s="3">
        <v>209</v>
      </c>
      <c r="B210" s="3" t="s">
        <v>558</v>
      </c>
      <c r="C210" s="3" t="s">
        <v>2716</v>
      </c>
      <c r="D210" s="3" t="s">
        <v>2889</v>
      </c>
    </row>
    <row r="211" customHeight="1" spans="1:4">
      <c r="A211" s="3">
        <v>210</v>
      </c>
      <c r="B211" s="3" t="s">
        <v>559</v>
      </c>
      <c r="C211" s="3" t="s">
        <v>3184</v>
      </c>
      <c r="D211" s="3" t="s">
        <v>3019</v>
      </c>
    </row>
    <row r="212" customHeight="1" spans="1:4">
      <c r="A212" s="3">
        <v>211</v>
      </c>
      <c r="B212" s="3" t="s">
        <v>560</v>
      </c>
      <c r="C212" s="3" t="s">
        <v>2716</v>
      </c>
      <c r="D212" s="3" t="s">
        <v>2889</v>
      </c>
    </row>
    <row r="213" customHeight="1" spans="1:4">
      <c r="A213" s="3">
        <v>212</v>
      </c>
      <c r="B213" s="3" t="s">
        <v>561</v>
      </c>
      <c r="C213" s="3" t="s">
        <v>1721</v>
      </c>
      <c r="D213" s="3" t="s">
        <v>2893</v>
      </c>
    </row>
    <row r="214" customHeight="1" spans="1:4">
      <c r="A214" s="3">
        <v>213</v>
      </c>
      <c r="B214" s="3" t="s">
        <v>562</v>
      </c>
      <c r="C214" s="3" t="s">
        <v>1721</v>
      </c>
      <c r="D214" s="3" t="s">
        <v>2893</v>
      </c>
    </row>
    <row r="215" customHeight="1" spans="1:4">
      <c r="A215" s="3">
        <v>214</v>
      </c>
      <c r="B215" s="3" t="s">
        <v>563</v>
      </c>
      <c r="C215" s="3" t="s">
        <v>2946</v>
      </c>
      <c r="D215" s="3" t="s">
        <v>2893</v>
      </c>
    </row>
    <row r="216" customHeight="1" spans="1:4">
      <c r="A216" s="3">
        <v>215</v>
      </c>
      <c r="B216" s="3" t="s">
        <v>564</v>
      </c>
      <c r="C216" s="3" t="s">
        <v>3234</v>
      </c>
      <c r="D216" s="3" t="s">
        <v>2893</v>
      </c>
    </row>
    <row r="217" customHeight="1" spans="1:4">
      <c r="A217" s="3">
        <v>216</v>
      </c>
      <c r="B217" s="3" t="s">
        <v>565</v>
      </c>
      <c r="C217" s="3" t="s">
        <v>3016</v>
      </c>
      <c r="D217" s="3" t="s">
        <v>2889</v>
      </c>
    </row>
    <row r="218" customHeight="1" spans="1:4">
      <c r="A218" s="3">
        <v>217</v>
      </c>
      <c r="B218" s="3" t="s">
        <v>566</v>
      </c>
      <c r="C218" s="3" t="s">
        <v>2717</v>
      </c>
      <c r="D218" s="3" t="s">
        <v>3019</v>
      </c>
    </row>
    <row r="219" customHeight="1" spans="1:4">
      <c r="A219" s="3">
        <v>218</v>
      </c>
      <c r="B219" s="3" t="s">
        <v>567</v>
      </c>
      <c r="C219" s="3" t="s">
        <v>1721</v>
      </c>
      <c r="D219" s="3" t="s">
        <v>2889</v>
      </c>
    </row>
    <row r="220" customHeight="1" spans="1:4">
      <c r="A220" s="3">
        <v>219</v>
      </c>
      <c r="B220" s="3" t="s">
        <v>568</v>
      </c>
      <c r="C220" s="3" t="s">
        <v>2717</v>
      </c>
      <c r="D220" s="3" t="s">
        <v>2889</v>
      </c>
    </row>
    <row r="221" customHeight="1" spans="1:4">
      <c r="A221" s="3">
        <v>220</v>
      </c>
      <c r="B221" s="3" t="s">
        <v>569</v>
      </c>
      <c r="C221" s="3" t="s">
        <v>2716</v>
      </c>
      <c r="D221" s="3" t="s">
        <v>2889</v>
      </c>
    </row>
    <row r="222" customHeight="1" spans="1:4">
      <c r="A222" s="3">
        <v>221</v>
      </c>
      <c r="B222" s="3" t="s">
        <v>570</v>
      </c>
      <c r="C222" s="3" t="s">
        <v>3022</v>
      </c>
      <c r="D222" s="3" t="s">
        <v>2889</v>
      </c>
    </row>
    <row r="223" customHeight="1" spans="1:4">
      <c r="A223" s="3">
        <v>222</v>
      </c>
      <c r="B223" s="3" t="s">
        <v>571</v>
      </c>
      <c r="C223" s="3" t="s">
        <v>1721</v>
      </c>
      <c r="D223" s="3" t="s">
        <v>2889</v>
      </c>
    </row>
    <row r="224" customHeight="1" spans="1:4">
      <c r="A224" s="3">
        <v>223</v>
      </c>
      <c r="B224" s="3" t="s">
        <v>572</v>
      </c>
      <c r="C224" s="3" t="s">
        <v>2946</v>
      </c>
      <c r="D224" s="3" t="s">
        <v>2911</v>
      </c>
    </row>
    <row r="225" customHeight="1" spans="1:4">
      <c r="A225" s="3">
        <v>224</v>
      </c>
      <c r="B225" s="3" t="s">
        <v>573</v>
      </c>
      <c r="C225" s="3" t="s">
        <v>2717</v>
      </c>
      <c r="D225" s="3" t="s">
        <v>2889</v>
      </c>
    </row>
    <row r="226" customHeight="1" spans="1:4">
      <c r="A226" s="3">
        <v>225</v>
      </c>
      <c r="B226" s="3" t="s">
        <v>575</v>
      </c>
      <c r="C226" s="3" t="s">
        <v>2946</v>
      </c>
      <c r="D226" s="3" t="s">
        <v>2908</v>
      </c>
    </row>
    <row r="227" customHeight="1" spans="1:4">
      <c r="A227" s="3">
        <v>226</v>
      </c>
      <c r="B227" s="3" t="s">
        <v>576</v>
      </c>
      <c r="C227" s="3" t="s">
        <v>2716</v>
      </c>
      <c r="D227" s="3" t="s">
        <v>2889</v>
      </c>
    </row>
    <row r="228" customHeight="1" spans="1:4">
      <c r="A228" s="3">
        <v>227</v>
      </c>
      <c r="B228" s="3" t="s">
        <v>578</v>
      </c>
      <c r="C228" s="3" t="s">
        <v>2716</v>
      </c>
      <c r="D228" s="3" t="s">
        <v>2911</v>
      </c>
    </row>
    <row r="229" customHeight="1" spans="1:4">
      <c r="A229" s="3">
        <v>228</v>
      </c>
      <c r="B229" s="3" t="s">
        <v>579</v>
      </c>
      <c r="C229" s="3" t="s">
        <v>2892</v>
      </c>
      <c r="D229" s="3" t="s">
        <v>2896</v>
      </c>
    </row>
    <row r="230" customHeight="1" spans="1:4">
      <c r="A230" s="3">
        <v>229</v>
      </c>
      <c r="B230" s="3" t="s">
        <v>580</v>
      </c>
      <c r="C230" s="3" t="s">
        <v>2717</v>
      </c>
      <c r="D230" s="3" t="s">
        <v>2908</v>
      </c>
    </row>
    <row r="231" customHeight="1" spans="1:4">
      <c r="A231" s="3">
        <v>230</v>
      </c>
      <c r="B231" s="3" t="s">
        <v>581</v>
      </c>
      <c r="C231" s="3" t="s">
        <v>2716</v>
      </c>
      <c r="D231" s="3" t="s">
        <v>3019</v>
      </c>
    </row>
    <row r="232" customHeight="1" spans="1:4">
      <c r="A232" s="3">
        <v>231</v>
      </c>
      <c r="B232" s="3" t="s">
        <v>582</v>
      </c>
      <c r="C232" s="3" t="s">
        <v>2717</v>
      </c>
      <c r="D232" s="3" t="s">
        <v>2896</v>
      </c>
    </row>
    <row r="233" customHeight="1" spans="1:4">
      <c r="A233" s="3">
        <v>232</v>
      </c>
      <c r="B233" s="3" t="s">
        <v>583</v>
      </c>
      <c r="C233" s="3" t="s">
        <v>2716</v>
      </c>
      <c r="D233" s="3" t="s">
        <v>2908</v>
      </c>
    </row>
    <row r="234" customHeight="1" spans="1:4">
      <c r="A234" s="3">
        <v>233</v>
      </c>
      <c r="B234" s="3" t="s">
        <v>584</v>
      </c>
      <c r="C234" s="3" t="s">
        <v>2892</v>
      </c>
      <c r="D234" s="3" t="s">
        <v>2889</v>
      </c>
    </row>
    <row r="235" customHeight="1" spans="1:4">
      <c r="A235" s="3">
        <v>234</v>
      </c>
      <c r="B235" s="3" t="s">
        <v>585</v>
      </c>
      <c r="C235" s="3" t="s">
        <v>2928</v>
      </c>
      <c r="D235" s="3" t="s">
        <v>2889</v>
      </c>
    </row>
    <row r="236" customHeight="1" spans="1:4">
      <c r="A236" s="3">
        <v>235</v>
      </c>
      <c r="B236" s="3" t="s">
        <v>586</v>
      </c>
      <c r="C236" s="3" t="s">
        <v>1721</v>
      </c>
      <c r="D236" s="3" t="s">
        <v>2889</v>
      </c>
    </row>
    <row r="237" customHeight="1" spans="1:4">
      <c r="A237" s="3">
        <v>236</v>
      </c>
      <c r="B237" s="3" t="s">
        <v>587</v>
      </c>
      <c r="C237" s="3" t="s">
        <v>3022</v>
      </c>
      <c r="D237" s="3" t="s">
        <v>2889</v>
      </c>
    </row>
    <row r="238" customHeight="1" spans="1:4">
      <c r="A238" s="3">
        <v>237</v>
      </c>
      <c r="B238" s="3" t="s">
        <v>588</v>
      </c>
      <c r="C238" s="3" t="s">
        <v>1638</v>
      </c>
      <c r="D238" s="3" t="s">
        <v>2889</v>
      </c>
    </row>
    <row r="239" customHeight="1" spans="1:4">
      <c r="A239" s="3">
        <v>238</v>
      </c>
      <c r="B239" s="3" t="s">
        <v>589</v>
      </c>
      <c r="C239" s="3" t="s">
        <v>2892</v>
      </c>
      <c r="D239" s="3" t="s">
        <v>2889</v>
      </c>
    </row>
    <row r="240" customHeight="1" spans="1:4">
      <c r="A240" s="3">
        <v>239</v>
      </c>
      <c r="B240" s="3" t="s">
        <v>590</v>
      </c>
      <c r="C240" s="3" t="s">
        <v>1638</v>
      </c>
      <c r="D240" s="3" t="s">
        <v>2889</v>
      </c>
    </row>
    <row r="241" customHeight="1" spans="1:4">
      <c r="A241" s="3">
        <v>240</v>
      </c>
      <c r="B241" s="3" t="s">
        <v>591</v>
      </c>
      <c r="C241" s="3" t="s">
        <v>3022</v>
      </c>
      <c r="D241" s="3" t="s">
        <v>2908</v>
      </c>
    </row>
    <row r="242" customHeight="1" spans="1:4">
      <c r="A242" s="3">
        <v>241</v>
      </c>
      <c r="B242" s="3" t="s">
        <v>592</v>
      </c>
      <c r="C242" s="3" t="s">
        <v>2892</v>
      </c>
      <c r="D242" s="3" t="s">
        <v>2889</v>
      </c>
    </row>
    <row r="243" customHeight="1" spans="1:4">
      <c r="A243" s="3">
        <v>242</v>
      </c>
      <c r="B243" s="3" t="s">
        <v>593</v>
      </c>
      <c r="C243" s="3" t="s">
        <v>2892</v>
      </c>
      <c r="D243" s="3" t="s">
        <v>2908</v>
      </c>
    </row>
    <row r="244" customHeight="1" spans="1:4">
      <c r="A244" s="3">
        <v>243</v>
      </c>
      <c r="B244" s="3" t="s">
        <v>594</v>
      </c>
      <c r="C244" s="3" t="s">
        <v>2898</v>
      </c>
      <c r="D244" s="3" t="s">
        <v>2899</v>
      </c>
    </row>
    <row r="245" customHeight="1" spans="1:4">
      <c r="A245" s="3">
        <v>244</v>
      </c>
      <c r="B245" s="3" t="s">
        <v>595</v>
      </c>
      <c r="C245" s="3" t="s">
        <v>2892</v>
      </c>
      <c r="D245" s="3" t="s">
        <v>2889</v>
      </c>
    </row>
    <row r="246" customHeight="1" spans="1:4">
      <c r="A246" s="3">
        <v>245</v>
      </c>
      <c r="B246" s="3" t="s">
        <v>596</v>
      </c>
      <c r="C246" s="3" t="s">
        <v>2946</v>
      </c>
      <c r="D246" s="3" t="s">
        <v>2899</v>
      </c>
    </row>
    <row r="247" customHeight="1" spans="1:4">
      <c r="A247" s="3">
        <v>246</v>
      </c>
      <c r="B247" s="3" t="s">
        <v>597</v>
      </c>
      <c r="C247" s="3" t="s">
        <v>3022</v>
      </c>
      <c r="D247" s="3" t="s">
        <v>2889</v>
      </c>
    </row>
    <row r="248" customHeight="1" spans="1:4">
      <c r="A248" s="3">
        <v>247</v>
      </c>
      <c r="B248" s="3" t="s">
        <v>598</v>
      </c>
      <c r="C248" s="3" t="s">
        <v>2716</v>
      </c>
      <c r="D248" s="3" t="s">
        <v>2889</v>
      </c>
    </row>
    <row r="249" customHeight="1" spans="1:4">
      <c r="A249" s="3">
        <v>248</v>
      </c>
      <c r="B249" s="3" t="s">
        <v>599</v>
      </c>
      <c r="C249" s="3" t="s">
        <v>3022</v>
      </c>
      <c r="D249" s="3" t="s">
        <v>2889</v>
      </c>
    </row>
    <row r="250" customHeight="1" spans="1:4">
      <c r="A250" s="3">
        <v>249</v>
      </c>
      <c r="B250" s="3" t="s">
        <v>600</v>
      </c>
      <c r="C250" s="3" t="s">
        <v>3022</v>
      </c>
      <c r="D250" s="3" t="s">
        <v>2889</v>
      </c>
    </row>
    <row r="251" customHeight="1" spans="1:4">
      <c r="A251" s="3">
        <v>250</v>
      </c>
      <c r="B251" s="3" t="s">
        <v>601</v>
      </c>
      <c r="C251" s="3" t="s">
        <v>3022</v>
      </c>
      <c r="D251" s="3" t="s">
        <v>2889</v>
      </c>
    </row>
    <row r="252" customHeight="1" spans="1:4">
      <c r="A252" s="3">
        <v>251</v>
      </c>
      <c r="B252" s="3" t="s">
        <v>602</v>
      </c>
      <c r="C252" s="3" t="s">
        <v>3022</v>
      </c>
      <c r="D252" s="3" t="s">
        <v>2889</v>
      </c>
    </row>
    <row r="253" customHeight="1" spans="1:4">
      <c r="A253" s="3">
        <v>252</v>
      </c>
      <c r="B253" s="3" t="s">
        <v>603</v>
      </c>
      <c r="C253" s="3" t="s">
        <v>3022</v>
      </c>
      <c r="D253" s="3" t="s">
        <v>2889</v>
      </c>
    </row>
    <row r="254" customHeight="1" spans="1:4">
      <c r="A254" s="3">
        <v>253</v>
      </c>
      <c r="B254" s="3" t="s">
        <v>604</v>
      </c>
      <c r="C254" s="3" t="s">
        <v>2717</v>
      </c>
      <c r="D254" s="3" t="s">
        <v>2889</v>
      </c>
    </row>
    <row r="255" customHeight="1" spans="1:4">
      <c r="A255" s="3">
        <v>254</v>
      </c>
      <c r="B255" s="3" t="s">
        <v>605</v>
      </c>
      <c r="C255" s="3" t="s">
        <v>2716</v>
      </c>
      <c r="D255" s="3" t="s">
        <v>2889</v>
      </c>
    </row>
    <row r="256" customHeight="1" spans="1:4">
      <c r="A256" s="3">
        <v>255</v>
      </c>
      <c r="B256" s="3" t="s">
        <v>607</v>
      </c>
      <c r="C256" s="3" t="s">
        <v>2716</v>
      </c>
      <c r="D256" s="3" t="s">
        <v>2889</v>
      </c>
    </row>
    <row r="257" customHeight="1" spans="1:4">
      <c r="A257" s="3">
        <v>256</v>
      </c>
      <c r="B257" s="3" t="s">
        <v>609</v>
      </c>
      <c r="C257" s="3" t="s">
        <v>2717</v>
      </c>
      <c r="D257" s="3" t="s">
        <v>2889</v>
      </c>
    </row>
    <row r="258" customHeight="1" spans="1:4">
      <c r="A258" s="3">
        <v>257</v>
      </c>
      <c r="B258" s="3" t="s">
        <v>610</v>
      </c>
      <c r="C258" s="3" t="s">
        <v>1721</v>
      </c>
      <c r="D258" s="3" t="s">
        <v>2889</v>
      </c>
    </row>
    <row r="259" customHeight="1" spans="1:4">
      <c r="A259" s="3">
        <v>258</v>
      </c>
      <c r="B259" s="3" t="s">
        <v>611</v>
      </c>
      <c r="C259" s="3" t="s">
        <v>2892</v>
      </c>
      <c r="D259" s="3" t="s">
        <v>2889</v>
      </c>
    </row>
    <row r="260" customHeight="1" spans="1:4">
      <c r="A260" s="3">
        <v>259</v>
      </c>
      <c r="B260" s="3" t="s">
        <v>612</v>
      </c>
      <c r="C260" s="3" t="s">
        <v>2717</v>
      </c>
      <c r="D260" s="3" t="s">
        <v>2889</v>
      </c>
    </row>
    <row r="261" customHeight="1" spans="1:4">
      <c r="A261" s="3">
        <v>260</v>
      </c>
      <c r="B261" s="3" t="s">
        <v>613</v>
      </c>
      <c r="C261" s="3" t="s">
        <v>1721</v>
      </c>
      <c r="D261" s="3" t="s">
        <v>2889</v>
      </c>
    </row>
    <row r="262" customHeight="1" spans="1:4">
      <c r="A262" s="3">
        <v>261</v>
      </c>
      <c r="B262" s="3" t="s">
        <v>614</v>
      </c>
      <c r="C262" s="3" t="s">
        <v>1721</v>
      </c>
      <c r="D262" s="3" t="s">
        <v>2889</v>
      </c>
    </row>
    <row r="263" customHeight="1" spans="1:4">
      <c r="A263" s="3">
        <v>262</v>
      </c>
      <c r="B263" s="3" t="s">
        <v>615</v>
      </c>
      <c r="C263" s="3" t="s">
        <v>2717</v>
      </c>
      <c r="D263" s="3" t="s">
        <v>2889</v>
      </c>
    </row>
    <row r="264" customHeight="1" spans="1:4">
      <c r="A264" s="3">
        <v>263</v>
      </c>
      <c r="B264" s="3" t="s">
        <v>616</v>
      </c>
      <c r="C264" s="3" t="s">
        <v>1721</v>
      </c>
      <c r="D264" s="3" t="s">
        <v>2889</v>
      </c>
    </row>
    <row r="265" customHeight="1" spans="1:4">
      <c r="A265" s="3">
        <v>264</v>
      </c>
      <c r="B265" s="3" t="s">
        <v>617</v>
      </c>
      <c r="C265" s="3" t="s">
        <v>2717</v>
      </c>
      <c r="D265" s="3" t="s">
        <v>2889</v>
      </c>
    </row>
    <row r="266" customHeight="1" spans="1:4">
      <c r="A266" s="3">
        <v>265</v>
      </c>
      <c r="B266" s="3" t="s">
        <v>618</v>
      </c>
      <c r="C266" s="3" t="s">
        <v>2716</v>
      </c>
      <c r="D266" s="3" t="s">
        <v>2889</v>
      </c>
    </row>
    <row r="267" customHeight="1" spans="1:4">
      <c r="A267" s="3">
        <v>266</v>
      </c>
      <c r="B267" s="3" t="s">
        <v>619</v>
      </c>
      <c r="C267" s="3" t="s">
        <v>2717</v>
      </c>
      <c r="D267" s="3" t="s">
        <v>2889</v>
      </c>
    </row>
    <row r="268" customHeight="1" spans="1:4">
      <c r="A268" s="3">
        <v>267</v>
      </c>
      <c r="B268" s="3" t="s">
        <v>620</v>
      </c>
      <c r="C268" s="3" t="s">
        <v>1721</v>
      </c>
      <c r="D268" s="3" t="s">
        <v>2889</v>
      </c>
    </row>
    <row r="269" customHeight="1" spans="1:4">
      <c r="A269" s="3">
        <v>268</v>
      </c>
      <c r="B269" s="3" t="s">
        <v>621</v>
      </c>
      <c r="C269" s="3" t="s">
        <v>2717</v>
      </c>
      <c r="D269" s="3" t="s">
        <v>2889</v>
      </c>
    </row>
    <row r="270" customHeight="1" spans="1:4">
      <c r="A270" s="3">
        <v>269</v>
      </c>
      <c r="B270" s="3" t="s">
        <v>622</v>
      </c>
      <c r="C270" s="3" t="s">
        <v>2717</v>
      </c>
      <c r="D270" s="3" t="s">
        <v>2911</v>
      </c>
    </row>
    <row r="271" customHeight="1" spans="1:4">
      <c r="A271" s="3">
        <v>270</v>
      </c>
      <c r="B271" s="3" t="s">
        <v>623</v>
      </c>
      <c r="C271" s="3" t="s">
        <v>2717</v>
      </c>
      <c r="D271" s="3" t="s">
        <v>2911</v>
      </c>
    </row>
    <row r="272" customHeight="1" spans="1:4">
      <c r="A272" s="3">
        <v>271</v>
      </c>
      <c r="B272" s="3" t="s">
        <v>624</v>
      </c>
      <c r="C272" s="3" t="s">
        <v>1721</v>
      </c>
      <c r="D272" s="3" t="s">
        <v>2889</v>
      </c>
    </row>
    <row r="273" customHeight="1" spans="1:4">
      <c r="A273" s="3">
        <v>272</v>
      </c>
      <c r="B273" s="3" t="s">
        <v>625</v>
      </c>
      <c r="C273" s="3" t="s">
        <v>1721</v>
      </c>
      <c r="D273" s="3" t="s">
        <v>2889</v>
      </c>
    </row>
    <row r="274" customHeight="1" spans="1:4">
      <c r="A274" s="3">
        <v>273</v>
      </c>
      <c r="B274" s="3" t="s">
        <v>626</v>
      </c>
      <c r="C274" s="3" t="s">
        <v>2717</v>
      </c>
      <c r="D274" s="3" t="s">
        <v>2889</v>
      </c>
    </row>
    <row r="275" customHeight="1" spans="1:4">
      <c r="A275" s="3">
        <v>274</v>
      </c>
      <c r="B275" s="3" t="s">
        <v>627</v>
      </c>
      <c r="C275" s="3" t="s">
        <v>1721</v>
      </c>
      <c r="D275" s="3" t="s">
        <v>2889</v>
      </c>
    </row>
    <row r="276" customHeight="1" spans="1:4">
      <c r="A276" s="3">
        <v>275</v>
      </c>
      <c r="B276" s="3" t="s">
        <v>628</v>
      </c>
      <c r="C276" s="3" t="s">
        <v>2717</v>
      </c>
      <c r="D276" s="3" t="s">
        <v>2889</v>
      </c>
    </row>
    <row r="277" customHeight="1" spans="1:4">
      <c r="A277" s="3">
        <v>276</v>
      </c>
      <c r="B277" s="3" t="s">
        <v>629</v>
      </c>
      <c r="C277" s="3" t="s">
        <v>2928</v>
      </c>
      <c r="D277" s="3" t="s">
        <v>2889</v>
      </c>
    </row>
    <row r="278" customHeight="1" spans="1:4">
      <c r="A278" s="3">
        <v>277</v>
      </c>
      <c r="B278" s="3" t="s">
        <v>630</v>
      </c>
      <c r="C278" s="3" t="s">
        <v>2716</v>
      </c>
      <c r="D278" s="3" t="s">
        <v>2889</v>
      </c>
    </row>
    <row r="279" customHeight="1" spans="1:4">
      <c r="A279" s="3">
        <v>278</v>
      </c>
      <c r="B279" s="3" t="s">
        <v>631</v>
      </c>
      <c r="C279" s="3" t="s">
        <v>1721</v>
      </c>
      <c r="D279" s="3" t="s">
        <v>2889</v>
      </c>
    </row>
    <row r="280" customHeight="1" spans="1:4">
      <c r="A280" s="3">
        <v>279</v>
      </c>
      <c r="B280" s="3" t="s">
        <v>632</v>
      </c>
      <c r="C280" s="3" t="s">
        <v>1721</v>
      </c>
      <c r="D280" s="3" t="s">
        <v>2889</v>
      </c>
    </row>
    <row r="281" customHeight="1" spans="1:4">
      <c r="A281" s="3">
        <v>280</v>
      </c>
      <c r="B281" s="3" t="s">
        <v>633</v>
      </c>
      <c r="C281" s="3" t="s">
        <v>2717</v>
      </c>
      <c r="D281" s="3" t="s">
        <v>2889</v>
      </c>
    </row>
    <row r="282" customHeight="1" spans="1:4">
      <c r="A282" s="3">
        <v>281</v>
      </c>
      <c r="B282" s="3" t="s">
        <v>634</v>
      </c>
      <c r="C282" s="3" t="s">
        <v>2892</v>
      </c>
      <c r="D282" s="3" t="s">
        <v>2889</v>
      </c>
    </row>
    <row r="283" customHeight="1" spans="1:4">
      <c r="A283" s="3">
        <v>282</v>
      </c>
      <c r="B283" s="3" t="s">
        <v>635</v>
      </c>
      <c r="C283" s="3" t="s">
        <v>2946</v>
      </c>
      <c r="D283" s="3" t="s">
        <v>2889</v>
      </c>
    </row>
    <row r="284" customHeight="1" spans="1:4">
      <c r="A284" s="3">
        <v>283</v>
      </c>
      <c r="B284" s="3" t="s">
        <v>636</v>
      </c>
      <c r="C284" s="3" t="s">
        <v>2717</v>
      </c>
      <c r="D284" s="3" t="s">
        <v>2889</v>
      </c>
    </row>
    <row r="285" customHeight="1" spans="1:4">
      <c r="A285" s="3">
        <v>284</v>
      </c>
      <c r="B285" s="3" t="s">
        <v>637</v>
      </c>
      <c r="C285" s="3" t="s">
        <v>2928</v>
      </c>
      <c r="D285" s="3" t="s">
        <v>2889</v>
      </c>
    </row>
    <row r="286" customHeight="1" spans="1:4">
      <c r="A286" s="3">
        <v>285</v>
      </c>
      <c r="B286" s="3" t="s">
        <v>638</v>
      </c>
      <c r="C286" s="3" t="s">
        <v>2928</v>
      </c>
      <c r="D286" s="3" t="s">
        <v>2889</v>
      </c>
    </row>
    <row r="287" customHeight="1" spans="1:4">
      <c r="A287" s="3">
        <v>286</v>
      </c>
      <c r="B287" s="3" t="s">
        <v>639</v>
      </c>
      <c r="C287" s="3" t="s">
        <v>2717</v>
      </c>
      <c r="D287" s="3" t="s">
        <v>2911</v>
      </c>
    </row>
    <row r="288" customHeight="1" spans="1:4">
      <c r="A288" s="3">
        <v>287</v>
      </c>
      <c r="B288" s="3" t="s">
        <v>640</v>
      </c>
      <c r="C288" s="3" t="s">
        <v>1721</v>
      </c>
      <c r="D288" s="3" t="s">
        <v>2889</v>
      </c>
    </row>
    <row r="289" customHeight="1" spans="1:4">
      <c r="A289" s="3">
        <v>288</v>
      </c>
      <c r="B289" s="3" t="s">
        <v>641</v>
      </c>
      <c r="C289" s="3" t="s">
        <v>1721</v>
      </c>
      <c r="D289" s="3" t="s">
        <v>2889</v>
      </c>
    </row>
    <row r="290" customHeight="1" spans="1:4">
      <c r="A290" s="3">
        <v>289</v>
      </c>
      <c r="B290" s="3" t="s">
        <v>642</v>
      </c>
      <c r="C290" s="3" t="s">
        <v>2892</v>
      </c>
      <c r="D290" s="3" t="s">
        <v>2889</v>
      </c>
    </row>
    <row r="291" customHeight="1" spans="1:4">
      <c r="A291" s="3">
        <v>290</v>
      </c>
      <c r="B291" s="3" t="s">
        <v>643</v>
      </c>
      <c r="C291" s="3" t="s">
        <v>2716</v>
      </c>
      <c r="D291" s="3" t="s">
        <v>2889</v>
      </c>
    </row>
    <row r="292" customHeight="1" spans="1:4">
      <c r="A292" s="3">
        <v>291</v>
      </c>
      <c r="B292" s="3" t="s">
        <v>644</v>
      </c>
      <c r="C292" s="3" t="s">
        <v>1721</v>
      </c>
      <c r="D292" s="3" t="s">
        <v>2889</v>
      </c>
    </row>
    <row r="293" customHeight="1" spans="1:4">
      <c r="A293" s="3">
        <v>292</v>
      </c>
      <c r="B293" s="3" t="s">
        <v>645</v>
      </c>
      <c r="C293" s="3" t="s">
        <v>3022</v>
      </c>
      <c r="D293" s="3" t="s">
        <v>2889</v>
      </c>
    </row>
    <row r="294" customHeight="1" spans="1:4">
      <c r="A294" s="3">
        <v>293</v>
      </c>
      <c r="B294" s="3" t="s">
        <v>646</v>
      </c>
      <c r="C294" s="3" t="s">
        <v>1721</v>
      </c>
      <c r="D294" s="3" t="s">
        <v>2889</v>
      </c>
    </row>
    <row r="295" customHeight="1" spans="1:4">
      <c r="A295" s="3">
        <v>294</v>
      </c>
      <c r="B295" s="3" t="s">
        <v>647</v>
      </c>
      <c r="C295" s="3" t="s">
        <v>2716</v>
      </c>
      <c r="D295" s="3" t="s">
        <v>2889</v>
      </c>
    </row>
    <row r="296" customHeight="1" spans="1:4">
      <c r="A296" s="3">
        <v>295</v>
      </c>
      <c r="B296" s="3" t="s">
        <v>648</v>
      </c>
      <c r="C296" s="3" t="s">
        <v>2716</v>
      </c>
      <c r="D296" s="3" t="s">
        <v>2889</v>
      </c>
    </row>
    <row r="297" customHeight="1" spans="1:4">
      <c r="A297" s="3">
        <v>296</v>
      </c>
      <c r="B297" s="3" t="s">
        <v>649</v>
      </c>
      <c r="C297" s="3" t="s">
        <v>1721</v>
      </c>
      <c r="D297" s="3" t="s">
        <v>2889</v>
      </c>
    </row>
    <row r="298" customHeight="1" spans="1:4">
      <c r="A298" s="3">
        <v>297</v>
      </c>
      <c r="B298" s="3" t="s">
        <v>650</v>
      </c>
      <c r="C298" s="3" t="s">
        <v>2716</v>
      </c>
      <c r="D298" s="3" t="s">
        <v>2889</v>
      </c>
    </row>
    <row r="299" customHeight="1" spans="1:4">
      <c r="A299" s="3">
        <v>298</v>
      </c>
      <c r="B299" s="3" t="s">
        <v>651</v>
      </c>
      <c r="C299" s="3" t="s">
        <v>2717</v>
      </c>
      <c r="D299" s="3" t="s">
        <v>2889</v>
      </c>
    </row>
    <row r="300" customHeight="1" spans="1:4">
      <c r="A300" s="3">
        <v>299</v>
      </c>
      <c r="B300" s="3" t="s">
        <v>652</v>
      </c>
      <c r="C300" s="3" t="s">
        <v>1721</v>
      </c>
      <c r="D300" s="3" t="s">
        <v>2889</v>
      </c>
    </row>
    <row r="301" customHeight="1" spans="1:4">
      <c r="A301" s="3">
        <v>300</v>
      </c>
      <c r="B301" s="3" t="s">
        <v>653</v>
      </c>
      <c r="C301" s="3" t="s">
        <v>1721</v>
      </c>
      <c r="D301" s="3" t="s">
        <v>2889</v>
      </c>
    </row>
    <row r="302" customHeight="1" spans="1:4">
      <c r="A302" s="3">
        <v>301</v>
      </c>
      <c r="B302" s="3" t="s">
        <v>654</v>
      </c>
      <c r="C302" s="3" t="s">
        <v>1721</v>
      </c>
      <c r="D302" s="3" t="s">
        <v>2911</v>
      </c>
    </row>
    <row r="303" customHeight="1" spans="1:4">
      <c r="A303" s="3">
        <v>302</v>
      </c>
      <c r="B303" s="3" t="s">
        <v>655</v>
      </c>
      <c r="C303" s="3" t="s">
        <v>2946</v>
      </c>
      <c r="D303" s="3" t="s">
        <v>2889</v>
      </c>
    </row>
    <row r="304" customHeight="1" spans="1:4">
      <c r="A304" s="3">
        <v>303</v>
      </c>
      <c r="B304" s="3" t="s">
        <v>103</v>
      </c>
      <c r="C304" s="3" t="s">
        <v>1721</v>
      </c>
      <c r="D304" s="3" t="s">
        <v>2889</v>
      </c>
    </row>
    <row r="305" customHeight="1" spans="1:4">
      <c r="A305" s="3">
        <v>304</v>
      </c>
      <c r="B305" s="3" t="s">
        <v>656</v>
      </c>
      <c r="C305" s="3" t="s">
        <v>1721</v>
      </c>
      <c r="D305" s="3" t="s">
        <v>2889</v>
      </c>
    </row>
    <row r="306" customHeight="1" spans="1:4">
      <c r="A306" s="3">
        <v>305</v>
      </c>
      <c r="B306" s="3" t="s">
        <v>657</v>
      </c>
      <c r="C306" s="3" t="s">
        <v>1721</v>
      </c>
      <c r="D306" s="3" t="s">
        <v>2889</v>
      </c>
    </row>
    <row r="307" customHeight="1" spans="1:4">
      <c r="A307" s="3">
        <v>306</v>
      </c>
      <c r="B307" s="3" t="s">
        <v>658</v>
      </c>
      <c r="C307" s="3" t="s">
        <v>2946</v>
      </c>
      <c r="D307" s="3" t="s">
        <v>2889</v>
      </c>
    </row>
    <row r="308" customHeight="1" spans="1:4">
      <c r="A308" s="3">
        <v>307</v>
      </c>
      <c r="B308" s="3" t="s">
        <v>659</v>
      </c>
      <c r="C308" s="3" t="s">
        <v>2717</v>
      </c>
      <c r="D308" s="3" t="s">
        <v>2889</v>
      </c>
    </row>
    <row r="309" customHeight="1" spans="1:4">
      <c r="A309" s="3">
        <v>308</v>
      </c>
      <c r="B309" s="3" t="s">
        <v>660</v>
      </c>
      <c r="C309" s="3" t="s">
        <v>2928</v>
      </c>
      <c r="D309" s="3" t="s">
        <v>2889</v>
      </c>
    </row>
    <row r="310" customHeight="1" spans="1:4">
      <c r="A310" s="3">
        <v>309</v>
      </c>
      <c r="B310" s="3" t="s">
        <v>1879</v>
      </c>
      <c r="C310" s="3" t="s">
        <v>1721</v>
      </c>
      <c r="D310" s="3" t="s">
        <v>2899</v>
      </c>
    </row>
    <row r="311" customHeight="1" spans="1:4">
      <c r="A311" s="3">
        <v>310</v>
      </c>
      <c r="B311" s="3" t="s">
        <v>661</v>
      </c>
      <c r="C311" s="3" t="s">
        <v>2717</v>
      </c>
      <c r="D311" s="3" t="s">
        <v>2889</v>
      </c>
    </row>
    <row r="312" customHeight="1" spans="1:4">
      <c r="A312" s="3">
        <v>311</v>
      </c>
      <c r="B312" s="3" t="s">
        <v>662</v>
      </c>
      <c r="C312" s="3" t="s">
        <v>2717</v>
      </c>
      <c r="D312" s="3" t="s">
        <v>2889</v>
      </c>
    </row>
    <row r="313" customHeight="1" spans="1:4">
      <c r="A313" s="3">
        <v>312</v>
      </c>
      <c r="B313" s="3" t="s">
        <v>663</v>
      </c>
      <c r="C313" s="3" t="s">
        <v>2892</v>
      </c>
      <c r="D313" s="3" t="s">
        <v>2889</v>
      </c>
    </row>
    <row r="314" customHeight="1" spans="1:4">
      <c r="A314" s="3">
        <v>313</v>
      </c>
      <c r="B314" s="3" t="s">
        <v>664</v>
      </c>
      <c r="C314" s="3" t="s">
        <v>2928</v>
      </c>
      <c r="D314" s="3" t="s">
        <v>2889</v>
      </c>
    </row>
    <row r="315" customHeight="1" spans="1:4">
      <c r="A315" s="3">
        <v>314</v>
      </c>
      <c r="B315" s="3" t="s">
        <v>110</v>
      </c>
      <c r="C315" s="3" t="s">
        <v>2928</v>
      </c>
      <c r="D315" s="3" t="s">
        <v>2889</v>
      </c>
    </row>
    <row r="316" customHeight="1" spans="1:4">
      <c r="A316" s="3">
        <v>315</v>
      </c>
      <c r="B316" s="3" t="s">
        <v>665</v>
      </c>
      <c r="C316" s="3" t="s">
        <v>2892</v>
      </c>
      <c r="D316" s="3" t="s">
        <v>2893</v>
      </c>
    </row>
    <row r="317" customHeight="1" spans="1:4">
      <c r="A317" s="3">
        <v>316</v>
      </c>
      <c r="B317" s="3" t="s">
        <v>666</v>
      </c>
      <c r="C317" s="3" t="s">
        <v>2892</v>
      </c>
      <c r="D317" s="3" t="s">
        <v>2889</v>
      </c>
    </row>
    <row r="318" customHeight="1" spans="1:4">
      <c r="A318" s="3">
        <v>317</v>
      </c>
      <c r="B318" s="3" t="s">
        <v>667</v>
      </c>
      <c r="C318" s="3" t="s">
        <v>1721</v>
      </c>
      <c r="D318" s="3" t="s">
        <v>2889</v>
      </c>
    </row>
    <row r="319" customHeight="1" spans="1:4">
      <c r="A319" s="3">
        <v>318</v>
      </c>
      <c r="B319" s="3" t="s">
        <v>668</v>
      </c>
      <c r="C319" s="3" t="s">
        <v>2716</v>
      </c>
      <c r="D319" s="3" t="s">
        <v>2889</v>
      </c>
    </row>
    <row r="320" customHeight="1" spans="1:4">
      <c r="A320" s="3">
        <v>319</v>
      </c>
      <c r="B320" s="3" t="s">
        <v>669</v>
      </c>
      <c r="C320" s="3" t="s">
        <v>2928</v>
      </c>
      <c r="D320" s="3" t="s">
        <v>2889</v>
      </c>
    </row>
    <row r="321" customHeight="1" spans="1:4">
      <c r="A321" s="3">
        <v>320</v>
      </c>
      <c r="B321" s="3" t="s">
        <v>670</v>
      </c>
      <c r="C321" s="3" t="s">
        <v>1721</v>
      </c>
      <c r="D321" s="3" t="s">
        <v>2889</v>
      </c>
    </row>
    <row r="322" customHeight="1" spans="1:4">
      <c r="A322" s="3">
        <v>321</v>
      </c>
      <c r="B322" s="3" t="s">
        <v>671</v>
      </c>
      <c r="C322" s="3" t="s">
        <v>2892</v>
      </c>
      <c r="D322" s="3" t="s">
        <v>2889</v>
      </c>
    </row>
    <row r="323" customHeight="1" spans="1:4">
      <c r="A323" s="3">
        <v>322</v>
      </c>
      <c r="B323" s="3" t="s">
        <v>672</v>
      </c>
      <c r="C323" s="3" t="s">
        <v>2716</v>
      </c>
      <c r="D323" s="3" t="s">
        <v>2889</v>
      </c>
    </row>
    <row r="324" customHeight="1" spans="1:4">
      <c r="A324" s="3">
        <v>323</v>
      </c>
      <c r="B324" s="3" t="s">
        <v>673</v>
      </c>
      <c r="C324" s="3" t="s">
        <v>2892</v>
      </c>
      <c r="D324" s="3" t="s">
        <v>2908</v>
      </c>
    </row>
    <row r="325" customHeight="1" spans="1:4">
      <c r="A325" s="3">
        <v>324</v>
      </c>
      <c r="B325" s="3" t="s">
        <v>674</v>
      </c>
      <c r="C325" s="3" t="s">
        <v>2946</v>
      </c>
      <c r="D325" s="3" t="s">
        <v>2899</v>
      </c>
    </row>
    <row r="326" customHeight="1" spans="1:4">
      <c r="A326" s="3">
        <v>325</v>
      </c>
      <c r="B326" s="3" t="s">
        <v>675</v>
      </c>
      <c r="C326" s="3" t="s">
        <v>2892</v>
      </c>
      <c r="D326" s="3" t="s">
        <v>2908</v>
      </c>
    </row>
    <row r="327" customHeight="1" spans="1:4">
      <c r="A327" s="3">
        <v>326</v>
      </c>
      <c r="B327" s="3" t="s">
        <v>676</v>
      </c>
      <c r="C327" s="3" t="s">
        <v>2892</v>
      </c>
      <c r="D327" s="3" t="s">
        <v>2899</v>
      </c>
    </row>
    <row r="328" customHeight="1" spans="1:4">
      <c r="A328" s="3">
        <v>327</v>
      </c>
      <c r="B328" s="3" t="s">
        <v>677</v>
      </c>
      <c r="C328" s="3" t="s">
        <v>2716</v>
      </c>
      <c r="D328" s="3" t="s">
        <v>2899</v>
      </c>
    </row>
    <row r="329" customHeight="1" spans="1:4">
      <c r="A329" s="3">
        <v>328</v>
      </c>
      <c r="B329" s="3" t="s">
        <v>678</v>
      </c>
      <c r="C329" s="3" t="s">
        <v>2928</v>
      </c>
      <c r="D329" s="3" t="s">
        <v>2889</v>
      </c>
    </row>
    <row r="330" customHeight="1" spans="1:4">
      <c r="A330" s="3">
        <v>329</v>
      </c>
      <c r="B330" s="3" t="s">
        <v>679</v>
      </c>
      <c r="C330" s="3" t="s">
        <v>1638</v>
      </c>
      <c r="D330" s="3" t="s">
        <v>3019</v>
      </c>
    </row>
    <row r="331" customHeight="1" spans="1:4">
      <c r="A331" s="3">
        <v>330</v>
      </c>
      <c r="B331" s="3" t="s">
        <v>680</v>
      </c>
      <c r="C331" s="3" t="s">
        <v>2946</v>
      </c>
      <c r="D331" s="3" t="s">
        <v>2908</v>
      </c>
    </row>
    <row r="332" customHeight="1" spans="1:4">
      <c r="A332" s="3">
        <v>331</v>
      </c>
      <c r="B332" s="3" t="s">
        <v>681</v>
      </c>
      <c r="C332" s="3" t="s">
        <v>1638</v>
      </c>
      <c r="D332" s="3" t="s">
        <v>2899</v>
      </c>
    </row>
    <row r="333" customHeight="1" spans="1:4">
      <c r="A333" s="3">
        <v>332</v>
      </c>
      <c r="B333" s="3" t="s">
        <v>682</v>
      </c>
      <c r="C333" s="3" t="s">
        <v>1721</v>
      </c>
      <c r="D333" s="3" t="s">
        <v>2899</v>
      </c>
    </row>
    <row r="334" customHeight="1" spans="1:4">
      <c r="A334" s="3">
        <v>333</v>
      </c>
      <c r="B334" s="3" t="s">
        <v>683</v>
      </c>
      <c r="C334" s="3" t="s">
        <v>2716</v>
      </c>
      <c r="D334" s="3" t="s">
        <v>2889</v>
      </c>
    </row>
    <row r="335" customHeight="1" spans="1:4">
      <c r="A335" s="3">
        <v>334</v>
      </c>
      <c r="B335" s="3" t="s">
        <v>684</v>
      </c>
      <c r="C335" s="3" t="s">
        <v>2892</v>
      </c>
      <c r="D335" s="3" t="s">
        <v>2899</v>
      </c>
    </row>
    <row r="336" customHeight="1" spans="1:4">
      <c r="A336" s="3">
        <v>335</v>
      </c>
      <c r="B336" s="3" t="s">
        <v>685</v>
      </c>
      <c r="C336" s="3" t="s">
        <v>2717</v>
      </c>
      <c r="D336" s="3" t="s">
        <v>2899</v>
      </c>
    </row>
    <row r="337" customHeight="1" spans="1:4">
      <c r="A337" s="3">
        <v>336</v>
      </c>
      <c r="B337" s="3" t="s">
        <v>686</v>
      </c>
      <c r="C337" s="3" t="s">
        <v>3526</v>
      </c>
      <c r="D337" s="3" t="s">
        <v>2889</v>
      </c>
    </row>
    <row r="338" customHeight="1" spans="1:4">
      <c r="A338" s="3">
        <v>337</v>
      </c>
      <c r="B338" s="3" t="s">
        <v>687</v>
      </c>
      <c r="C338" s="3" t="s">
        <v>1721</v>
      </c>
      <c r="D338" s="3" t="s">
        <v>2896</v>
      </c>
    </row>
    <row r="339" customHeight="1" spans="1:4">
      <c r="A339" s="3">
        <v>338</v>
      </c>
      <c r="B339" s="3" t="s">
        <v>688</v>
      </c>
      <c r="C339" s="3" t="s">
        <v>2716</v>
      </c>
      <c r="D339" s="3" t="s">
        <v>2911</v>
      </c>
    </row>
    <row r="340" customHeight="1" spans="1:4">
      <c r="A340" s="3">
        <v>339</v>
      </c>
      <c r="B340" s="3" t="s">
        <v>689</v>
      </c>
      <c r="C340" s="3" t="s">
        <v>1721</v>
      </c>
      <c r="D340" s="3" t="s">
        <v>2889</v>
      </c>
    </row>
    <row r="341" customHeight="1" spans="1:4">
      <c r="A341" s="3">
        <v>340</v>
      </c>
      <c r="B341" s="3" t="s">
        <v>690</v>
      </c>
      <c r="C341" s="3" t="s">
        <v>1721</v>
      </c>
      <c r="D341" s="3" t="s">
        <v>2889</v>
      </c>
    </row>
    <row r="342" customHeight="1" spans="1:4">
      <c r="A342" s="3">
        <v>341</v>
      </c>
      <c r="B342" s="3" t="s">
        <v>691</v>
      </c>
      <c r="C342" s="3" t="s">
        <v>2716</v>
      </c>
      <c r="D342" s="3" t="s">
        <v>2893</v>
      </c>
    </row>
    <row r="343" customHeight="1" spans="1:4">
      <c r="A343" s="3">
        <v>342</v>
      </c>
      <c r="B343" s="3" t="s">
        <v>692</v>
      </c>
      <c r="C343" s="3" t="s">
        <v>2946</v>
      </c>
      <c r="D343" s="3" t="s">
        <v>2896</v>
      </c>
    </row>
    <row r="344" customHeight="1" spans="1:4">
      <c r="A344" s="3">
        <v>343</v>
      </c>
      <c r="B344" s="3" t="s">
        <v>693</v>
      </c>
      <c r="C344" s="3" t="s">
        <v>2946</v>
      </c>
      <c r="D344" s="3" t="s">
        <v>2896</v>
      </c>
    </row>
    <row r="345" customHeight="1" spans="1:4">
      <c r="A345" s="3">
        <v>344</v>
      </c>
      <c r="B345" s="3" t="s">
        <v>694</v>
      </c>
      <c r="C345" s="3" t="s">
        <v>1721</v>
      </c>
      <c r="D345" s="3" t="s">
        <v>2899</v>
      </c>
    </row>
    <row r="346" customHeight="1" spans="1:4">
      <c r="A346" s="3">
        <v>345</v>
      </c>
      <c r="B346" s="3" t="s">
        <v>695</v>
      </c>
      <c r="C346" s="3" t="s">
        <v>2892</v>
      </c>
      <c r="D346" s="3" t="s">
        <v>2899</v>
      </c>
    </row>
    <row r="347" customHeight="1" spans="1:4">
      <c r="A347" s="3">
        <v>346</v>
      </c>
      <c r="B347" s="3" t="s">
        <v>696</v>
      </c>
      <c r="C347" s="3" t="s">
        <v>1721</v>
      </c>
      <c r="D347" s="3" t="s">
        <v>2911</v>
      </c>
    </row>
    <row r="348" customHeight="1" spans="1:4">
      <c r="A348" s="3">
        <v>347</v>
      </c>
      <c r="B348" s="3" t="s">
        <v>697</v>
      </c>
      <c r="C348" s="3" t="s">
        <v>2716</v>
      </c>
      <c r="D348" s="3" t="s">
        <v>2889</v>
      </c>
    </row>
    <row r="349" customHeight="1" spans="1:4">
      <c r="A349" s="3">
        <v>348</v>
      </c>
      <c r="B349" s="3" t="s">
        <v>698</v>
      </c>
      <c r="C349" s="3" t="s">
        <v>2716</v>
      </c>
      <c r="D349" s="3" t="s">
        <v>2889</v>
      </c>
    </row>
    <row r="350" customHeight="1" spans="1:4">
      <c r="A350" s="3">
        <v>349</v>
      </c>
      <c r="B350" s="3" t="s">
        <v>699</v>
      </c>
      <c r="C350" s="3" t="s">
        <v>2928</v>
      </c>
      <c r="D350" s="3" t="s">
        <v>3391</v>
      </c>
    </row>
    <row r="351" customHeight="1" spans="1:4">
      <c r="A351" s="3">
        <v>350</v>
      </c>
      <c r="B351" s="3" t="s">
        <v>700</v>
      </c>
      <c r="C351" s="3" t="s">
        <v>2716</v>
      </c>
      <c r="D351" s="3" t="s">
        <v>2911</v>
      </c>
    </row>
    <row r="352" customHeight="1" spans="1:4">
      <c r="A352" s="3">
        <v>351</v>
      </c>
      <c r="B352" s="3" t="s">
        <v>701</v>
      </c>
      <c r="C352" s="3" t="s">
        <v>2716</v>
      </c>
      <c r="D352" s="3" t="s">
        <v>2896</v>
      </c>
    </row>
    <row r="353" customHeight="1" spans="1:4">
      <c r="A353" s="3">
        <v>352</v>
      </c>
      <c r="B353" s="3" t="s">
        <v>702</v>
      </c>
      <c r="C353" s="3" t="s">
        <v>2716</v>
      </c>
      <c r="D353" s="3" t="s">
        <v>2889</v>
      </c>
    </row>
    <row r="354" customHeight="1" spans="1:4">
      <c r="A354" s="3">
        <v>353</v>
      </c>
      <c r="B354" s="3" t="s">
        <v>703</v>
      </c>
      <c r="C354" s="3" t="s">
        <v>3022</v>
      </c>
      <c r="D354" s="3" t="s">
        <v>2889</v>
      </c>
    </row>
    <row r="355" customHeight="1" spans="1:4">
      <c r="A355" s="3">
        <v>354</v>
      </c>
      <c r="B355" s="3" t="s">
        <v>704</v>
      </c>
      <c r="C355" s="3" t="s">
        <v>2717</v>
      </c>
      <c r="D355" s="3" t="s">
        <v>2889</v>
      </c>
    </row>
    <row r="356" customHeight="1" spans="1:4">
      <c r="A356" s="3">
        <v>355</v>
      </c>
      <c r="B356" s="3" t="s">
        <v>705</v>
      </c>
      <c r="C356" s="3" t="s">
        <v>2716</v>
      </c>
      <c r="D356" s="3" t="s">
        <v>2889</v>
      </c>
    </row>
    <row r="357" customHeight="1" spans="1:4">
      <c r="A357" s="3">
        <v>356</v>
      </c>
      <c r="B357" s="3" t="s">
        <v>706</v>
      </c>
      <c r="C357" s="3" t="s">
        <v>2716</v>
      </c>
      <c r="D357" s="3" t="s">
        <v>2889</v>
      </c>
    </row>
    <row r="358" customHeight="1" spans="1:4">
      <c r="A358" s="3">
        <v>357</v>
      </c>
      <c r="B358" s="3" t="s">
        <v>707</v>
      </c>
      <c r="C358" s="3" t="s">
        <v>2717</v>
      </c>
      <c r="D358" s="3" t="s">
        <v>2889</v>
      </c>
    </row>
    <row r="359" customHeight="1" spans="1:4">
      <c r="A359" s="3">
        <v>358</v>
      </c>
      <c r="B359" s="3" t="s">
        <v>708</v>
      </c>
      <c r="C359" s="3" t="s">
        <v>2717</v>
      </c>
      <c r="D359" s="3" t="s">
        <v>2889</v>
      </c>
    </row>
    <row r="360" customHeight="1" spans="1:4">
      <c r="A360" s="3">
        <v>359</v>
      </c>
      <c r="B360" s="3" t="s">
        <v>709</v>
      </c>
      <c r="C360" s="3" t="s">
        <v>2892</v>
      </c>
      <c r="D360" s="3" t="s">
        <v>2889</v>
      </c>
    </row>
    <row r="361" customHeight="1" spans="1:4">
      <c r="A361" s="3">
        <v>360</v>
      </c>
      <c r="B361" s="3" t="s">
        <v>710</v>
      </c>
      <c r="C361" s="3" t="s">
        <v>2898</v>
      </c>
      <c r="D361" s="3" t="s">
        <v>2908</v>
      </c>
    </row>
    <row r="362" customHeight="1" spans="1:4">
      <c r="A362" s="3">
        <v>361</v>
      </c>
      <c r="B362" s="3" t="s">
        <v>711</v>
      </c>
      <c r="C362" s="3" t="s">
        <v>2716</v>
      </c>
      <c r="D362" s="3" t="s">
        <v>2896</v>
      </c>
    </row>
    <row r="363" customHeight="1" spans="1:4">
      <c r="A363" s="3">
        <v>362</v>
      </c>
      <c r="B363" s="3" t="s">
        <v>712</v>
      </c>
      <c r="C363" s="3" t="s">
        <v>3234</v>
      </c>
      <c r="D363" s="3" t="s">
        <v>2889</v>
      </c>
    </row>
    <row r="364" customHeight="1" spans="1:4">
      <c r="A364" s="3">
        <v>363</v>
      </c>
      <c r="B364" s="3" t="s">
        <v>713</v>
      </c>
      <c r="C364" s="3" t="s">
        <v>2716</v>
      </c>
      <c r="D364" s="3" t="s">
        <v>2889</v>
      </c>
    </row>
    <row r="365" customHeight="1" spans="1:4">
      <c r="A365" s="3">
        <v>364</v>
      </c>
      <c r="B365" s="3" t="s">
        <v>714</v>
      </c>
      <c r="C365" s="3" t="s">
        <v>1721</v>
      </c>
      <c r="D365" s="3" t="s">
        <v>2889</v>
      </c>
    </row>
    <row r="366" customHeight="1" spans="1:4">
      <c r="A366" s="3">
        <v>365</v>
      </c>
      <c r="B366" s="3" t="s">
        <v>715</v>
      </c>
      <c r="C366" s="3" t="s">
        <v>2717</v>
      </c>
      <c r="D366" s="3" t="s">
        <v>2889</v>
      </c>
    </row>
    <row r="367" customHeight="1" spans="1:4">
      <c r="A367" s="3">
        <v>366</v>
      </c>
      <c r="B367" s="3" t="s">
        <v>716</v>
      </c>
      <c r="C367" s="3" t="s">
        <v>3022</v>
      </c>
      <c r="D367" s="3" t="s">
        <v>2889</v>
      </c>
    </row>
    <row r="368" customHeight="1" spans="1:4">
      <c r="A368" s="3">
        <v>367</v>
      </c>
      <c r="B368" s="3" t="s">
        <v>717</v>
      </c>
      <c r="C368" s="3" t="s">
        <v>2946</v>
      </c>
      <c r="D368" s="3" t="s">
        <v>2889</v>
      </c>
    </row>
    <row r="369" customHeight="1" spans="1:4">
      <c r="A369" s="3">
        <v>368</v>
      </c>
      <c r="B369" s="3" t="s">
        <v>718</v>
      </c>
      <c r="C369" s="3" t="s">
        <v>1721</v>
      </c>
      <c r="D369" s="3" t="s">
        <v>2889</v>
      </c>
    </row>
    <row r="370" customHeight="1" spans="1:4">
      <c r="A370" s="3">
        <v>369</v>
      </c>
      <c r="B370" s="3" t="s">
        <v>719</v>
      </c>
      <c r="C370" s="3" t="s">
        <v>1721</v>
      </c>
      <c r="D370" s="3" t="s">
        <v>2889</v>
      </c>
    </row>
    <row r="371" customHeight="1" spans="1:4">
      <c r="A371" s="3">
        <v>370</v>
      </c>
      <c r="B371" s="3" t="s">
        <v>720</v>
      </c>
      <c r="C371" s="3" t="s">
        <v>3022</v>
      </c>
      <c r="D371" s="3" t="s">
        <v>2893</v>
      </c>
    </row>
    <row r="372" customHeight="1" spans="1:4">
      <c r="A372" s="3">
        <v>371</v>
      </c>
      <c r="B372" s="3" t="s">
        <v>721</v>
      </c>
      <c r="C372" s="3" t="s">
        <v>2716</v>
      </c>
      <c r="D372" s="3" t="s">
        <v>2889</v>
      </c>
    </row>
    <row r="373" customHeight="1" spans="1:4">
      <c r="A373" s="3">
        <v>372</v>
      </c>
      <c r="B373" s="3" t="s">
        <v>722</v>
      </c>
      <c r="C373" s="3" t="s">
        <v>2716</v>
      </c>
      <c r="D373" s="3" t="s">
        <v>2889</v>
      </c>
    </row>
    <row r="374" customHeight="1" spans="1:4">
      <c r="A374" s="3">
        <v>373</v>
      </c>
      <c r="B374" s="3" t="s">
        <v>723</v>
      </c>
      <c r="C374" s="3" t="s">
        <v>2892</v>
      </c>
      <c r="D374" s="3" t="s">
        <v>2896</v>
      </c>
    </row>
    <row r="375" customHeight="1" spans="1:4">
      <c r="A375" s="3">
        <v>374</v>
      </c>
      <c r="B375" s="3" t="s">
        <v>724</v>
      </c>
      <c r="C375" s="3" t="s">
        <v>1721</v>
      </c>
      <c r="D375" s="3" t="s">
        <v>2889</v>
      </c>
    </row>
    <row r="376" customHeight="1" spans="1:4">
      <c r="A376" s="3">
        <v>375</v>
      </c>
      <c r="B376" s="3" t="s">
        <v>725</v>
      </c>
      <c r="C376" s="3" t="s">
        <v>2716</v>
      </c>
      <c r="D376" s="3" t="s">
        <v>2889</v>
      </c>
    </row>
    <row r="377" customHeight="1" spans="1:4">
      <c r="A377" s="3">
        <v>376</v>
      </c>
      <c r="B377" s="3" t="s">
        <v>726</v>
      </c>
      <c r="C377" s="3" t="s">
        <v>2716</v>
      </c>
      <c r="D377" s="3" t="s">
        <v>2889</v>
      </c>
    </row>
    <row r="378" customHeight="1" spans="1:4">
      <c r="A378" s="3">
        <v>377</v>
      </c>
      <c r="B378" s="3" t="s">
        <v>727</v>
      </c>
      <c r="C378" s="3" t="s">
        <v>2716</v>
      </c>
      <c r="D378" s="3" t="s">
        <v>2889</v>
      </c>
    </row>
    <row r="379" customHeight="1" spans="1:4">
      <c r="A379" s="3">
        <v>378</v>
      </c>
      <c r="B379" s="3" t="s">
        <v>728</v>
      </c>
      <c r="C379" s="3" t="s">
        <v>3022</v>
      </c>
      <c r="D379" s="3" t="s">
        <v>2889</v>
      </c>
    </row>
    <row r="380" customHeight="1" spans="1:4">
      <c r="A380" s="3">
        <v>379</v>
      </c>
      <c r="B380" s="3" t="s">
        <v>729</v>
      </c>
      <c r="C380" s="3" t="s">
        <v>1721</v>
      </c>
      <c r="D380" s="3" t="s">
        <v>2889</v>
      </c>
    </row>
    <row r="381" customHeight="1" spans="1:4">
      <c r="A381" s="3">
        <v>380</v>
      </c>
      <c r="B381" s="3" t="s">
        <v>730</v>
      </c>
      <c r="C381" s="3" t="s">
        <v>2946</v>
      </c>
      <c r="D381" s="3" t="s">
        <v>2889</v>
      </c>
    </row>
    <row r="382" customHeight="1" spans="1:4">
      <c r="A382" s="3">
        <v>381</v>
      </c>
      <c r="B382" s="3" t="s">
        <v>731</v>
      </c>
      <c r="C382" s="3" t="s">
        <v>2716</v>
      </c>
      <c r="D382" s="3" t="s">
        <v>2893</v>
      </c>
    </row>
    <row r="383" customHeight="1" spans="1:4">
      <c r="A383" s="3">
        <v>382</v>
      </c>
      <c r="B383" s="3" t="s">
        <v>732</v>
      </c>
      <c r="C383" s="3" t="s">
        <v>1721</v>
      </c>
      <c r="D383" s="3" t="s">
        <v>2889</v>
      </c>
    </row>
    <row r="384" customHeight="1" spans="1:4">
      <c r="A384" s="3">
        <v>383</v>
      </c>
      <c r="B384" s="3" t="s">
        <v>733</v>
      </c>
      <c r="C384" s="3" t="s">
        <v>2946</v>
      </c>
      <c r="D384" s="3" t="s">
        <v>2896</v>
      </c>
    </row>
    <row r="385" customHeight="1" spans="1:4">
      <c r="A385" s="3">
        <v>384</v>
      </c>
      <c r="B385" s="3" t="s">
        <v>734</v>
      </c>
      <c r="C385" s="3" t="s">
        <v>1721</v>
      </c>
      <c r="D385" s="3" t="s">
        <v>2911</v>
      </c>
    </row>
    <row r="386" customHeight="1" spans="1:4">
      <c r="A386" s="3">
        <v>385</v>
      </c>
      <c r="B386" s="3" t="s">
        <v>735</v>
      </c>
      <c r="C386" s="3" t="s">
        <v>1721</v>
      </c>
      <c r="D386" s="3" t="s">
        <v>2889</v>
      </c>
    </row>
    <row r="387" customHeight="1" spans="1:4">
      <c r="A387" s="3">
        <v>386</v>
      </c>
      <c r="B387" s="3" t="s">
        <v>736</v>
      </c>
      <c r="C387" s="3" t="s">
        <v>2716</v>
      </c>
      <c r="D387" s="3" t="s">
        <v>2889</v>
      </c>
    </row>
    <row r="388" customHeight="1" spans="1:4">
      <c r="A388" s="3">
        <v>387</v>
      </c>
      <c r="B388" s="3" t="s">
        <v>737</v>
      </c>
      <c r="C388" s="3" t="s">
        <v>2716</v>
      </c>
      <c r="D388" s="3" t="s">
        <v>2889</v>
      </c>
    </row>
    <row r="389" customHeight="1" spans="1:4">
      <c r="A389" s="3">
        <v>388</v>
      </c>
      <c r="B389" s="3" t="s">
        <v>738</v>
      </c>
      <c r="C389" s="3" t="s">
        <v>1721</v>
      </c>
      <c r="D389" s="3" t="s">
        <v>2889</v>
      </c>
    </row>
    <row r="390" customHeight="1" spans="1:4">
      <c r="A390" s="3">
        <v>389</v>
      </c>
      <c r="B390" s="3" t="s">
        <v>739</v>
      </c>
      <c r="C390" s="3" t="s">
        <v>2716</v>
      </c>
      <c r="D390" s="3" t="s">
        <v>2889</v>
      </c>
    </row>
    <row r="391" customHeight="1" spans="1:4">
      <c r="A391" s="3">
        <v>390</v>
      </c>
      <c r="B391" s="3" t="s">
        <v>740</v>
      </c>
      <c r="C391" s="3" t="s">
        <v>1721</v>
      </c>
      <c r="D391" s="3" t="s">
        <v>2889</v>
      </c>
    </row>
    <row r="392" customHeight="1" spans="1:4">
      <c r="A392" s="3">
        <v>391</v>
      </c>
      <c r="B392" s="3" t="s">
        <v>741</v>
      </c>
      <c r="C392" s="3" t="s">
        <v>2717</v>
      </c>
      <c r="D392" s="3" t="s">
        <v>2889</v>
      </c>
    </row>
    <row r="393" customHeight="1" spans="1:4">
      <c r="A393" s="3">
        <v>392</v>
      </c>
      <c r="B393" s="3" t="s">
        <v>742</v>
      </c>
      <c r="C393" s="3" t="s">
        <v>2716</v>
      </c>
      <c r="D393" s="3" t="s">
        <v>2893</v>
      </c>
    </row>
    <row r="394" customHeight="1" spans="1:4">
      <c r="A394" s="3">
        <v>393</v>
      </c>
      <c r="B394" s="3" t="s">
        <v>743</v>
      </c>
      <c r="C394" s="3" t="s">
        <v>2928</v>
      </c>
      <c r="D394" s="3" t="s">
        <v>2893</v>
      </c>
    </row>
    <row r="395" customHeight="1" spans="1:4">
      <c r="A395" s="3">
        <v>394</v>
      </c>
      <c r="B395" s="3" t="s">
        <v>744</v>
      </c>
      <c r="C395" s="3" t="s">
        <v>1721</v>
      </c>
      <c r="D395" s="3" t="s">
        <v>2889</v>
      </c>
    </row>
    <row r="396" customHeight="1" spans="1:4">
      <c r="A396" s="3">
        <v>395</v>
      </c>
      <c r="B396" s="3" t="s">
        <v>745</v>
      </c>
      <c r="C396" s="3" t="s">
        <v>3022</v>
      </c>
      <c r="D396" s="3" t="s">
        <v>2889</v>
      </c>
    </row>
    <row r="397" customHeight="1" spans="1:4">
      <c r="A397" s="3">
        <v>396</v>
      </c>
      <c r="B397" s="3" t="s">
        <v>117</v>
      </c>
      <c r="C397" s="3" t="s">
        <v>2928</v>
      </c>
      <c r="D397" s="3" t="s">
        <v>2893</v>
      </c>
    </row>
    <row r="398" customHeight="1" spans="1:4">
      <c r="A398" s="3">
        <v>397</v>
      </c>
      <c r="B398" s="3" t="s">
        <v>746</v>
      </c>
      <c r="C398" s="3" t="s">
        <v>2946</v>
      </c>
      <c r="D398" s="3" t="s">
        <v>2889</v>
      </c>
    </row>
    <row r="399" customHeight="1" spans="1:4">
      <c r="A399" s="3">
        <v>398</v>
      </c>
      <c r="B399" s="3" t="s">
        <v>747</v>
      </c>
      <c r="C399" s="3" t="s">
        <v>1721</v>
      </c>
      <c r="D399" s="3" t="s">
        <v>2889</v>
      </c>
    </row>
    <row r="400" customHeight="1" spans="1:4">
      <c r="A400" s="3">
        <v>399</v>
      </c>
      <c r="B400" s="3" t="s">
        <v>748</v>
      </c>
      <c r="C400" s="3" t="s">
        <v>1721</v>
      </c>
      <c r="D400" s="3" t="s">
        <v>2889</v>
      </c>
    </row>
    <row r="401" customHeight="1" spans="1:4">
      <c r="A401" s="3">
        <v>400</v>
      </c>
      <c r="B401" s="3" t="s">
        <v>749</v>
      </c>
      <c r="C401" s="3" t="s">
        <v>1721</v>
      </c>
      <c r="D401" s="3" t="s">
        <v>2889</v>
      </c>
    </row>
    <row r="402" customHeight="1" spans="1:4">
      <c r="A402" s="3">
        <v>401</v>
      </c>
      <c r="B402" s="3" t="s">
        <v>750</v>
      </c>
      <c r="C402" s="3" t="s">
        <v>1721</v>
      </c>
      <c r="D402" s="3" t="s">
        <v>2889</v>
      </c>
    </row>
    <row r="403" customHeight="1" spans="1:4">
      <c r="A403" s="3">
        <v>402</v>
      </c>
      <c r="B403" s="3" t="s">
        <v>751</v>
      </c>
      <c r="C403" s="3" t="s">
        <v>1721</v>
      </c>
      <c r="D403" s="3" t="s">
        <v>2893</v>
      </c>
    </row>
    <row r="404" customHeight="1" spans="1:4">
      <c r="A404" s="3">
        <v>403</v>
      </c>
      <c r="B404" s="3" t="s">
        <v>752</v>
      </c>
      <c r="C404" s="3" t="s">
        <v>2716</v>
      </c>
      <c r="D404" s="3" t="s">
        <v>3019</v>
      </c>
    </row>
    <row r="405" customHeight="1" spans="1:4">
      <c r="A405" s="3">
        <v>404</v>
      </c>
      <c r="B405" s="3" t="s">
        <v>753</v>
      </c>
      <c r="C405" s="3" t="s">
        <v>2892</v>
      </c>
      <c r="D405" s="3" t="s">
        <v>2889</v>
      </c>
    </row>
    <row r="406" customHeight="1" spans="1:4">
      <c r="A406" s="3">
        <v>405</v>
      </c>
      <c r="B406" s="3" t="s">
        <v>754</v>
      </c>
      <c r="C406" s="3" t="s">
        <v>1638</v>
      </c>
      <c r="D406" s="3" t="s">
        <v>2889</v>
      </c>
    </row>
    <row r="407" customHeight="1" spans="1:4">
      <c r="A407" s="3">
        <v>406</v>
      </c>
      <c r="B407" s="3" t="s">
        <v>755</v>
      </c>
      <c r="C407" s="3" t="s">
        <v>2946</v>
      </c>
      <c r="D407" s="3" t="s">
        <v>2889</v>
      </c>
    </row>
    <row r="408" customHeight="1" spans="1:4">
      <c r="A408" s="3">
        <v>407</v>
      </c>
      <c r="B408" s="3" t="s">
        <v>756</v>
      </c>
      <c r="C408" s="3" t="s">
        <v>2716</v>
      </c>
      <c r="D408" s="3" t="s">
        <v>2889</v>
      </c>
    </row>
    <row r="409" customHeight="1" spans="1:4">
      <c r="A409" s="3">
        <v>408</v>
      </c>
      <c r="B409" s="3" t="s">
        <v>757</v>
      </c>
      <c r="C409" s="3" t="s">
        <v>3022</v>
      </c>
      <c r="D409" s="3" t="s">
        <v>2889</v>
      </c>
    </row>
    <row r="410" customHeight="1" spans="1:4">
      <c r="A410" s="3">
        <v>409</v>
      </c>
      <c r="B410" s="3" t="s">
        <v>758</v>
      </c>
      <c r="C410" s="3" t="s">
        <v>2892</v>
      </c>
      <c r="D410" s="3" t="s">
        <v>2889</v>
      </c>
    </row>
    <row r="411" customHeight="1" spans="1:4">
      <c r="A411" s="3">
        <v>410</v>
      </c>
      <c r="B411" s="3" t="s">
        <v>759</v>
      </c>
      <c r="C411" s="3" t="s">
        <v>3234</v>
      </c>
      <c r="D411" s="3" t="s">
        <v>2889</v>
      </c>
    </row>
    <row r="412" customHeight="1" spans="1:4">
      <c r="A412" s="3">
        <v>411</v>
      </c>
      <c r="B412" s="3" t="s">
        <v>760</v>
      </c>
      <c r="C412" s="3" t="s">
        <v>2946</v>
      </c>
      <c r="D412" s="3" t="s">
        <v>2896</v>
      </c>
    </row>
    <row r="413" customHeight="1" spans="1:4">
      <c r="A413" s="3">
        <v>412</v>
      </c>
      <c r="B413" s="3" t="s">
        <v>761</v>
      </c>
      <c r="C413" s="3" t="s">
        <v>2946</v>
      </c>
      <c r="D413" s="3" t="s">
        <v>2889</v>
      </c>
    </row>
    <row r="414" customHeight="1" spans="1:4">
      <c r="A414" s="3">
        <v>413</v>
      </c>
      <c r="B414" s="3" t="s">
        <v>762</v>
      </c>
      <c r="C414" s="3" t="s">
        <v>1638</v>
      </c>
      <c r="D414" s="3" t="s">
        <v>2889</v>
      </c>
    </row>
    <row r="415" customHeight="1" spans="1:4">
      <c r="A415" s="3">
        <v>414</v>
      </c>
      <c r="B415" s="3" t="s">
        <v>763</v>
      </c>
      <c r="C415" s="3" t="s">
        <v>1721</v>
      </c>
      <c r="D415" s="3" t="s">
        <v>2889</v>
      </c>
    </row>
    <row r="416" customHeight="1" spans="1:4">
      <c r="A416" s="3">
        <v>415</v>
      </c>
      <c r="B416" s="3" t="s">
        <v>764</v>
      </c>
      <c r="C416" s="3" t="s">
        <v>2716</v>
      </c>
      <c r="D416" s="3" t="s">
        <v>2889</v>
      </c>
    </row>
    <row r="417" customHeight="1" spans="1:4">
      <c r="A417" s="3">
        <v>416</v>
      </c>
      <c r="B417" s="3" t="s">
        <v>765</v>
      </c>
      <c r="C417" s="3" t="s">
        <v>2946</v>
      </c>
      <c r="D417" s="3" t="s">
        <v>2889</v>
      </c>
    </row>
    <row r="418" customHeight="1" spans="1:4">
      <c r="A418" s="3">
        <v>417</v>
      </c>
      <c r="B418" s="3" t="s">
        <v>766</v>
      </c>
      <c r="C418" s="3" t="s">
        <v>2892</v>
      </c>
      <c r="D418" s="3" t="s">
        <v>2889</v>
      </c>
    </row>
    <row r="419" customHeight="1" spans="1:4">
      <c r="A419" s="3">
        <v>418</v>
      </c>
      <c r="B419" s="3" t="s">
        <v>767</v>
      </c>
      <c r="C419" s="3" t="s">
        <v>2716</v>
      </c>
      <c r="D419" s="3" t="s">
        <v>2896</v>
      </c>
    </row>
    <row r="420" customHeight="1" spans="1:4">
      <c r="A420" s="3">
        <v>419</v>
      </c>
      <c r="B420" s="3" t="s">
        <v>768</v>
      </c>
      <c r="C420" s="3" t="s">
        <v>2946</v>
      </c>
      <c r="D420" s="3" t="s">
        <v>2889</v>
      </c>
    </row>
    <row r="421" customHeight="1" spans="1:4">
      <c r="A421" s="3">
        <v>420</v>
      </c>
      <c r="B421" s="3" t="s">
        <v>769</v>
      </c>
      <c r="C421" s="3" t="s">
        <v>1721</v>
      </c>
      <c r="D421" s="3" t="s">
        <v>2908</v>
      </c>
    </row>
    <row r="422" customHeight="1" spans="1:4">
      <c r="A422" s="3">
        <v>421</v>
      </c>
      <c r="B422" s="3" t="s">
        <v>770</v>
      </c>
      <c r="C422" s="3" t="s">
        <v>1721</v>
      </c>
      <c r="D422" s="3" t="s">
        <v>2896</v>
      </c>
    </row>
    <row r="423" customHeight="1" spans="1:4">
      <c r="A423" s="3">
        <v>422</v>
      </c>
      <c r="B423" s="3" t="s">
        <v>771</v>
      </c>
      <c r="C423" s="3" t="s">
        <v>2946</v>
      </c>
      <c r="D423" s="3" t="s">
        <v>2908</v>
      </c>
    </row>
    <row r="424" customHeight="1" spans="1:4">
      <c r="A424" s="3">
        <v>423</v>
      </c>
      <c r="B424" s="3" t="s">
        <v>772</v>
      </c>
      <c r="C424" s="3" t="s">
        <v>2716</v>
      </c>
      <c r="D424" s="3" t="s">
        <v>2889</v>
      </c>
    </row>
    <row r="425" customHeight="1" spans="1:4">
      <c r="A425" s="3">
        <v>424</v>
      </c>
      <c r="B425" s="3" t="s">
        <v>773</v>
      </c>
      <c r="C425" s="3" t="s">
        <v>1721</v>
      </c>
      <c r="D425" s="3" t="s">
        <v>2889</v>
      </c>
    </row>
    <row r="426" customHeight="1" spans="1:4">
      <c r="A426" s="3">
        <v>425</v>
      </c>
      <c r="B426" s="3" t="s">
        <v>774</v>
      </c>
      <c r="C426" s="3" t="s">
        <v>2946</v>
      </c>
      <c r="D426" s="3" t="s">
        <v>2889</v>
      </c>
    </row>
    <row r="427" customHeight="1" spans="1:4">
      <c r="A427" s="3">
        <v>426</v>
      </c>
      <c r="B427" s="3" t="s">
        <v>775</v>
      </c>
      <c r="C427" s="3" t="s">
        <v>2928</v>
      </c>
      <c r="D427" s="3" t="s">
        <v>2889</v>
      </c>
    </row>
    <row r="428" customHeight="1" spans="1:4">
      <c r="A428" s="3">
        <v>427</v>
      </c>
      <c r="B428" s="3" t="s">
        <v>776</v>
      </c>
      <c r="C428" s="3" t="s">
        <v>2892</v>
      </c>
      <c r="D428" s="3" t="s">
        <v>2889</v>
      </c>
    </row>
    <row r="429" customHeight="1" spans="1:4">
      <c r="A429" s="3">
        <v>428</v>
      </c>
      <c r="B429" s="3" t="s">
        <v>777</v>
      </c>
      <c r="C429" s="3" t="s">
        <v>1721</v>
      </c>
      <c r="D429" s="3" t="s">
        <v>2896</v>
      </c>
    </row>
    <row r="430" customHeight="1" spans="1:4">
      <c r="A430" s="3">
        <v>429</v>
      </c>
      <c r="B430" s="3" t="s">
        <v>778</v>
      </c>
      <c r="C430" s="3" t="s">
        <v>2892</v>
      </c>
      <c r="D430" s="3" t="s">
        <v>2889</v>
      </c>
    </row>
    <row r="431" customHeight="1" spans="1:4">
      <c r="A431" s="3">
        <v>430</v>
      </c>
      <c r="B431" s="3" t="s">
        <v>779</v>
      </c>
      <c r="C431" s="3" t="s">
        <v>2892</v>
      </c>
      <c r="D431" s="3" t="s">
        <v>2889</v>
      </c>
    </row>
    <row r="432" customHeight="1" spans="1:4">
      <c r="A432" s="3">
        <v>431</v>
      </c>
      <c r="B432" s="3" t="s">
        <v>780</v>
      </c>
      <c r="C432" s="3" t="s">
        <v>2946</v>
      </c>
      <c r="D432" s="3" t="s">
        <v>2889</v>
      </c>
    </row>
    <row r="433" customHeight="1" spans="1:4">
      <c r="A433" s="3">
        <v>432</v>
      </c>
      <c r="B433" s="3" t="s">
        <v>781</v>
      </c>
      <c r="C433" s="3" t="s">
        <v>1721</v>
      </c>
      <c r="D433" s="3" t="s">
        <v>2889</v>
      </c>
    </row>
    <row r="434" customHeight="1" spans="1:4">
      <c r="A434" s="3">
        <v>433</v>
      </c>
      <c r="B434" s="3" t="s">
        <v>782</v>
      </c>
      <c r="C434" s="3" t="s">
        <v>1721</v>
      </c>
      <c r="D434" s="3" t="s">
        <v>2889</v>
      </c>
    </row>
    <row r="435" customHeight="1" spans="1:4">
      <c r="A435" s="3">
        <v>434</v>
      </c>
      <c r="B435" s="3" t="s">
        <v>783</v>
      </c>
      <c r="C435" s="3" t="s">
        <v>2946</v>
      </c>
      <c r="D435" s="3" t="s">
        <v>2896</v>
      </c>
    </row>
    <row r="436" customHeight="1" spans="1:4">
      <c r="A436" s="3">
        <v>435</v>
      </c>
      <c r="B436" s="3" t="s">
        <v>784</v>
      </c>
      <c r="C436" s="3" t="s">
        <v>2716</v>
      </c>
      <c r="D436" s="3" t="s">
        <v>2889</v>
      </c>
    </row>
    <row r="437" customHeight="1" spans="1:4">
      <c r="A437" s="3">
        <v>436</v>
      </c>
      <c r="B437" s="3" t="s">
        <v>785</v>
      </c>
      <c r="C437" s="3" t="s">
        <v>1721</v>
      </c>
      <c r="D437" s="3" t="s">
        <v>2889</v>
      </c>
    </row>
    <row r="438" customHeight="1" spans="1:4">
      <c r="A438" s="3">
        <v>437</v>
      </c>
      <c r="B438" s="3" t="s">
        <v>786</v>
      </c>
      <c r="C438" s="3" t="s">
        <v>2716</v>
      </c>
      <c r="D438" s="3" t="s">
        <v>2889</v>
      </c>
    </row>
    <row r="439" customHeight="1" spans="1:4">
      <c r="A439" s="3">
        <v>438</v>
      </c>
      <c r="B439" s="3" t="s">
        <v>787</v>
      </c>
      <c r="C439" s="3" t="s">
        <v>2716</v>
      </c>
      <c r="D439" s="3" t="s">
        <v>2889</v>
      </c>
    </row>
    <row r="440" customHeight="1" spans="1:4">
      <c r="A440" s="3">
        <v>439</v>
      </c>
      <c r="B440" s="3" t="s">
        <v>788</v>
      </c>
      <c r="C440" s="3" t="s">
        <v>2892</v>
      </c>
      <c r="D440" s="3" t="s">
        <v>2889</v>
      </c>
    </row>
    <row r="441" customHeight="1" spans="1:4">
      <c r="A441" s="3">
        <v>440</v>
      </c>
      <c r="B441" s="3" t="s">
        <v>789</v>
      </c>
      <c r="C441" s="3" t="s">
        <v>1721</v>
      </c>
      <c r="D441" s="3" t="s">
        <v>2889</v>
      </c>
    </row>
    <row r="442" customHeight="1" spans="1:4">
      <c r="A442" s="3">
        <v>441</v>
      </c>
      <c r="B442" s="3" t="s">
        <v>790</v>
      </c>
      <c r="C442" s="3" t="s">
        <v>2946</v>
      </c>
      <c r="D442" s="3" t="s">
        <v>2896</v>
      </c>
    </row>
    <row r="443" customHeight="1" spans="1:4">
      <c r="A443" s="3">
        <v>442</v>
      </c>
      <c r="B443" s="3" t="s">
        <v>791</v>
      </c>
      <c r="C443" s="3" t="s">
        <v>2892</v>
      </c>
      <c r="D443" s="3" t="s">
        <v>2889</v>
      </c>
    </row>
    <row r="444" customHeight="1" spans="1:4">
      <c r="A444" s="3">
        <v>443</v>
      </c>
      <c r="B444" s="3" t="s">
        <v>792</v>
      </c>
      <c r="C444" s="3" t="s">
        <v>1721</v>
      </c>
      <c r="D444" s="3" t="s">
        <v>2889</v>
      </c>
    </row>
    <row r="445" customHeight="1" spans="1:4">
      <c r="A445" s="3">
        <v>444</v>
      </c>
      <c r="B445" s="3" t="s">
        <v>793</v>
      </c>
      <c r="C445" s="3" t="s">
        <v>2892</v>
      </c>
      <c r="D445" s="3" t="s">
        <v>2889</v>
      </c>
    </row>
    <row r="446" customHeight="1" spans="1:4">
      <c r="A446" s="3">
        <v>445</v>
      </c>
      <c r="B446" s="3" t="s">
        <v>794</v>
      </c>
      <c r="C446" s="3" t="s">
        <v>2946</v>
      </c>
      <c r="D446" s="3" t="s">
        <v>2896</v>
      </c>
    </row>
    <row r="447" customHeight="1" spans="1:4">
      <c r="A447" s="3">
        <v>446</v>
      </c>
      <c r="B447" s="3" t="s">
        <v>795</v>
      </c>
      <c r="C447" s="3" t="s">
        <v>2892</v>
      </c>
      <c r="D447" s="3" t="s">
        <v>2889</v>
      </c>
    </row>
    <row r="448" customHeight="1" spans="1:4">
      <c r="A448" s="3">
        <v>447</v>
      </c>
      <c r="B448" s="3" t="s">
        <v>796</v>
      </c>
      <c r="C448" s="3" t="s">
        <v>1721</v>
      </c>
      <c r="D448" s="3" t="s">
        <v>2889</v>
      </c>
    </row>
    <row r="449" customHeight="1" spans="1:4">
      <c r="A449" s="3">
        <v>448</v>
      </c>
      <c r="B449" s="3" t="s">
        <v>797</v>
      </c>
      <c r="C449" s="3" t="s">
        <v>1721</v>
      </c>
      <c r="D449" s="3" t="s">
        <v>2889</v>
      </c>
    </row>
    <row r="450" customHeight="1" spans="1:4">
      <c r="A450" s="3">
        <v>449</v>
      </c>
      <c r="B450" s="3" t="s">
        <v>798</v>
      </c>
      <c r="C450" s="3" t="s">
        <v>2928</v>
      </c>
      <c r="D450" s="3" t="s">
        <v>2911</v>
      </c>
    </row>
    <row r="451" customHeight="1" spans="1:4">
      <c r="A451" s="3">
        <v>450</v>
      </c>
      <c r="B451" s="3" t="s">
        <v>799</v>
      </c>
      <c r="C451" s="3" t="s">
        <v>1721</v>
      </c>
      <c r="D451" s="3" t="s">
        <v>2889</v>
      </c>
    </row>
    <row r="452" customHeight="1" spans="1:4">
      <c r="A452" s="3">
        <v>451</v>
      </c>
      <c r="B452" s="3" t="s">
        <v>800</v>
      </c>
      <c r="C452" s="3" t="s">
        <v>1721</v>
      </c>
      <c r="D452" s="3" t="s">
        <v>2899</v>
      </c>
    </row>
    <row r="453" customHeight="1" spans="1:4">
      <c r="A453" s="3">
        <v>452</v>
      </c>
      <c r="B453" s="3" t="s">
        <v>801</v>
      </c>
      <c r="C453" s="3" t="s">
        <v>2928</v>
      </c>
      <c r="D453" s="3" t="s">
        <v>2893</v>
      </c>
    </row>
    <row r="454" customHeight="1" spans="1:4">
      <c r="A454" s="3">
        <v>453</v>
      </c>
      <c r="B454" s="3" t="s">
        <v>802</v>
      </c>
      <c r="C454" s="3" t="s">
        <v>1721</v>
      </c>
      <c r="D454" s="3" t="s">
        <v>2889</v>
      </c>
    </row>
    <row r="455" customHeight="1" spans="1:4">
      <c r="A455" s="3">
        <v>454</v>
      </c>
      <c r="B455" s="3" t="s">
        <v>803</v>
      </c>
      <c r="C455" s="3" t="s">
        <v>2716</v>
      </c>
      <c r="D455" s="3" t="s">
        <v>2899</v>
      </c>
    </row>
    <row r="456" customHeight="1" spans="1:4">
      <c r="A456" s="3">
        <v>455</v>
      </c>
      <c r="B456" s="3" t="s">
        <v>804</v>
      </c>
      <c r="C456" s="3" t="s">
        <v>2716</v>
      </c>
      <c r="D456" s="3" t="s">
        <v>2889</v>
      </c>
    </row>
    <row r="457" customHeight="1" spans="1:4">
      <c r="A457" s="3">
        <v>456</v>
      </c>
      <c r="B457" s="3" t="s">
        <v>805</v>
      </c>
      <c r="C457" s="3" t="s">
        <v>2717</v>
      </c>
      <c r="D457" s="3" t="s">
        <v>2899</v>
      </c>
    </row>
    <row r="458" customHeight="1" spans="1:4">
      <c r="A458" s="3">
        <v>457</v>
      </c>
      <c r="B458" s="3" t="s">
        <v>806</v>
      </c>
      <c r="C458" s="3" t="s">
        <v>2716</v>
      </c>
      <c r="D458" s="3" t="s">
        <v>2889</v>
      </c>
    </row>
    <row r="459" customHeight="1" spans="1:4">
      <c r="A459" s="3">
        <v>458</v>
      </c>
      <c r="B459" s="3" t="s">
        <v>807</v>
      </c>
      <c r="C459" s="3" t="s">
        <v>2716</v>
      </c>
      <c r="D459" s="3" t="s">
        <v>2911</v>
      </c>
    </row>
    <row r="460" customHeight="1" spans="1:4">
      <c r="A460" s="3">
        <v>459</v>
      </c>
      <c r="B460" s="3" t="s">
        <v>808</v>
      </c>
      <c r="C460" s="3" t="s">
        <v>2716</v>
      </c>
      <c r="D460" s="3" t="s">
        <v>2889</v>
      </c>
    </row>
    <row r="461" customHeight="1" spans="1:4">
      <c r="A461" s="3">
        <v>460</v>
      </c>
      <c r="B461" s="3" t="s">
        <v>809</v>
      </c>
      <c r="C461" s="3" t="s">
        <v>2716</v>
      </c>
      <c r="D461" s="3" t="s">
        <v>2889</v>
      </c>
    </row>
    <row r="462" customHeight="1" spans="1:4">
      <c r="A462" s="3">
        <v>461</v>
      </c>
      <c r="B462" s="3" t="s">
        <v>810</v>
      </c>
      <c r="C462" s="3" t="s">
        <v>2716</v>
      </c>
      <c r="D462" s="3" t="s">
        <v>2889</v>
      </c>
    </row>
    <row r="463" customHeight="1" spans="1:4">
      <c r="A463" s="3">
        <v>462</v>
      </c>
      <c r="B463" s="3" t="s">
        <v>811</v>
      </c>
      <c r="C463" s="3" t="s">
        <v>2892</v>
      </c>
      <c r="D463" s="3" t="s">
        <v>2908</v>
      </c>
    </row>
    <row r="464" customHeight="1" spans="1:4">
      <c r="A464" s="3">
        <v>463</v>
      </c>
      <c r="B464" s="3" t="s">
        <v>812</v>
      </c>
      <c r="C464" s="3" t="s">
        <v>1721</v>
      </c>
      <c r="D464" s="3" t="s">
        <v>2899</v>
      </c>
    </row>
    <row r="465" customHeight="1" spans="1:4">
      <c r="A465" s="3">
        <v>464</v>
      </c>
      <c r="B465" s="3" t="s">
        <v>813</v>
      </c>
      <c r="C465" s="3" t="s">
        <v>1721</v>
      </c>
      <c r="D465" s="3" t="s">
        <v>2893</v>
      </c>
    </row>
    <row r="466" customHeight="1" spans="1:4">
      <c r="A466" s="3">
        <v>465</v>
      </c>
      <c r="B466" s="3" t="s">
        <v>814</v>
      </c>
      <c r="C466" s="3" t="s">
        <v>2717</v>
      </c>
      <c r="D466" s="3" t="s">
        <v>2889</v>
      </c>
    </row>
    <row r="467" customHeight="1" spans="1:4">
      <c r="A467" s="3">
        <v>466</v>
      </c>
      <c r="B467" s="3" t="s">
        <v>815</v>
      </c>
      <c r="C467" s="3" t="s">
        <v>2716</v>
      </c>
      <c r="D467" s="3" t="s">
        <v>2893</v>
      </c>
    </row>
    <row r="468" customHeight="1" spans="1:4">
      <c r="A468" s="3">
        <v>467</v>
      </c>
      <c r="B468" s="3" t="s">
        <v>816</v>
      </c>
      <c r="C468" s="3" t="s">
        <v>2892</v>
      </c>
      <c r="D468" s="3" t="s">
        <v>2911</v>
      </c>
    </row>
    <row r="469" customHeight="1" spans="1:4">
      <c r="A469" s="3">
        <v>468</v>
      </c>
      <c r="B469" s="3" t="s">
        <v>817</v>
      </c>
      <c r="C469" s="3" t="s">
        <v>2928</v>
      </c>
      <c r="D469" s="3" t="s">
        <v>2893</v>
      </c>
    </row>
    <row r="470" customHeight="1" spans="1:4">
      <c r="A470" s="3">
        <v>469</v>
      </c>
      <c r="B470" s="3" t="s">
        <v>818</v>
      </c>
      <c r="C470" s="3" t="s">
        <v>2892</v>
      </c>
      <c r="D470" s="3" t="s">
        <v>2889</v>
      </c>
    </row>
    <row r="471" customHeight="1" spans="1:4">
      <c r="A471" s="3">
        <v>470</v>
      </c>
      <c r="B471" s="3" t="s">
        <v>819</v>
      </c>
      <c r="C471" s="3" t="s">
        <v>2892</v>
      </c>
      <c r="D471" s="3" t="s">
        <v>2893</v>
      </c>
    </row>
    <row r="472" customHeight="1" spans="1:4">
      <c r="A472" s="3">
        <v>471</v>
      </c>
      <c r="B472" s="3" t="s">
        <v>820</v>
      </c>
      <c r="C472" s="3" t="s">
        <v>1721</v>
      </c>
      <c r="D472" s="3" t="s">
        <v>2889</v>
      </c>
    </row>
    <row r="473" customHeight="1" spans="1:4">
      <c r="A473" s="3">
        <v>472</v>
      </c>
      <c r="B473" s="3" t="s">
        <v>821</v>
      </c>
      <c r="C473" s="3" t="s">
        <v>1721</v>
      </c>
      <c r="D473" s="3" t="s">
        <v>2893</v>
      </c>
    </row>
    <row r="474" customHeight="1" spans="1:4">
      <c r="A474" s="3">
        <v>473</v>
      </c>
      <c r="B474" s="3" t="s">
        <v>822</v>
      </c>
      <c r="C474" s="3" t="s">
        <v>2946</v>
      </c>
      <c r="D474" s="3" t="s">
        <v>2893</v>
      </c>
    </row>
    <row r="475" customHeight="1" spans="1:4">
      <c r="A475" s="3">
        <v>474</v>
      </c>
      <c r="B475" s="3" t="s">
        <v>823</v>
      </c>
      <c r="C475" s="3" t="s">
        <v>2717</v>
      </c>
      <c r="D475" s="3" t="s">
        <v>2889</v>
      </c>
    </row>
    <row r="476" customHeight="1" spans="1:4">
      <c r="A476" s="3">
        <v>475</v>
      </c>
      <c r="B476" s="3" t="s">
        <v>824</v>
      </c>
      <c r="C476" s="3" t="s">
        <v>2717</v>
      </c>
      <c r="D476" s="3" t="s">
        <v>2889</v>
      </c>
    </row>
    <row r="477" customHeight="1" spans="1:4">
      <c r="A477" s="3">
        <v>476</v>
      </c>
      <c r="B477" s="3" t="s">
        <v>825</v>
      </c>
      <c r="C477" s="3" t="s">
        <v>2717</v>
      </c>
      <c r="D477" s="3" t="s">
        <v>2889</v>
      </c>
    </row>
    <row r="478" customHeight="1" spans="1:4">
      <c r="A478" s="3">
        <v>477</v>
      </c>
      <c r="B478" s="3" t="s">
        <v>826</v>
      </c>
      <c r="C478" s="3" t="s">
        <v>2716</v>
      </c>
      <c r="D478" s="3" t="s">
        <v>2896</v>
      </c>
    </row>
    <row r="479" customHeight="1" spans="1:4">
      <c r="A479" s="3">
        <v>478</v>
      </c>
      <c r="B479" s="3" t="s">
        <v>827</v>
      </c>
      <c r="C479" s="3" t="s">
        <v>2717</v>
      </c>
      <c r="D479" s="3" t="s">
        <v>2911</v>
      </c>
    </row>
    <row r="480" customHeight="1" spans="1:4">
      <c r="A480" s="3">
        <v>479</v>
      </c>
      <c r="B480" s="3" t="s">
        <v>828</v>
      </c>
      <c r="C480" s="3" t="s">
        <v>2716</v>
      </c>
      <c r="D480" s="3" t="s">
        <v>2889</v>
      </c>
    </row>
    <row r="481" customHeight="1" spans="1:4">
      <c r="A481" s="3">
        <v>480</v>
      </c>
      <c r="B481" s="3" t="s">
        <v>829</v>
      </c>
      <c r="C481" s="3" t="s">
        <v>2716</v>
      </c>
      <c r="D481" s="3" t="s">
        <v>2889</v>
      </c>
    </row>
    <row r="482" customHeight="1" spans="1:4">
      <c r="A482" s="3">
        <v>481</v>
      </c>
      <c r="B482" s="3" t="s">
        <v>830</v>
      </c>
      <c r="C482" s="3" t="s">
        <v>2716</v>
      </c>
      <c r="D482" s="3" t="s">
        <v>2889</v>
      </c>
    </row>
    <row r="483" customHeight="1" spans="1:4">
      <c r="A483" s="3">
        <v>482</v>
      </c>
      <c r="B483" s="3" t="s">
        <v>831</v>
      </c>
      <c r="C483" s="3" t="s">
        <v>2717</v>
      </c>
      <c r="D483" s="3" t="s">
        <v>2889</v>
      </c>
    </row>
    <row r="484" customHeight="1" spans="1:4">
      <c r="A484" s="3">
        <v>483</v>
      </c>
      <c r="B484" s="3" t="s">
        <v>832</v>
      </c>
      <c r="C484" s="3" t="s">
        <v>2717</v>
      </c>
      <c r="D484" s="3" t="s">
        <v>2889</v>
      </c>
    </row>
    <row r="485" customHeight="1" spans="1:4">
      <c r="A485" s="3">
        <v>484</v>
      </c>
      <c r="B485" s="3" t="s">
        <v>833</v>
      </c>
      <c r="C485" s="3" t="s">
        <v>1721</v>
      </c>
      <c r="D485" s="3" t="s">
        <v>2889</v>
      </c>
    </row>
    <row r="486" customHeight="1" spans="1:4">
      <c r="A486" s="3">
        <v>485</v>
      </c>
      <c r="B486" s="3" t="s">
        <v>834</v>
      </c>
      <c r="C486" s="3" t="s">
        <v>2717</v>
      </c>
      <c r="D486" s="3" t="s">
        <v>2889</v>
      </c>
    </row>
    <row r="487" customHeight="1" spans="1:4">
      <c r="A487" s="3">
        <v>486</v>
      </c>
      <c r="B487" s="3" t="s">
        <v>835</v>
      </c>
      <c r="C487" s="3" t="s">
        <v>1721</v>
      </c>
      <c r="D487" s="3" t="s">
        <v>2889</v>
      </c>
    </row>
    <row r="488" customHeight="1" spans="1:4">
      <c r="A488" s="3">
        <v>487</v>
      </c>
      <c r="B488" s="3" t="s">
        <v>836</v>
      </c>
      <c r="C488" s="3" t="s">
        <v>2716</v>
      </c>
      <c r="D488" s="3" t="s">
        <v>2911</v>
      </c>
    </row>
    <row r="489" customHeight="1" spans="1:4">
      <c r="A489" s="3">
        <v>488</v>
      </c>
      <c r="B489" s="3" t="s">
        <v>837</v>
      </c>
      <c r="C489" s="3" t="s">
        <v>2717</v>
      </c>
      <c r="D489" s="3" t="s">
        <v>2889</v>
      </c>
    </row>
    <row r="490" customHeight="1" spans="1:4">
      <c r="A490" s="3">
        <v>489</v>
      </c>
      <c r="B490" s="3" t="s">
        <v>838</v>
      </c>
      <c r="C490" s="3" t="s">
        <v>3022</v>
      </c>
      <c r="D490" s="3" t="s">
        <v>2889</v>
      </c>
    </row>
    <row r="491" customHeight="1" spans="1:4">
      <c r="A491" s="3">
        <v>490</v>
      </c>
      <c r="B491" s="3" t="s">
        <v>839</v>
      </c>
      <c r="C491" s="3" t="s">
        <v>1721</v>
      </c>
      <c r="D491" s="3" t="s">
        <v>2889</v>
      </c>
    </row>
    <row r="492" customHeight="1" spans="1:4">
      <c r="A492" s="3">
        <v>491</v>
      </c>
      <c r="B492" s="3" t="s">
        <v>840</v>
      </c>
      <c r="C492" s="3" t="s">
        <v>1721</v>
      </c>
      <c r="D492" s="3" t="s">
        <v>2987</v>
      </c>
    </row>
    <row r="493" customHeight="1" spans="1:4">
      <c r="A493" s="3">
        <v>492</v>
      </c>
      <c r="B493" s="3" t="s">
        <v>841</v>
      </c>
      <c r="C493" s="3" t="s">
        <v>1721</v>
      </c>
      <c r="D493" s="3" t="s">
        <v>2889</v>
      </c>
    </row>
    <row r="494" customHeight="1" spans="1:4">
      <c r="A494" s="3">
        <v>493</v>
      </c>
      <c r="B494" s="3" t="s">
        <v>842</v>
      </c>
      <c r="C494" s="3" t="s">
        <v>2946</v>
      </c>
      <c r="D494" s="3" t="s">
        <v>2893</v>
      </c>
    </row>
    <row r="495" customHeight="1" spans="1:4">
      <c r="A495" s="3">
        <v>494</v>
      </c>
      <c r="B495" s="3" t="s">
        <v>843</v>
      </c>
      <c r="C495" s="3" t="s">
        <v>3022</v>
      </c>
      <c r="D495" s="3" t="s">
        <v>2889</v>
      </c>
    </row>
    <row r="496" customHeight="1" spans="1:4">
      <c r="A496" s="3">
        <v>495</v>
      </c>
      <c r="B496" s="3" t="s">
        <v>844</v>
      </c>
      <c r="C496" s="3" t="s">
        <v>1721</v>
      </c>
      <c r="D496" s="3" t="s">
        <v>2889</v>
      </c>
    </row>
    <row r="497" customHeight="1" spans="1:4">
      <c r="A497" s="3">
        <v>496</v>
      </c>
      <c r="B497" s="3" t="s">
        <v>845</v>
      </c>
      <c r="C497" s="3" t="s">
        <v>2946</v>
      </c>
      <c r="D497" s="3" t="s">
        <v>2889</v>
      </c>
    </row>
    <row r="498" customHeight="1" spans="1:4">
      <c r="A498" s="3">
        <v>497</v>
      </c>
      <c r="B498" s="3" t="s">
        <v>846</v>
      </c>
      <c r="C498" s="3" t="s">
        <v>2717</v>
      </c>
      <c r="D498" s="3" t="s">
        <v>2889</v>
      </c>
    </row>
    <row r="499" customHeight="1" spans="1:4">
      <c r="A499" s="3">
        <v>498</v>
      </c>
      <c r="B499" s="3" t="s">
        <v>847</v>
      </c>
      <c r="C499" s="3" t="s">
        <v>1721</v>
      </c>
      <c r="D499" s="3" t="s">
        <v>2896</v>
      </c>
    </row>
    <row r="500" customHeight="1" spans="1:4">
      <c r="A500" s="3">
        <v>499</v>
      </c>
      <c r="B500" s="3" t="s">
        <v>848</v>
      </c>
      <c r="C500" s="3" t="s">
        <v>3022</v>
      </c>
      <c r="D500" s="3" t="s">
        <v>2893</v>
      </c>
    </row>
    <row r="501" customHeight="1" spans="1:4">
      <c r="A501" s="3">
        <v>500</v>
      </c>
      <c r="B501" s="3" t="s">
        <v>849</v>
      </c>
      <c r="C501" s="3" t="s">
        <v>2716</v>
      </c>
      <c r="D501" s="3" t="s">
        <v>2896</v>
      </c>
    </row>
    <row r="502" customHeight="1" spans="1:4">
      <c r="A502" s="3">
        <v>501</v>
      </c>
      <c r="B502" s="3" t="s">
        <v>850</v>
      </c>
      <c r="C502" s="3" t="s">
        <v>2892</v>
      </c>
      <c r="D502" s="3" t="s">
        <v>2893</v>
      </c>
    </row>
    <row r="503" customHeight="1" spans="1:4">
      <c r="A503" s="3">
        <v>502</v>
      </c>
      <c r="B503" s="3" t="s">
        <v>851</v>
      </c>
      <c r="C503" s="3" t="s">
        <v>1721</v>
      </c>
      <c r="D503" s="3" t="s">
        <v>2889</v>
      </c>
    </row>
    <row r="504" customHeight="1" spans="1:4">
      <c r="A504" s="3">
        <v>503</v>
      </c>
      <c r="B504" s="3" t="s">
        <v>852</v>
      </c>
      <c r="C504" s="3" t="s">
        <v>1721</v>
      </c>
      <c r="D504" s="3" t="s">
        <v>2908</v>
      </c>
    </row>
    <row r="505" customHeight="1" spans="1:4">
      <c r="A505" s="3">
        <v>504</v>
      </c>
      <c r="B505" s="3" t="s">
        <v>853</v>
      </c>
      <c r="C505" s="3" t="s">
        <v>2898</v>
      </c>
      <c r="D505" s="3" t="s">
        <v>2889</v>
      </c>
    </row>
    <row r="506" customHeight="1" spans="1:4">
      <c r="A506" s="3">
        <v>505</v>
      </c>
      <c r="B506" s="3" t="s">
        <v>854</v>
      </c>
      <c r="C506" s="3" t="s">
        <v>2898</v>
      </c>
      <c r="D506" s="3" t="s">
        <v>2908</v>
      </c>
    </row>
    <row r="507" customHeight="1" spans="1:4">
      <c r="A507" s="3">
        <v>506</v>
      </c>
      <c r="B507" s="3" t="s">
        <v>855</v>
      </c>
      <c r="C507" s="3" t="s">
        <v>1721</v>
      </c>
      <c r="D507" s="3" t="s">
        <v>2896</v>
      </c>
    </row>
    <row r="508" customHeight="1" spans="1:4">
      <c r="A508" s="3">
        <v>507</v>
      </c>
      <c r="B508" s="3" t="s">
        <v>856</v>
      </c>
      <c r="C508" s="3" t="s">
        <v>1721</v>
      </c>
      <c r="D508" s="3" t="s">
        <v>2896</v>
      </c>
    </row>
    <row r="509" customHeight="1" spans="1:4">
      <c r="A509" s="3">
        <v>508</v>
      </c>
      <c r="B509" s="3" t="s">
        <v>857</v>
      </c>
      <c r="C509" s="3" t="s">
        <v>3022</v>
      </c>
      <c r="D509" s="3" t="s">
        <v>2893</v>
      </c>
    </row>
    <row r="510" customHeight="1" spans="1:4">
      <c r="A510" s="3">
        <v>509</v>
      </c>
      <c r="B510" s="3" t="s">
        <v>858</v>
      </c>
      <c r="C510" s="3" t="s">
        <v>2892</v>
      </c>
      <c r="D510" s="3" t="s">
        <v>2896</v>
      </c>
    </row>
    <row r="511" customHeight="1" spans="1:4">
      <c r="A511" s="3">
        <v>510</v>
      </c>
      <c r="B511" s="3" t="s">
        <v>859</v>
      </c>
      <c r="C511" s="3" t="s">
        <v>3022</v>
      </c>
      <c r="D511" s="3" t="s">
        <v>2908</v>
      </c>
    </row>
    <row r="512" customHeight="1" spans="1:4">
      <c r="A512" s="3">
        <v>511</v>
      </c>
      <c r="B512" s="3" t="s">
        <v>860</v>
      </c>
      <c r="C512" s="3" t="s">
        <v>2716</v>
      </c>
      <c r="D512" s="3" t="s">
        <v>2896</v>
      </c>
    </row>
    <row r="513" customHeight="1" spans="1:4">
      <c r="A513" s="3">
        <v>512</v>
      </c>
      <c r="B513" s="3" t="s">
        <v>861</v>
      </c>
      <c r="C513" s="3" t="s">
        <v>2946</v>
      </c>
      <c r="D513" s="3" t="s">
        <v>2911</v>
      </c>
    </row>
    <row r="514" customHeight="1" spans="1:4">
      <c r="A514" s="3">
        <v>513</v>
      </c>
      <c r="B514" s="3" t="s">
        <v>862</v>
      </c>
      <c r="C514" s="3" t="s">
        <v>1721</v>
      </c>
      <c r="D514" s="3" t="s">
        <v>2896</v>
      </c>
    </row>
    <row r="515" customHeight="1" spans="1:4">
      <c r="A515" s="3">
        <v>514</v>
      </c>
      <c r="B515" s="3" t="s">
        <v>863</v>
      </c>
      <c r="C515" s="3" t="s">
        <v>1721</v>
      </c>
      <c r="D515" s="3" t="s">
        <v>2896</v>
      </c>
    </row>
    <row r="516" customHeight="1" spans="1:4">
      <c r="A516" s="3">
        <v>515</v>
      </c>
      <c r="B516" s="3" t="s">
        <v>864</v>
      </c>
      <c r="C516" s="3" t="s">
        <v>1721</v>
      </c>
      <c r="D516" s="3" t="s">
        <v>2908</v>
      </c>
    </row>
    <row r="517" customHeight="1" spans="1:4">
      <c r="A517" s="3">
        <v>516</v>
      </c>
      <c r="B517" s="3" t="s">
        <v>865</v>
      </c>
      <c r="C517" s="3" t="s">
        <v>1721</v>
      </c>
      <c r="D517" s="3" t="s">
        <v>2896</v>
      </c>
    </row>
    <row r="518" customHeight="1" spans="1:4">
      <c r="A518" s="3">
        <v>517</v>
      </c>
      <c r="B518" s="3" t="s">
        <v>866</v>
      </c>
      <c r="C518" s="3" t="s">
        <v>1721</v>
      </c>
      <c r="D518" s="3" t="s">
        <v>2896</v>
      </c>
    </row>
    <row r="519" customHeight="1" spans="1:4">
      <c r="A519" s="3">
        <v>518</v>
      </c>
      <c r="B519" s="3" t="s">
        <v>867</v>
      </c>
      <c r="C519" s="3" t="s">
        <v>1721</v>
      </c>
      <c r="D519" s="3" t="s">
        <v>2896</v>
      </c>
    </row>
    <row r="520" customHeight="1" spans="1:4">
      <c r="A520" s="3">
        <v>519</v>
      </c>
      <c r="B520" s="3" t="s">
        <v>868</v>
      </c>
      <c r="C520" s="3" t="s">
        <v>1721</v>
      </c>
      <c r="D520" s="3" t="s">
        <v>2896</v>
      </c>
    </row>
    <row r="521" customHeight="1" spans="1:4">
      <c r="A521" s="3">
        <v>520</v>
      </c>
      <c r="B521" s="3" t="s">
        <v>869</v>
      </c>
      <c r="C521" s="3" t="s">
        <v>1721</v>
      </c>
      <c r="D521" s="3" t="s">
        <v>2896</v>
      </c>
    </row>
    <row r="522" customHeight="1" spans="1:4">
      <c r="A522" s="3">
        <v>521</v>
      </c>
      <c r="B522" s="3" t="s">
        <v>870</v>
      </c>
      <c r="C522" s="3" t="s">
        <v>2717</v>
      </c>
      <c r="D522" s="3" t="s">
        <v>2889</v>
      </c>
    </row>
    <row r="523" customHeight="1" spans="1:4">
      <c r="A523" s="3">
        <v>522</v>
      </c>
      <c r="B523" s="3" t="s">
        <v>131</v>
      </c>
      <c r="C523" s="3" t="s">
        <v>1721</v>
      </c>
      <c r="D523" s="3" t="s">
        <v>2893</v>
      </c>
    </row>
    <row r="524" customHeight="1" spans="1:4">
      <c r="A524" s="3">
        <v>523</v>
      </c>
      <c r="B524" s="3" t="s">
        <v>871</v>
      </c>
      <c r="C524" s="3" t="s">
        <v>2946</v>
      </c>
      <c r="D524" s="3" t="s">
        <v>2889</v>
      </c>
    </row>
    <row r="525" customHeight="1" spans="1:4">
      <c r="A525" s="3">
        <v>524</v>
      </c>
      <c r="B525" s="3" t="s">
        <v>872</v>
      </c>
      <c r="C525" s="3" t="s">
        <v>2717</v>
      </c>
      <c r="D525" s="3" t="s">
        <v>2889</v>
      </c>
    </row>
    <row r="526" customHeight="1" spans="1:4">
      <c r="A526" s="3">
        <v>525</v>
      </c>
      <c r="B526" s="3" t="s">
        <v>138</v>
      </c>
      <c r="C526" s="3" t="s">
        <v>1721</v>
      </c>
      <c r="D526" s="3" t="s">
        <v>2889</v>
      </c>
    </row>
    <row r="527" customHeight="1" spans="1:4">
      <c r="A527" s="3">
        <v>526</v>
      </c>
      <c r="B527" s="3" t="s">
        <v>873</v>
      </c>
      <c r="C527" s="3" t="s">
        <v>1721</v>
      </c>
      <c r="D527" s="3" t="s">
        <v>2889</v>
      </c>
    </row>
    <row r="528" customHeight="1" spans="1:4">
      <c r="A528" s="3">
        <v>527</v>
      </c>
      <c r="B528" s="3" t="s">
        <v>874</v>
      </c>
      <c r="C528" s="3" t="s">
        <v>1721</v>
      </c>
      <c r="D528" s="3" t="s">
        <v>2889</v>
      </c>
    </row>
    <row r="529" customHeight="1" spans="1:4">
      <c r="A529" s="3">
        <v>528</v>
      </c>
      <c r="B529" s="3" t="s">
        <v>875</v>
      </c>
      <c r="C529" s="3" t="s">
        <v>2892</v>
      </c>
      <c r="D529" s="3" t="s">
        <v>2889</v>
      </c>
    </row>
    <row r="530" customHeight="1" spans="1:4">
      <c r="A530" s="3">
        <v>529</v>
      </c>
      <c r="B530" s="3" t="s">
        <v>876</v>
      </c>
      <c r="C530" s="3" t="s">
        <v>1721</v>
      </c>
      <c r="D530" s="3" t="s">
        <v>2889</v>
      </c>
    </row>
    <row r="531" customHeight="1" spans="1:4">
      <c r="A531" s="3">
        <v>530</v>
      </c>
      <c r="B531" s="3" t="s">
        <v>877</v>
      </c>
      <c r="C531" s="3" t="s">
        <v>2716</v>
      </c>
      <c r="D531" s="3" t="s">
        <v>2889</v>
      </c>
    </row>
    <row r="532" customHeight="1" spans="1:4">
      <c r="A532" s="3">
        <v>531</v>
      </c>
      <c r="B532" s="3" t="s">
        <v>878</v>
      </c>
      <c r="C532" s="3" t="s">
        <v>1721</v>
      </c>
      <c r="D532" s="3" t="s">
        <v>2908</v>
      </c>
    </row>
    <row r="533" customHeight="1" spans="1:4">
      <c r="A533" s="3">
        <v>532</v>
      </c>
      <c r="B533" s="3" t="s">
        <v>145</v>
      </c>
      <c r="C533" s="3" t="s">
        <v>3022</v>
      </c>
      <c r="D533" s="3" t="s">
        <v>2889</v>
      </c>
    </row>
    <row r="534" customHeight="1" spans="1:4">
      <c r="A534" s="3">
        <v>533</v>
      </c>
      <c r="B534" s="3" t="s">
        <v>879</v>
      </c>
      <c r="C534" s="3" t="s">
        <v>1721</v>
      </c>
      <c r="D534" s="3" t="s">
        <v>2889</v>
      </c>
    </row>
    <row r="535" customHeight="1" spans="1:4">
      <c r="A535" s="3">
        <v>534</v>
      </c>
      <c r="B535" s="3" t="s">
        <v>880</v>
      </c>
      <c r="C535" s="3" t="s">
        <v>1721</v>
      </c>
      <c r="D535" s="3" t="s">
        <v>2908</v>
      </c>
    </row>
    <row r="536" customHeight="1" spans="1:4">
      <c r="A536" s="3">
        <v>535</v>
      </c>
      <c r="B536" s="3" t="s">
        <v>881</v>
      </c>
      <c r="C536" s="3" t="s">
        <v>3022</v>
      </c>
      <c r="D536" s="3" t="s">
        <v>2893</v>
      </c>
    </row>
    <row r="537" customHeight="1" spans="1:4">
      <c r="A537" s="3">
        <v>536</v>
      </c>
      <c r="B537" s="3" t="s">
        <v>882</v>
      </c>
      <c r="C537" s="3" t="s">
        <v>2717</v>
      </c>
      <c r="D537" s="3" t="s">
        <v>2889</v>
      </c>
    </row>
    <row r="538" customHeight="1" spans="1:4">
      <c r="A538" s="3">
        <v>537</v>
      </c>
      <c r="B538" s="3" t="s">
        <v>883</v>
      </c>
      <c r="C538" s="3" t="s">
        <v>1721</v>
      </c>
      <c r="D538" s="3" t="s">
        <v>2896</v>
      </c>
    </row>
    <row r="539" customHeight="1" spans="1:4">
      <c r="A539" s="3">
        <v>538</v>
      </c>
      <c r="B539" s="3" t="s">
        <v>884</v>
      </c>
      <c r="C539" s="3" t="s">
        <v>3003</v>
      </c>
      <c r="D539" s="3" t="s">
        <v>2893</v>
      </c>
    </row>
    <row r="540" customHeight="1" spans="1:4">
      <c r="A540" s="3">
        <v>539</v>
      </c>
      <c r="B540" s="3" t="s">
        <v>885</v>
      </c>
      <c r="C540" s="3" t="s">
        <v>2946</v>
      </c>
      <c r="D540" s="3" t="s">
        <v>2893</v>
      </c>
    </row>
    <row r="541" customHeight="1" spans="1:4">
      <c r="A541" s="3">
        <v>540</v>
      </c>
      <c r="B541" s="3" t="s">
        <v>886</v>
      </c>
      <c r="C541" s="3" t="s">
        <v>1721</v>
      </c>
      <c r="D541" s="3" t="s">
        <v>2889</v>
      </c>
    </row>
    <row r="542" customHeight="1" spans="1:4">
      <c r="A542" s="3">
        <v>541</v>
      </c>
      <c r="B542" s="3" t="s">
        <v>887</v>
      </c>
      <c r="C542" s="3" t="s">
        <v>1721</v>
      </c>
      <c r="D542" s="3" t="s">
        <v>2889</v>
      </c>
    </row>
    <row r="543" customHeight="1" spans="1:4">
      <c r="A543" s="3">
        <v>542</v>
      </c>
      <c r="B543" s="3" t="s">
        <v>888</v>
      </c>
      <c r="C543" s="3" t="s">
        <v>1721</v>
      </c>
      <c r="D543" s="3" t="s">
        <v>2889</v>
      </c>
    </row>
    <row r="544" customHeight="1" spans="1:4">
      <c r="A544" s="3">
        <v>543</v>
      </c>
      <c r="B544" s="3" t="s">
        <v>889</v>
      </c>
      <c r="C544" s="3" t="s">
        <v>1721</v>
      </c>
      <c r="D544" s="3" t="s">
        <v>2889</v>
      </c>
    </row>
    <row r="545" customHeight="1" spans="1:4">
      <c r="A545" s="3">
        <v>544</v>
      </c>
      <c r="B545" s="3" t="s">
        <v>890</v>
      </c>
      <c r="C545" s="3" t="s">
        <v>1721</v>
      </c>
      <c r="D545" s="3" t="s">
        <v>2896</v>
      </c>
    </row>
    <row r="546" customHeight="1" spans="1:4">
      <c r="A546" s="3">
        <v>545</v>
      </c>
      <c r="B546" s="3" t="s">
        <v>891</v>
      </c>
      <c r="C546" s="3" t="s">
        <v>2716</v>
      </c>
      <c r="D546" s="3" t="s">
        <v>2889</v>
      </c>
    </row>
    <row r="547" customHeight="1" spans="1:4">
      <c r="A547" s="3">
        <v>546</v>
      </c>
      <c r="B547" s="3" t="s">
        <v>892</v>
      </c>
      <c r="C547" s="3" t="s">
        <v>1721</v>
      </c>
      <c r="D547" s="3" t="s">
        <v>2889</v>
      </c>
    </row>
    <row r="548" customHeight="1" spans="1:4">
      <c r="A548" s="3">
        <v>547</v>
      </c>
      <c r="B548" s="3" t="s">
        <v>893</v>
      </c>
      <c r="C548" s="3" t="s">
        <v>1721</v>
      </c>
      <c r="D548" s="3" t="s">
        <v>2889</v>
      </c>
    </row>
    <row r="549" customHeight="1" spans="1:4">
      <c r="A549" s="3">
        <v>548</v>
      </c>
      <c r="B549" s="3" t="s">
        <v>894</v>
      </c>
      <c r="C549" s="3" t="s">
        <v>1721</v>
      </c>
      <c r="D549" s="3" t="s">
        <v>2889</v>
      </c>
    </row>
    <row r="550" customHeight="1" spans="1:4">
      <c r="A550" s="3">
        <v>549</v>
      </c>
      <c r="B550" s="3" t="s">
        <v>895</v>
      </c>
      <c r="C550" s="3" t="s">
        <v>2716</v>
      </c>
      <c r="D550" s="3" t="s">
        <v>2889</v>
      </c>
    </row>
    <row r="551" customHeight="1" spans="1:4">
      <c r="A551" s="3">
        <v>550</v>
      </c>
      <c r="B551" s="3" t="s">
        <v>896</v>
      </c>
      <c r="C551" s="3" t="s">
        <v>2716</v>
      </c>
      <c r="D551" s="3" t="s">
        <v>2889</v>
      </c>
    </row>
    <row r="552" customHeight="1" spans="1:4">
      <c r="A552" s="3">
        <v>551</v>
      </c>
      <c r="B552" s="3" t="s">
        <v>897</v>
      </c>
      <c r="C552" s="3" t="s">
        <v>1721</v>
      </c>
      <c r="D552" s="3" t="s">
        <v>2889</v>
      </c>
    </row>
    <row r="553" customHeight="1" spans="1:4">
      <c r="A553" s="3">
        <v>552</v>
      </c>
      <c r="B553" s="3" t="s">
        <v>898</v>
      </c>
      <c r="C553" s="3" t="s">
        <v>3022</v>
      </c>
      <c r="D553" s="3" t="s">
        <v>2893</v>
      </c>
    </row>
    <row r="554" customHeight="1" spans="1:4">
      <c r="A554" s="3">
        <v>553</v>
      </c>
      <c r="B554" s="3" t="s">
        <v>899</v>
      </c>
      <c r="C554" s="3" t="s">
        <v>1721</v>
      </c>
      <c r="D554" s="3" t="s">
        <v>2889</v>
      </c>
    </row>
    <row r="555" customHeight="1" spans="1:4">
      <c r="A555" s="3">
        <v>554</v>
      </c>
      <c r="B555" s="3" t="s">
        <v>900</v>
      </c>
      <c r="C555" s="3" t="s">
        <v>2717</v>
      </c>
      <c r="D555" s="3" t="s">
        <v>2889</v>
      </c>
    </row>
    <row r="556" customHeight="1" spans="1:4">
      <c r="A556" s="3">
        <v>555</v>
      </c>
      <c r="B556" s="3" t="s">
        <v>901</v>
      </c>
      <c r="C556" s="3" t="s">
        <v>1721</v>
      </c>
      <c r="D556" s="3" t="s">
        <v>2889</v>
      </c>
    </row>
    <row r="557" customHeight="1" spans="1:4">
      <c r="A557" s="3">
        <v>556</v>
      </c>
      <c r="B557" s="3" t="s">
        <v>902</v>
      </c>
      <c r="C557" s="3" t="s">
        <v>1721</v>
      </c>
      <c r="D557" s="3" t="s">
        <v>2889</v>
      </c>
    </row>
    <row r="558" customHeight="1" spans="1:4">
      <c r="A558" s="3">
        <v>557</v>
      </c>
      <c r="B558" s="3" t="s">
        <v>903</v>
      </c>
      <c r="C558" s="3" t="s">
        <v>1721</v>
      </c>
      <c r="D558" s="3" t="s">
        <v>2889</v>
      </c>
    </row>
    <row r="559" customHeight="1" spans="1:4">
      <c r="A559" s="3">
        <v>558</v>
      </c>
      <c r="B559" s="3" t="s">
        <v>904</v>
      </c>
      <c r="C559" s="3" t="s">
        <v>1721</v>
      </c>
      <c r="D559" s="3" t="s">
        <v>2889</v>
      </c>
    </row>
    <row r="560" customHeight="1" spans="1:4">
      <c r="A560" s="3">
        <v>559</v>
      </c>
      <c r="B560" s="3" t="s">
        <v>905</v>
      </c>
      <c r="C560" s="3" t="s">
        <v>3234</v>
      </c>
      <c r="D560" s="3" t="s">
        <v>2889</v>
      </c>
    </row>
    <row r="561" customHeight="1" spans="1:4">
      <c r="A561" s="3">
        <v>560</v>
      </c>
      <c r="B561" s="3" t="s">
        <v>906</v>
      </c>
      <c r="C561" s="3" t="s">
        <v>2892</v>
      </c>
      <c r="D561" s="3" t="s">
        <v>2893</v>
      </c>
    </row>
    <row r="562" customHeight="1" spans="1:4">
      <c r="A562" s="3">
        <v>561</v>
      </c>
      <c r="B562" s="3" t="s">
        <v>907</v>
      </c>
      <c r="C562" s="3" t="s">
        <v>1721</v>
      </c>
      <c r="D562" s="3" t="s">
        <v>2889</v>
      </c>
    </row>
    <row r="563" customHeight="1" spans="1:4">
      <c r="A563" s="3">
        <v>562</v>
      </c>
      <c r="B563" s="3" t="s">
        <v>908</v>
      </c>
      <c r="C563" s="3" t="s">
        <v>1721</v>
      </c>
      <c r="D563" s="3" t="s">
        <v>2889</v>
      </c>
    </row>
    <row r="564" customHeight="1" spans="1:4">
      <c r="A564" s="3">
        <v>563</v>
      </c>
      <c r="B564" s="3" t="s">
        <v>909</v>
      </c>
      <c r="C564" s="3" t="s">
        <v>1721</v>
      </c>
      <c r="D564" s="3" t="s">
        <v>2889</v>
      </c>
    </row>
    <row r="565" customHeight="1" spans="1:4">
      <c r="A565" s="3">
        <v>564</v>
      </c>
      <c r="B565" s="3" t="s">
        <v>910</v>
      </c>
      <c r="C565" s="3" t="s">
        <v>1721</v>
      </c>
      <c r="D565" s="3" t="s">
        <v>2889</v>
      </c>
    </row>
    <row r="566" customHeight="1" spans="1:4">
      <c r="A566" s="3">
        <v>565</v>
      </c>
      <c r="B566" s="3" t="s">
        <v>911</v>
      </c>
      <c r="C566" s="3" t="s">
        <v>3003</v>
      </c>
      <c r="D566" s="3" t="s">
        <v>2889</v>
      </c>
    </row>
    <row r="567" customHeight="1" spans="1:4">
      <c r="A567" s="3">
        <v>566</v>
      </c>
      <c r="B567" s="3" t="s">
        <v>912</v>
      </c>
      <c r="C567" s="3" t="s">
        <v>1721</v>
      </c>
      <c r="D567" s="3" t="s">
        <v>2889</v>
      </c>
    </row>
    <row r="568" customHeight="1" spans="1:4">
      <c r="A568" s="3">
        <v>567</v>
      </c>
      <c r="B568" s="3" t="s">
        <v>913</v>
      </c>
      <c r="C568" s="3" t="s">
        <v>1721</v>
      </c>
      <c r="D568" s="3" t="s">
        <v>2889</v>
      </c>
    </row>
    <row r="569" customHeight="1" spans="1:4">
      <c r="A569" s="3">
        <v>568</v>
      </c>
      <c r="B569" s="3" t="s">
        <v>152</v>
      </c>
      <c r="C569" s="3" t="s">
        <v>1721</v>
      </c>
      <c r="D569" s="3" t="s">
        <v>2889</v>
      </c>
    </row>
    <row r="570" customHeight="1" spans="1:4">
      <c r="A570" s="3">
        <v>569</v>
      </c>
      <c r="B570" s="3" t="s">
        <v>914</v>
      </c>
      <c r="C570" s="3" t="s">
        <v>1721</v>
      </c>
      <c r="D570" s="3" t="s">
        <v>2889</v>
      </c>
    </row>
    <row r="571" customHeight="1" spans="1:4">
      <c r="A571" s="3">
        <v>570</v>
      </c>
      <c r="B571" s="3" t="s">
        <v>915</v>
      </c>
      <c r="C571" s="3" t="s">
        <v>1721</v>
      </c>
      <c r="D571" s="3" t="s">
        <v>2889</v>
      </c>
    </row>
    <row r="572" customHeight="1" spans="1:4">
      <c r="A572" s="3">
        <v>571</v>
      </c>
      <c r="B572" s="3" t="s">
        <v>916</v>
      </c>
      <c r="C572" s="3" t="s">
        <v>1721</v>
      </c>
      <c r="D572" s="3" t="s">
        <v>2889</v>
      </c>
    </row>
    <row r="573" customHeight="1" spans="1:4">
      <c r="A573" s="3">
        <v>572</v>
      </c>
      <c r="B573" s="3" t="s">
        <v>917</v>
      </c>
      <c r="C573" s="3" t="s">
        <v>1721</v>
      </c>
      <c r="D573" s="3" t="s">
        <v>2889</v>
      </c>
    </row>
    <row r="574" customHeight="1" spans="1:4">
      <c r="A574" s="3">
        <v>573</v>
      </c>
      <c r="B574" s="3" t="s">
        <v>918</v>
      </c>
      <c r="C574" s="3" t="s">
        <v>1721</v>
      </c>
      <c r="D574" s="3" t="s">
        <v>2889</v>
      </c>
    </row>
    <row r="575" customHeight="1" spans="1:4">
      <c r="A575" s="3">
        <v>574</v>
      </c>
      <c r="B575" s="3" t="s">
        <v>919</v>
      </c>
      <c r="C575" s="3" t="s">
        <v>1721</v>
      </c>
      <c r="D575" s="3" t="s">
        <v>2896</v>
      </c>
    </row>
    <row r="576" customHeight="1" spans="1:4">
      <c r="A576" s="3">
        <v>575</v>
      </c>
      <c r="B576" s="3" t="s">
        <v>920</v>
      </c>
      <c r="C576" s="3" t="s">
        <v>1721</v>
      </c>
      <c r="D576" s="3" t="s">
        <v>2889</v>
      </c>
    </row>
    <row r="577" customHeight="1" spans="1:4">
      <c r="A577" s="3">
        <v>576</v>
      </c>
      <c r="B577" s="3" t="s">
        <v>921</v>
      </c>
      <c r="C577" s="3" t="s">
        <v>2717</v>
      </c>
      <c r="D577" s="3" t="s">
        <v>2889</v>
      </c>
    </row>
    <row r="578" customHeight="1" spans="1:4">
      <c r="A578" s="3">
        <v>577</v>
      </c>
      <c r="B578" s="3" t="s">
        <v>922</v>
      </c>
      <c r="C578" s="3" t="s">
        <v>2716</v>
      </c>
      <c r="D578" s="3" t="s">
        <v>2889</v>
      </c>
    </row>
    <row r="579" customHeight="1" spans="1:4">
      <c r="A579" s="3">
        <v>578</v>
      </c>
      <c r="B579" s="3" t="s">
        <v>923</v>
      </c>
      <c r="C579" s="3" t="s">
        <v>1721</v>
      </c>
      <c r="D579" s="3" t="s">
        <v>2889</v>
      </c>
    </row>
    <row r="580" customHeight="1" spans="1:4">
      <c r="A580" s="3">
        <v>579</v>
      </c>
      <c r="B580" s="3" t="s">
        <v>924</v>
      </c>
      <c r="C580" s="3" t="s">
        <v>2716</v>
      </c>
      <c r="D580" s="3" t="s">
        <v>2889</v>
      </c>
    </row>
    <row r="581" customHeight="1" spans="1:4">
      <c r="A581" s="3">
        <v>580</v>
      </c>
      <c r="B581" s="3" t="s">
        <v>925</v>
      </c>
      <c r="C581" s="3" t="s">
        <v>2716</v>
      </c>
      <c r="D581" s="3" t="s">
        <v>2889</v>
      </c>
    </row>
    <row r="582" customHeight="1" spans="1:4">
      <c r="A582" s="3">
        <v>581</v>
      </c>
      <c r="B582" s="3" t="s">
        <v>926</v>
      </c>
      <c r="C582" s="3" t="s">
        <v>2892</v>
      </c>
      <c r="D582" s="3" t="s">
        <v>2908</v>
      </c>
    </row>
    <row r="583" customHeight="1" spans="1:4">
      <c r="A583" s="3">
        <v>582</v>
      </c>
      <c r="B583" s="3" t="s">
        <v>927</v>
      </c>
      <c r="C583" s="3" t="s">
        <v>1721</v>
      </c>
      <c r="D583" s="3" t="s">
        <v>2908</v>
      </c>
    </row>
    <row r="584" customHeight="1" spans="1:4">
      <c r="A584" s="3">
        <v>583</v>
      </c>
      <c r="B584" s="3" t="s">
        <v>928</v>
      </c>
      <c r="C584" s="3" t="s">
        <v>2717</v>
      </c>
      <c r="D584" s="3" t="s">
        <v>2899</v>
      </c>
    </row>
    <row r="585" customHeight="1" spans="1:4">
      <c r="A585" s="3">
        <v>584</v>
      </c>
      <c r="B585" s="3" t="s">
        <v>929</v>
      </c>
      <c r="C585" s="3" t="s">
        <v>1721</v>
      </c>
      <c r="D585" s="3" t="s">
        <v>2908</v>
      </c>
    </row>
    <row r="586" customHeight="1" spans="1:4">
      <c r="A586" s="3">
        <v>585</v>
      </c>
      <c r="B586" s="3" t="s">
        <v>930</v>
      </c>
      <c r="C586" s="3" t="s">
        <v>1721</v>
      </c>
      <c r="D586" s="3" t="s">
        <v>2889</v>
      </c>
    </row>
    <row r="587" customHeight="1" spans="1:4">
      <c r="A587" s="3">
        <v>586</v>
      </c>
      <c r="B587" s="3" t="s">
        <v>159</v>
      </c>
      <c r="C587" s="3" t="s">
        <v>1721</v>
      </c>
      <c r="D587" s="3" t="s">
        <v>2889</v>
      </c>
    </row>
    <row r="588" customHeight="1" spans="1:4">
      <c r="A588" s="3">
        <v>587</v>
      </c>
      <c r="B588" s="3" t="s">
        <v>931</v>
      </c>
      <c r="C588" s="3" t="s">
        <v>1638</v>
      </c>
      <c r="D588" s="3" t="s">
        <v>2908</v>
      </c>
    </row>
    <row r="589" customHeight="1" spans="1:4">
      <c r="A589" s="3">
        <v>588</v>
      </c>
      <c r="B589" s="3" t="s">
        <v>932</v>
      </c>
      <c r="C589" s="3" t="s">
        <v>1721</v>
      </c>
      <c r="D589" s="3" t="s">
        <v>2899</v>
      </c>
    </row>
    <row r="590" customHeight="1" spans="1:4">
      <c r="A590" s="3">
        <v>589</v>
      </c>
      <c r="B590" s="3" t="s">
        <v>933</v>
      </c>
      <c r="C590" s="3" t="s">
        <v>2716</v>
      </c>
      <c r="D590" s="3" t="s">
        <v>2947</v>
      </c>
    </row>
    <row r="591" customHeight="1" spans="1:4">
      <c r="A591" s="3">
        <v>590</v>
      </c>
      <c r="B591" s="3" t="s">
        <v>934</v>
      </c>
      <c r="C591" s="3" t="s">
        <v>2717</v>
      </c>
      <c r="D591" s="3" t="s">
        <v>2889</v>
      </c>
    </row>
    <row r="592" customHeight="1" spans="1:4">
      <c r="A592" s="3">
        <v>591</v>
      </c>
      <c r="B592" s="3" t="s">
        <v>935</v>
      </c>
      <c r="C592" s="3" t="s">
        <v>2898</v>
      </c>
      <c r="D592" s="3" t="s">
        <v>2908</v>
      </c>
    </row>
    <row r="593" customHeight="1" spans="1:4">
      <c r="A593" s="3">
        <v>592</v>
      </c>
      <c r="B593" s="3" t="s">
        <v>936</v>
      </c>
      <c r="C593" s="3" t="s">
        <v>1721</v>
      </c>
      <c r="D593" s="3" t="s">
        <v>2896</v>
      </c>
    </row>
    <row r="594" customHeight="1" spans="1:4">
      <c r="A594" s="3">
        <v>593</v>
      </c>
      <c r="B594" s="3" t="s">
        <v>937</v>
      </c>
      <c r="C594" s="3" t="s">
        <v>2892</v>
      </c>
      <c r="D594" s="3" t="s">
        <v>2896</v>
      </c>
    </row>
    <row r="595" customHeight="1" spans="1:4">
      <c r="A595" s="3">
        <v>594</v>
      </c>
      <c r="B595" s="3" t="s">
        <v>938</v>
      </c>
      <c r="C595" s="3" t="s">
        <v>2717</v>
      </c>
      <c r="D595" s="3" t="s">
        <v>2889</v>
      </c>
    </row>
    <row r="596" customHeight="1" spans="1:4">
      <c r="A596" s="3">
        <v>595</v>
      </c>
      <c r="B596" s="3" t="s">
        <v>939</v>
      </c>
      <c r="C596" s="3" t="s">
        <v>2946</v>
      </c>
      <c r="D596" s="3" t="s">
        <v>2889</v>
      </c>
    </row>
    <row r="597" customHeight="1" spans="1:4">
      <c r="A597" s="3">
        <v>596</v>
      </c>
      <c r="B597" s="3" t="s">
        <v>940</v>
      </c>
      <c r="C597" s="3" t="s">
        <v>2946</v>
      </c>
      <c r="D597" s="3" t="s">
        <v>2889</v>
      </c>
    </row>
    <row r="598" customHeight="1" spans="1:4">
      <c r="A598" s="3">
        <v>597</v>
      </c>
      <c r="B598" s="3" t="s">
        <v>941</v>
      </c>
      <c r="C598" s="3" t="s">
        <v>2946</v>
      </c>
      <c r="D598" s="3" t="s">
        <v>2889</v>
      </c>
    </row>
    <row r="599" customHeight="1" spans="1:4">
      <c r="A599" s="3">
        <v>598</v>
      </c>
      <c r="B599" s="3" t="s">
        <v>942</v>
      </c>
      <c r="C599" s="3" t="s">
        <v>1721</v>
      </c>
      <c r="D599" s="3" t="s">
        <v>2908</v>
      </c>
    </row>
    <row r="600" customHeight="1" spans="1:4">
      <c r="A600" s="3">
        <v>599</v>
      </c>
      <c r="B600" s="3" t="s">
        <v>943</v>
      </c>
      <c r="C600" s="3" t="s">
        <v>2946</v>
      </c>
      <c r="D600" s="3" t="s">
        <v>2908</v>
      </c>
    </row>
    <row r="601" customHeight="1" spans="1:4">
      <c r="A601" s="3">
        <v>600</v>
      </c>
      <c r="B601" s="3" t="s">
        <v>944</v>
      </c>
      <c r="C601" s="3" t="s">
        <v>3003</v>
      </c>
      <c r="D601" s="3" t="s">
        <v>2889</v>
      </c>
    </row>
    <row r="602" customHeight="1" spans="1:4">
      <c r="A602" s="3">
        <v>601</v>
      </c>
      <c r="B602" s="3" t="s">
        <v>945</v>
      </c>
      <c r="C602" s="3" t="s">
        <v>1721</v>
      </c>
      <c r="D602" s="3" t="s">
        <v>2921</v>
      </c>
    </row>
    <row r="603" customHeight="1" spans="1:4">
      <c r="A603" s="3">
        <v>602</v>
      </c>
      <c r="B603" s="3" t="s">
        <v>946</v>
      </c>
      <c r="C603" s="3" t="s">
        <v>1721</v>
      </c>
      <c r="D603" s="3" t="s">
        <v>2908</v>
      </c>
    </row>
    <row r="604" customHeight="1" spans="1:4">
      <c r="A604" s="3">
        <v>603</v>
      </c>
      <c r="B604" s="3" t="s">
        <v>947</v>
      </c>
      <c r="C604" s="3" t="s">
        <v>1721</v>
      </c>
      <c r="D604" s="3" t="s">
        <v>2889</v>
      </c>
    </row>
    <row r="605" customHeight="1" spans="1:4">
      <c r="A605" s="3">
        <v>604</v>
      </c>
      <c r="B605" s="3" t="s">
        <v>948</v>
      </c>
      <c r="C605" s="3" t="s">
        <v>2716</v>
      </c>
      <c r="D605" s="3" t="s">
        <v>2889</v>
      </c>
    </row>
    <row r="606" customHeight="1" spans="1:4">
      <c r="A606" s="3">
        <v>605</v>
      </c>
      <c r="B606" s="3" t="s">
        <v>949</v>
      </c>
      <c r="C606" s="3" t="s">
        <v>2717</v>
      </c>
      <c r="D606" s="3" t="s">
        <v>2911</v>
      </c>
    </row>
    <row r="607" customHeight="1" spans="1:4">
      <c r="A607" s="3">
        <v>606</v>
      </c>
      <c r="B607" s="3" t="s">
        <v>950</v>
      </c>
      <c r="C607" s="3" t="s">
        <v>2946</v>
      </c>
      <c r="D607" s="3" t="s">
        <v>2896</v>
      </c>
    </row>
    <row r="608" customHeight="1" spans="1:4">
      <c r="A608" s="3">
        <v>607</v>
      </c>
      <c r="B608" s="3" t="s">
        <v>951</v>
      </c>
      <c r="C608" s="3" t="s">
        <v>1721</v>
      </c>
      <c r="D608" s="3" t="s">
        <v>2899</v>
      </c>
    </row>
    <row r="609" customHeight="1" spans="1:4">
      <c r="A609" s="3">
        <v>608</v>
      </c>
      <c r="B609" s="3" t="s">
        <v>952</v>
      </c>
      <c r="C609" s="3" t="s">
        <v>1721</v>
      </c>
      <c r="D609" s="3" t="s">
        <v>2899</v>
      </c>
    </row>
    <row r="610" customHeight="1" spans="1:4">
      <c r="A610" s="3">
        <v>609</v>
      </c>
      <c r="B610" s="3" t="s">
        <v>953</v>
      </c>
      <c r="C610" s="3" t="s">
        <v>1721</v>
      </c>
      <c r="D610" s="3" t="s">
        <v>2889</v>
      </c>
    </row>
    <row r="611" customHeight="1" spans="1:4">
      <c r="A611" s="3">
        <v>610</v>
      </c>
      <c r="B611" s="3" t="s">
        <v>954</v>
      </c>
      <c r="C611" s="3" t="s">
        <v>1721</v>
      </c>
      <c r="D611" s="3" t="s">
        <v>2896</v>
      </c>
    </row>
    <row r="612" customHeight="1" spans="1:4">
      <c r="A612" s="3">
        <v>611</v>
      </c>
      <c r="B612" s="3" t="s">
        <v>955</v>
      </c>
      <c r="C612" s="3" t="s">
        <v>1721</v>
      </c>
      <c r="D612" s="3" t="s">
        <v>2921</v>
      </c>
    </row>
    <row r="613" customHeight="1" spans="1:4">
      <c r="A613" s="3">
        <v>612</v>
      </c>
      <c r="B613" s="3" t="s">
        <v>956</v>
      </c>
      <c r="C613" s="3" t="s">
        <v>1721</v>
      </c>
      <c r="D613" s="3" t="s">
        <v>2921</v>
      </c>
    </row>
    <row r="614" customHeight="1" spans="1:4">
      <c r="A614" s="3">
        <v>613</v>
      </c>
      <c r="B614" s="3" t="s">
        <v>957</v>
      </c>
      <c r="C614" s="3" t="s">
        <v>2946</v>
      </c>
      <c r="D614" s="3" t="s">
        <v>2921</v>
      </c>
    </row>
    <row r="615" customHeight="1" spans="1:4">
      <c r="A615" s="3">
        <v>614</v>
      </c>
      <c r="B615" s="3" t="s">
        <v>958</v>
      </c>
      <c r="C615" s="3" t="s">
        <v>2946</v>
      </c>
      <c r="D615" s="3" t="s">
        <v>2921</v>
      </c>
    </row>
    <row r="616" customHeight="1" spans="1:4">
      <c r="A616" s="3">
        <v>615</v>
      </c>
      <c r="B616" s="3" t="s">
        <v>959</v>
      </c>
      <c r="C616" s="3" t="s">
        <v>1721</v>
      </c>
      <c r="D616" s="3" t="s">
        <v>2896</v>
      </c>
    </row>
    <row r="617" customHeight="1" spans="1:4">
      <c r="A617" s="3">
        <v>616</v>
      </c>
      <c r="B617" s="3" t="s">
        <v>960</v>
      </c>
      <c r="C617" s="3" t="s">
        <v>1721</v>
      </c>
      <c r="D617" s="3" t="s">
        <v>2889</v>
      </c>
    </row>
    <row r="618" customHeight="1" spans="1:4">
      <c r="A618" s="3">
        <v>617</v>
      </c>
      <c r="B618" s="3" t="s">
        <v>961</v>
      </c>
      <c r="C618" s="3" t="s">
        <v>2716</v>
      </c>
      <c r="D618" s="3" t="s">
        <v>2921</v>
      </c>
    </row>
    <row r="619" customHeight="1" spans="1:4">
      <c r="A619" s="3">
        <v>618</v>
      </c>
      <c r="B619" s="3" t="s">
        <v>962</v>
      </c>
      <c r="C619" s="3" t="s">
        <v>1721</v>
      </c>
      <c r="D619" s="3" t="s">
        <v>2908</v>
      </c>
    </row>
    <row r="620" customHeight="1" spans="1:4">
      <c r="A620" s="3">
        <v>619</v>
      </c>
      <c r="B620" s="3" t="s">
        <v>963</v>
      </c>
      <c r="C620" s="3" t="s">
        <v>1721</v>
      </c>
      <c r="D620" s="3" t="s">
        <v>2908</v>
      </c>
    </row>
    <row r="621" customHeight="1" spans="1:4">
      <c r="A621" s="3">
        <v>620</v>
      </c>
      <c r="B621" s="3" t="s">
        <v>964</v>
      </c>
      <c r="C621" s="3" t="s">
        <v>2892</v>
      </c>
      <c r="D621" s="3" t="s">
        <v>2908</v>
      </c>
    </row>
    <row r="622" customHeight="1" spans="1:4">
      <c r="A622" s="3">
        <v>621</v>
      </c>
      <c r="B622" s="3" t="s">
        <v>965</v>
      </c>
      <c r="C622" s="3" t="s">
        <v>1721</v>
      </c>
      <c r="D622" s="3" t="s">
        <v>2908</v>
      </c>
    </row>
    <row r="623" customHeight="1" spans="1:4">
      <c r="A623" s="3">
        <v>622</v>
      </c>
      <c r="B623" s="3" t="s">
        <v>966</v>
      </c>
      <c r="C623" s="3" t="s">
        <v>1721</v>
      </c>
      <c r="D623" s="3" t="s">
        <v>2908</v>
      </c>
    </row>
    <row r="624" customHeight="1" spans="1:4">
      <c r="A624" s="3">
        <v>623</v>
      </c>
      <c r="B624" s="3" t="s">
        <v>967</v>
      </c>
      <c r="C624" s="3" t="s">
        <v>1721</v>
      </c>
      <c r="D624" s="3" t="s">
        <v>2908</v>
      </c>
    </row>
    <row r="625" customHeight="1" spans="1:4">
      <c r="A625" s="3">
        <v>624</v>
      </c>
      <c r="B625" s="3" t="s">
        <v>968</v>
      </c>
      <c r="C625" s="3" t="s">
        <v>1721</v>
      </c>
      <c r="D625" s="3" t="s">
        <v>2889</v>
      </c>
    </row>
    <row r="626" customHeight="1" spans="1:4">
      <c r="A626" s="3">
        <v>625</v>
      </c>
      <c r="B626" s="3" t="s">
        <v>969</v>
      </c>
      <c r="C626" s="3" t="s">
        <v>1721</v>
      </c>
      <c r="D626" s="3" t="s">
        <v>2908</v>
      </c>
    </row>
    <row r="627" customHeight="1" spans="1:4">
      <c r="A627" s="3">
        <v>626</v>
      </c>
      <c r="B627" s="3" t="s">
        <v>970</v>
      </c>
      <c r="C627" s="3" t="s">
        <v>1721</v>
      </c>
      <c r="D627" s="3" t="s">
        <v>2908</v>
      </c>
    </row>
    <row r="628" customHeight="1" spans="1:4">
      <c r="A628" s="3">
        <v>627</v>
      </c>
      <c r="B628" s="3" t="s">
        <v>971</v>
      </c>
      <c r="C628" s="3" t="s">
        <v>2717</v>
      </c>
      <c r="D628" s="3" t="s">
        <v>2889</v>
      </c>
    </row>
    <row r="629" customHeight="1" spans="1:4">
      <c r="A629" s="3">
        <v>628</v>
      </c>
      <c r="B629" s="3" t="s">
        <v>972</v>
      </c>
      <c r="C629" s="3" t="s">
        <v>1721</v>
      </c>
      <c r="D629" s="3" t="s">
        <v>2889</v>
      </c>
    </row>
    <row r="630" customHeight="1" spans="1:4">
      <c r="A630" s="3">
        <v>629</v>
      </c>
      <c r="B630" s="3" t="s">
        <v>973</v>
      </c>
      <c r="C630" s="3" t="s">
        <v>1721</v>
      </c>
      <c r="D630" s="3" t="s">
        <v>2908</v>
      </c>
    </row>
    <row r="631" customHeight="1" spans="1:4">
      <c r="A631" s="3">
        <v>630</v>
      </c>
      <c r="B631" s="3" t="s">
        <v>974</v>
      </c>
      <c r="C631" s="3" t="s">
        <v>2716</v>
      </c>
      <c r="D631" s="3" t="s">
        <v>2889</v>
      </c>
    </row>
    <row r="632" customHeight="1" spans="1:4">
      <c r="A632" s="3">
        <v>631</v>
      </c>
      <c r="B632" s="3" t="s">
        <v>975</v>
      </c>
      <c r="C632" s="3" t="s">
        <v>2898</v>
      </c>
      <c r="D632" s="3" t="s">
        <v>2899</v>
      </c>
    </row>
    <row r="633" customHeight="1" spans="1:4">
      <c r="A633" s="3">
        <v>632</v>
      </c>
      <c r="B633" s="3" t="s">
        <v>976</v>
      </c>
      <c r="C633" s="3" t="s">
        <v>1721</v>
      </c>
      <c r="D633" s="3" t="s">
        <v>2899</v>
      </c>
    </row>
    <row r="634" customHeight="1" spans="1:4">
      <c r="A634" s="3">
        <v>633</v>
      </c>
      <c r="B634" s="3" t="s">
        <v>977</v>
      </c>
      <c r="C634" s="3" t="s">
        <v>2946</v>
      </c>
      <c r="D634" s="3" t="s">
        <v>2889</v>
      </c>
    </row>
    <row r="635" customHeight="1" spans="1:4">
      <c r="A635" s="3">
        <v>634</v>
      </c>
      <c r="B635" s="3" t="s">
        <v>978</v>
      </c>
      <c r="C635" s="3" t="s">
        <v>1638</v>
      </c>
      <c r="D635" s="3" t="s">
        <v>2908</v>
      </c>
    </row>
    <row r="636" customHeight="1" spans="1:4">
      <c r="A636" s="3">
        <v>635</v>
      </c>
      <c r="B636" s="3" t="s">
        <v>979</v>
      </c>
      <c r="C636" s="3" t="s">
        <v>2892</v>
      </c>
      <c r="D636" s="3" t="s">
        <v>2896</v>
      </c>
    </row>
    <row r="637" customHeight="1" spans="1:4">
      <c r="A637" s="3">
        <v>636</v>
      </c>
      <c r="B637" s="3" t="s">
        <v>980</v>
      </c>
      <c r="C637" s="3" t="s">
        <v>2716</v>
      </c>
      <c r="D637" s="3" t="s">
        <v>2889</v>
      </c>
    </row>
    <row r="638" customHeight="1" spans="1:4">
      <c r="A638" s="3">
        <v>637</v>
      </c>
      <c r="B638" s="3" t="s">
        <v>981</v>
      </c>
      <c r="C638" s="3" t="s">
        <v>1721</v>
      </c>
      <c r="D638" s="3" t="s">
        <v>2889</v>
      </c>
    </row>
    <row r="639" customHeight="1" spans="1:4">
      <c r="A639" s="3">
        <v>638</v>
      </c>
      <c r="B639" s="3" t="s">
        <v>982</v>
      </c>
      <c r="C639" s="3" t="s">
        <v>2717</v>
      </c>
      <c r="D639" s="3" t="s">
        <v>2908</v>
      </c>
    </row>
    <row r="640" customHeight="1" spans="1:4">
      <c r="A640" s="3">
        <v>639</v>
      </c>
      <c r="B640" s="3" t="s">
        <v>983</v>
      </c>
      <c r="C640" s="3" t="s">
        <v>2892</v>
      </c>
      <c r="D640" s="3" t="s">
        <v>2889</v>
      </c>
    </row>
    <row r="641" customHeight="1" spans="1:4">
      <c r="A641" s="3">
        <v>640</v>
      </c>
      <c r="B641" s="3" t="s">
        <v>984</v>
      </c>
      <c r="C641" s="3" t="s">
        <v>1721</v>
      </c>
      <c r="D641" s="3" t="s">
        <v>2889</v>
      </c>
    </row>
    <row r="642" customHeight="1" spans="1:4">
      <c r="A642" s="3">
        <v>641</v>
      </c>
      <c r="B642" s="3" t="s">
        <v>985</v>
      </c>
      <c r="C642" s="3" t="s">
        <v>1721</v>
      </c>
      <c r="D642" s="3" t="s">
        <v>2889</v>
      </c>
    </row>
    <row r="643" customHeight="1" spans="1:4">
      <c r="A643" s="3">
        <v>642</v>
      </c>
      <c r="B643" s="3" t="s">
        <v>986</v>
      </c>
      <c r="C643" s="3" t="s">
        <v>1721</v>
      </c>
      <c r="D643" s="3" t="s">
        <v>2889</v>
      </c>
    </row>
    <row r="644" customHeight="1" spans="1:4">
      <c r="A644" s="3">
        <v>643</v>
      </c>
      <c r="B644" s="3" t="s">
        <v>987</v>
      </c>
      <c r="C644" s="3" t="s">
        <v>1721</v>
      </c>
      <c r="D644" s="3" t="s">
        <v>2889</v>
      </c>
    </row>
    <row r="645" customHeight="1" spans="1:4">
      <c r="A645" s="3">
        <v>644</v>
      </c>
      <c r="B645" s="3" t="s">
        <v>988</v>
      </c>
      <c r="C645" s="3" t="s">
        <v>3003</v>
      </c>
      <c r="D645" s="3" t="s">
        <v>2911</v>
      </c>
    </row>
    <row r="646" customHeight="1" spans="1:4">
      <c r="A646" s="3">
        <v>645</v>
      </c>
      <c r="B646" s="3" t="s">
        <v>989</v>
      </c>
      <c r="C646" s="3" t="s">
        <v>3003</v>
      </c>
      <c r="D646" s="3" t="s">
        <v>2908</v>
      </c>
    </row>
    <row r="647" customHeight="1" spans="1:4">
      <c r="A647" s="3">
        <v>646</v>
      </c>
      <c r="B647" s="3" t="s">
        <v>990</v>
      </c>
      <c r="C647" s="3" t="s">
        <v>1721</v>
      </c>
      <c r="D647" s="3" t="s">
        <v>3019</v>
      </c>
    </row>
    <row r="648" customHeight="1" spans="1:4">
      <c r="A648" s="3">
        <v>647</v>
      </c>
      <c r="B648" s="3" t="s">
        <v>991</v>
      </c>
      <c r="C648" s="3" t="s">
        <v>1721</v>
      </c>
      <c r="D648" s="3" t="s">
        <v>2908</v>
      </c>
    </row>
    <row r="649" customHeight="1" spans="1:4">
      <c r="A649" s="3">
        <v>648</v>
      </c>
      <c r="B649" s="3" t="s">
        <v>166</v>
      </c>
      <c r="C649" s="3" t="s">
        <v>1638</v>
      </c>
      <c r="D649" s="3" t="s">
        <v>2889</v>
      </c>
    </row>
    <row r="650" customHeight="1" spans="1:4">
      <c r="A650" s="3">
        <v>649</v>
      </c>
      <c r="B650" s="3" t="s">
        <v>992</v>
      </c>
      <c r="C650" s="3" t="s">
        <v>1721</v>
      </c>
      <c r="D650" s="3" t="s">
        <v>2911</v>
      </c>
    </row>
    <row r="651" customHeight="1" spans="1:4">
      <c r="A651" s="3">
        <v>650</v>
      </c>
      <c r="B651" s="3" t="s">
        <v>993</v>
      </c>
      <c r="C651" s="3" t="s">
        <v>2892</v>
      </c>
      <c r="D651" s="3" t="s">
        <v>2921</v>
      </c>
    </row>
    <row r="652" customHeight="1" spans="1:4">
      <c r="A652" s="3">
        <v>651</v>
      </c>
      <c r="B652" s="3" t="s">
        <v>994</v>
      </c>
      <c r="C652" s="3" t="s">
        <v>1721</v>
      </c>
      <c r="D652" s="3" t="s">
        <v>2893</v>
      </c>
    </row>
    <row r="653" customHeight="1" spans="1:4">
      <c r="A653" s="3">
        <v>652</v>
      </c>
      <c r="B653" s="3" t="s">
        <v>995</v>
      </c>
      <c r="C653" s="3" t="s">
        <v>1721</v>
      </c>
      <c r="D653" s="3" t="s">
        <v>2889</v>
      </c>
    </row>
    <row r="654" customHeight="1" spans="1:4">
      <c r="A654" s="3">
        <v>653</v>
      </c>
      <c r="B654" s="3" t="s">
        <v>996</v>
      </c>
      <c r="C654" s="3" t="s">
        <v>2946</v>
      </c>
      <c r="D654" s="3" t="s">
        <v>2921</v>
      </c>
    </row>
    <row r="655" customHeight="1" spans="1:4">
      <c r="A655" s="3">
        <v>654</v>
      </c>
      <c r="B655" s="3" t="s">
        <v>997</v>
      </c>
      <c r="C655" s="3" t="s">
        <v>3003</v>
      </c>
      <c r="D655" s="3" t="s">
        <v>2969</v>
      </c>
    </row>
    <row r="656" customHeight="1" spans="1:4">
      <c r="A656" s="3">
        <v>655</v>
      </c>
      <c r="B656" s="3" t="s">
        <v>998</v>
      </c>
      <c r="C656" s="3" t="s">
        <v>2946</v>
      </c>
      <c r="D656" s="3" t="s">
        <v>2921</v>
      </c>
    </row>
    <row r="657" customHeight="1" spans="1:4">
      <c r="A657" s="3">
        <v>656</v>
      </c>
      <c r="B657" s="3" t="s">
        <v>999</v>
      </c>
      <c r="C657" s="3" t="s">
        <v>2892</v>
      </c>
      <c r="D657" s="3" t="s">
        <v>2889</v>
      </c>
    </row>
    <row r="658" customHeight="1" spans="1:4">
      <c r="A658" s="3">
        <v>657</v>
      </c>
      <c r="B658" s="3" t="s">
        <v>1000</v>
      </c>
      <c r="C658" s="3" t="s">
        <v>2946</v>
      </c>
      <c r="D658" s="3" t="s">
        <v>2899</v>
      </c>
    </row>
    <row r="659" customHeight="1" spans="1:4">
      <c r="A659" s="3">
        <v>658</v>
      </c>
      <c r="B659" s="3" t="s">
        <v>1001</v>
      </c>
      <c r="C659" s="3" t="s">
        <v>2717</v>
      </c>
      <c r="D659" s="3" t="s">
        <v>2889</v>
      </c>
    </row>
    <row r="660" customHeight="1" spans="1:4">
      <c r="A660" s="3">
        <v>659</v>
      </c>
      <c r="B660" s="3" t="s">
        <v>1002</v>
      </c>
      <c r="C660" s="3" t="s">
        <v>2946</v>
      </c>
      <c r="D660" s="3" t="s">
        <v>2899</v>
      </c>
    </row>
    <row r="661" customHeight="1" spans="1:4">
      <c r="A661" s="3">
        <v>660</v>
      </c>
      <c r="B661" s="3" t="s">
        <v>1003</v>
      </c>
      <c r="C661" s="3" t="s">
        <v>1721</v>
      </c>
      <c r="D661" s="3" t="s">
        <v>2908</v>
      </c>
    </row>
    <row r="662" customHeight="1" spans="1:4">
      <c r="A662" s="3">
        <v>661</v>
      </c>
      <c r="B662" s="3" t="s">
        <v>1004</v>
      </c>
      <c r="C662" s="3" t="s">
        <v>1638</v>
      </c>
      <c r="D662" s="3" t="s">
        <v>2908</v>
      </c>
    </row>
    <row r="663" customHeight="1" spans="1:4">
      <c r="A663" s="3">
        <v>662</v>
      </c>
      <c r="B663" s="3" t="s">
        <v>1005</v>
      </c>
      <c r="C663" s="3" t="s">
        <v>2717</v>
      </c>
      <c r="D663" s="3" t="s">
        <v>2889</v>
      </c>
    </row>
    <row r="664" customHeight="1" spans="1:4">
      <c r="A664" s="3">
        <v>663</v>
      </c>
      <c r="B664" s="3" t="s">
        <v>1006</v>
      </c>
      <c r="C664" s="3" t="s">
        <v>2717</v>
      </c>
      <c r="D664" s="3" t="s">
        <v>2889</v>
      </c>
    </row>
    <row r="665" customHeight="1" spans="1:4">
      <c r="A665" s="3">
        <v>664</v>
      </c>
      <c r="B665" s="3" t="s">
        <v>1007</v>
      </c>
      <c r="C665" s="3" t="s">
        <v>2716</v>
      </c>
      <c r="D665" s="3" t="s">
        <v>2889</v>
      </c>
    </row>
    <row r="666" customHeight="1" spans="1:4">
      <c r="A666" s="3">
        <v>665</v>
      </c>
      <c r="B666" s="3" t="s">
        <v>1008</v>
      </c>
      <c r="C666" s="3" t="s">
        <v>2898</v>
      </c>
      <c r="D666" s="3" t="s">
        <v>2889</v>
      </c>
    </row>
    <row r="667" customHeight="1" spans="1:4">
      <c r="A667" s="3">
        <v>666</v>
      </c>
      <c r="B667" s="3" t="s">
        <v>1009</v>
      </c>
      <c r="C667" s="3" t="s">
        <v>1721</v>
      </c>
      <c r="D667" s="3" t="s">
        <v>2889</v>
      </c>
    </row>
    <row r="668" customHeight="1" spans="1:4">
      <c r="A668" s="3">
        <v>667</v>
      </c>
      <c r="B668" s="3" t="s">
        <v>1010</v>
      </c>
      <c r="C668" s="3" t="s">
        <v>2716</v>
      </c>
      <c r="D668" s="3" t="s">
        <v>2896</v>
      </c>
    </row>
    <row r="669" customHeight="1" spans="1:4">
      <c r="A669" s="3">
        <v>668</v>
      </c>
      <c r="B669" s="3" t="s">
        <v>1011</v>
      </c>
      <c r="C669" s="3" t="s">
        <v>2946</v>
      </c>
      <c r="D669" s="3" t="s">
        <v>2921</v>
      </c>
    </row>
    <row r="670" customHeight="1" spans="1:4">
      <c r="A670" s="3">
        <v>669</v>
      </c>
      <c r="B670" s="3" t="s">
        <v>1012</v>
      </c>
      <c r="C670" s="3" t="s">
        <v>1721</v>
      </c>
      <c r="D670" s="3" t="s">
        <v>2899</v>
      </c>
    </row>
    <row r="671" customHeight="1" spans="1:4">
      <c r="A671" s="3">
        <v>670</v>
      </c>
      <c r="B671" s="3" t="s">
        <v>1013</v>
      </c>
      <c r="C671" s="3" t="s">
        <v>1638</v>
      </c>
      <c r="D671" s="3" t="s">
        <v>2921</v>
      </c>
    </row>
    <row r="672" customHeight="1" spans="1:4">
      <c r="A672" s="3">
        <v>671</v>
      </c>
      <c r="B672" s="3" t="s">
        <v>1014</v>
      </c>
      <c r="C672" s="3" t="s">
        <v>2716</v>
      </c>
      <c r="D672" s="3" t="s">
        <v>2921</v>
      </c>
    </row>
    <row r="673" customHeight="1" spans="1:4">
      <c r="A673" s="3">
        <v>672</v>
      </c>
      <c r="B673" s="3" t="s">
        <v>173</v>
      </c>
      <c r="C673" s="3" t="s">
        <v>1721</v>
      </c>
      <c r="D673" s="3" t="s">
        <v>2921</v>
      </c>
    </row>
    <row r="674" customHeight="1" spans="1:4">
      <c r="A674" s="3">
        <v>673</v>
      </c>
      <c r="B674" s="3" t="s">
        <v>1015</v>
      </c>
      <c r="C674" s="3" t="s">
        <v>1721</v>
      </c>
      <c r="D674" s="3" t="s">
        <v>2908</v>
      </c>
    </row>
    <row r="675" customHeight="1" spans="1:4">
      <c r="A675" s="3">
        <v>674</v>
      </c>
      <c r="B675" s="3" t="s">
        <v>1016</v>
      </c>
      <c r="C675" s="3" t="s">
        <v>1721</v>
      </c>
      <c r="D675" s="3" t="s">
        <v>2969</v>
      </c>
    </row>
    <row r="676" customHeight="1" spans="1:4">
      <c r="A676" s="3">
        <v>675</v>
      </c>
      <c r="B676" s="3" t="s">
        <v>1017</v>
      </c>
      <c r="C676" s="3" t="s">
        <v>2716</v>
      </c>
      <c r="D676" s="3" t="s">
        <v>2899</v>
      </c>
    </row>
    <row r="677" customHeight="1" spans="1:4">
      <c r="A677" s="3">
        <v>676</v>
      </c>
      <c r="B677" s="3" t="s">
        <v>1018</v>
      </c>
      <c r="C677" s="3" t="s">
        <v>1721</v>
      </c>
      <c r="D677" s="3" t="s">
        <v>4293</v>
      </c>
    </row>
    <row r="678" customHeight="1" spans="1:4">
      <c r="A678" s="3">
        <v>677</v>
      </c>
      <c r="B678" s="3" t="s">
        <v>1019</v>
      </c>
      <c r="C678" s="3" t="s">
        <v>1721</v>
      </c>
      <c r="D678" s="3" t="s">
        <v>2908</v>
      </c>
    </row>
    <row r="679" customHeight="1" spans="1:4">
      <c r="A679" s="3">
        <v>678</v>
      </c>
      <c r="B679" s="3" t="s">
        <v>1020</v>
      </c>
      <c r="C679" s="3" t="s">
        <v>2717</v>
      </c>
      <c r="D679" s="3" t="s">
        <v>2893</v>
      </c>
    </row>
    <row r="680" customHeight="1" spans="1:4">
      <c r="A680" s="3">
        <v>679</v>
      </c>
      <c r="B680" s="3" t="s">
        <v>1021</v>
      </c>
      <c r="C680" s="3" t="s">
        <v>1721</v>
      </c>
      <c r="D680" s="3" t="s">
        <v>2908</v>
      </c>
    </row>
    <row r="681" customHeight="1" spans="1:4">
      <c r="A681" s="3">
        <v>680</v>
      </c>
      <c r="B681" s="3" t="s">
        <v>1022</v>
      </c>
      <c r="C681" s="3" t="s">
        <v>2716</v>
      </c>
      <c r="D681" s="3" t="s">
        <v>2896</v>
      </c>
    </row>
    <row r="682" customHeight="1" spans="1:4">
      <c r="A682" s="3">
        <v>681</v>
      </c>
      <c r="B682" s="3" t="s">
        <v>1023</v>
      </c>
      <c r="C682" s="3" t="s">
        <v>2716</v>
      </c>
      <c r="D682" s="3" t="s">
        <v>2908</v>
      </c>
    </row>
    <row r="683" customHeight="1" spans="1:4">
      <c r="A683" s="3">
        <v>682</v>
      </c>
      <c r="B683" s="3" t="s">
        <v>1024</v>
      </c>
      <c r="C683" s="3" t="s">
        <v>1721</v>
      </c>
      <c r="D683" s="3" t="s">
        <v>2921</v>
      </c>
    </row>
    <row r="684" customHeight="1" spans="1:4">
      <c r="A684" s="3">
        <v>683</v>
      </c>
      <c r="B684" s="3" t="s">
        <v>1025</v>
      </c>
      <c r="C684" s="3" t="s">
        <v>1721</v>
      </c>
      <c r="D684" s="3" t="s">
        <v>2908</v>
      </c>
    </row>
    <row r="685" customHeight="1" spans="1:4">
      <c r="A685" s="3">
        <v>684</v>
      </c>
      <c r="B685" s="3" t="s">
        <v>1026</v>
      </c>
      <c r="C685" s="3" t="s">
        <v>1721</v>
      </c>
      <c r="D685" s="3" t="s">
        <v>2908</v>
      </c>
    </row>
    <row r="686" customHeight="1" spans="1:4">
      <c r="A686" s="3">
        <v>685</v>
      </c>
      <c r="B686" s="3" t="s">
        <v>1027</v>
      </c>
      <c r="C686" s="3" t="s">
        <v>1721</v>
      </c>
      <c r="D686" s="3" t="s">
        <v>2893</v>
      </c>
    </row>
    <row r="687" customHeight="1" spans="1:4">
      <c r="A687" s="3">
        <v>686</v>
      </c>
      <c r="B687" s="3" t="s">
        <v>1028</v>
      </c>
      <c r="C687" s="3" t="s">
        <v>1721</v>
      </c>
      <c r="D687" s="3" t="s">
        <v>2893</v>
      </c>
    </row>
    <row r="688" customHeight="1" spans="1:4">
      <c r="A688" s="3">
        <v>687</v>
      </c>
      <c r="B688" s="3" t="s">
        <v>1029</v>
      </c>
      <c r="C688" s="3" t="s">
        <v>1721</v>
      </c>
      <c r="D688" s="3" t="s">
        <v>2908</v>
      </c>
    </row>
    <row r="689" customHeight="1" spans="1:4">
      <c r="A689" s="3">
        <v>688</v>
      </c>
      <c r="B689" s="3" t="s">
        <v>1030</v>
      </c>
      <c r="C689" s="3" t="s">
        <v>1721</v>
      </c>
      <c r="D689" s="3" t="s">
        <v>2908</v>
      </c>
    </row>
    <row r="690" customHeight="1" spans="1:4">
      <c r="A690" s="3">
        <v>689</v>
      </c>
      <c r="B690" s="3" t="s">
        <v>1031</v>
      </c>
      <c r="C690" s="3" t="s">
        <v>2946</v>
      </c>
      <c r="D690" s="3" t="s">
        <v>2889</v>
      </c>
    </row>
    <row r="691" customHeight="1" spans="1:4">
      <c r="A691" s="3">
        <v>690</v>
      </c>
      <c r="B691" s="3" t="s">
        <v>1032</v>
      </c>
      <c r="C691" s="3" t="s">
        <v>1721</v>
      </c>
      <c r="D691" s="3" t="s">
        <v>2921</v>
      </c>
    </row>
    <row r="692" customHeight="1" spans="1:4">
      <c r="A692" s="3">
        <v>691</v>
      </c>
      <c r="B692" s="3" t="s">
        <v>1033</v>
      </c>
      <c r="C692" s="3" t="s">
        <v>1721</v>
      </c>
      <c r="D692" s="3" t="s">
        <v>2893</v>
      </c>
    </row>
    <row r="693" customHeight="1" spans="1:4">
      <c r="A693" s="3">
        <v>692</v>
      </c>
      <c r="B693" s="3" t="s">
        <v>1034</v>
      </c>
      <c r="C693" s="3" t="s">
        <v>1721</v>
      </c>
      <c r="D693" s="3" t="s">
        <v>2889</v>
      </c>
    </row>
    <row r="694" customHeight="1" spans="1:4">
      <c r="A694" s="3">
        <v>693</v>
      </c>
      <c r="B694" s="3" t="s">
        <v>1035</v>
      </c>
      <c r="C694" s="3" t="s">
        <v>1721</v>
      </c>
      <c r="D694" s="3" t="s">
        <v>2889</v>
      </c>
    </row>
    <row r="695" customHeight="1" spans="1:4">
      <c r="A695" s="3">
        <v>694</v>
      </c>
      <c r="B695" s="3" t="s">
        <v>1036</v>
      </c>
      <c r="C695" s="3" t="s">
        <v>1638</v>
      </c>
      <c r="D695" s="3" t="s">
        <v>2921</v>
      </c>
    </row>
    <row r="696" customHeight="1" spans="1:4">
      <c r="A696" s="3">
        <v>695</v>
      </c>
      <c r="B696" s="3" t="s">
        <v>1037</v>
      </c>
      <c r="C696" s="3" t="s">
        <v>1721</v>
      </c>
      <c r="D696" s="3" t="s">
        <v>2889</v>
      </c>
    </row>
    <row r="697" customHeight="1" spans="1:4">
      <c r="A697" s="3">
        <v>696</v>
      </c>
      <c r="B697" s="3" t="s">
        <v>1038</v>
      </c>
      <c r="C697" s="3" t="s">
        <v>3003</v>
      </c>
      <c r="D697" s="3" t="s">
        <v>2893</v>
      </c>
    </row>
    <row r="698" customHeight="1" spans="1:4">
      <c r="A698" s="3">
        <v>697</v>
      </c>
      <c r="B698" s="3" t="s">
        <v>1039</v>
      </c>
      <c r="C698" s="3" t="s">
        <v>2716</v>
      </c>
      <c r="D698" s="3" t="s">
        <v>2893</v>
      </c>
    </row>
    <row r="699" customHeight="1" spans="1:4">
      <c r="A699" s="3">
        <v>698</v>
      </c>
      <c r="B699" s="3" t="s">
        <v>1040</v>
      </c>
      <c r="C699" s="3" t="s">
        <v>3022</v>
      </c>
      <c r="D699" s="3" t="s">
        <v>2893</v>
      </c>
    </row>
    <row r="700" customHeight="1" spans="1:4">
      <c r="A700" s="3">
        <v>699</v>
      </c>
      <c r="B700" s="3" t="s">
        <v>1041</v>
      </c>
      <c r="C700" s="3" t="s">
        <v>2946</v>
      </c>
      <c r="D700" s="3" t="s">
        <v>2893</v>
      </c>
    </row>
    <row r="701" customHeight="1" spans="1:4">
      <c r="A701" s="3">
        <v>700</v>
      </c>
      <c r="B701" s="3" t="s">
        <v>1042</v>
      </c>
      <c r="C701" s="3" t="s">
        <v>1721</v>
      </c>
      <c r="D701" s="3" t="s">
        <v>2893</v>
      </c>
    </row>
    <row r="702" customHeight="1" spans="1:4">
      <c r="A702" s="3">
        <v>701</v>
      </c>
      <c r="B702" s="3" t="s">
        <v>1043</v>
      </c>
      <c r="C702" s="3" t="s">
        <v>2717</v>
      </c>
      <c r="D702" s="3" t="s">
        <v>3951</v>
      </c>
    </row>
    <row r="703" customHeight="1" spans="1:4">
      <c r="A703" s="3">
        <v>702</v>
      </c>
      <c r="B703" s="3" t="s">
        <v>1044</v>
      </c>
      <c r="C703" s="3" t="s">
        <v>1721</v>
      </c>
      <c r="D703" s="3" t="s">
        <v>2911</v>
      </c>
    </row>
    <row r="704" customHeight="1" spans="1:4">
      <c r="A704" s="3">
        <v>703</v>
      </c>
      <c r="B704" s="3" t="s">
        <v>1045</v>
      </c>
      <c r="C704" s="3" t="s">
        <v>1721</v>
      </c>
      <c r="D704" s="3" t="s">
        <v>2911</v>
      </c>
    </row>
    <row r="705" customHeight="1" spans="1:4">
      <c r="A705" s="3">
        <v>704</v>
      </c>
      <c r="B705" s="3" t="s">
        <v>1046</v>
      </c>
      <c r="C705" s="3" t="s">
        <v>1721</v>
      </c>
      <c r="D705" s="3" t="s">
        <v>2893</v>
      </c>
    </row>
    <row r="706" customHeight="1" spans="1:4">
      <c r="A706" s="3">
        <v>705</v>
      </c>
      <c r="B706" s="3" t="s">
        <v>1047</v>
      </c>
      <c r="C706" s="3" t="s">
        <v>1721</v>
      </c>
      <c r="D706" s="3" t="s">
        <v>2921</v>
      </c>
    </row>
    <row r="707" customHeight="1" spans="1:4">
      <c r="A707" s="3">
        <v>706</v>
      </c>
      <c r="B707" s="3" t="s">
        <v>1048</v>
      </c>
      <c r="C707" s="3" t="s">
        <v>1721</v>
      </c>
      <c r="D707" s="3" t="s">
        <v>2889</v>
      </c>
    </row>
    <row r="708" customHeight="1" spans="1:4">
      <c r="A708" s="3">
        <v>707</v>
      </c>
      <c r="B708" s="3" t="s">
        <v>1049</v>
      </c>
      <c r="C708" s="3" t="s">
        <v>1721</v>
      </c>
      <c r="D708" s="3" t="s">
        <v>2889</v>
      </c>
    </row>
    <row r="709" customHeight="1" spans="1:4">
      <c r="A709" s="3">
        <v>708</v>
      </c>
      <c r="B709" s="3" t="s">
        <v>1050</v>
      </c>
      <c r="C709" s="3" t="s">
        <v>1721</v>
      </c>
      <c r="D709" s="3" t="s">
        <v>2889</v>
      </c>
    </row>
    <row r="710" customHeight="1" spans="1:4">
      <c r="A710" s="3">
        <v>709</v>
      </c>
      <c r="B710" s="3" t="s">
        <v>1051</v>
      </c>
      <c r="C710" s="3" t="s">
        <v>1721</v>
      </c>
      <c r="D710" s="3" t="s">
        <v>2889</v>
      </c>
    </row>
    <row r="711" customHeight="1" spans="1:4">
      <c r="A711" s="3">
        <v>710</v>
      </c>
      <c r="B711" s="3" t="s">
        <v>1052</v>
      </c>
      <c r="C711" s="3" t="s">
        <v>1721</v>
      </c>
      <c r="D711" s="3" t="s">
        <v>3019</v>
      </c>
    </row>
    <row r="712" customHeight="1" spans="1:4">
      <c r="A712" s="3">
        <v>711</v>
      </c>
      <c r="B712" s="3" t="s">
        <v>1053</v>
      </c>
      <c r="C712" s="3" t="s">
        <v>1721</v>
      </c>
      <c r="D712" s="3" t="s">
        <v>2889</v>
      </c>
    </row>
    <row r="713" customHeight="1" spans="1:4">
      <c r="A713" s="3">
        <v>712</v>
      </c>
      <c r="B713" s="3" t="s">
        <v>1054</v>
      </c>
      <c r="C713" s="3" t="s">
        <v>1721</v>
      </c>
      <c r="D713" s="3" t="s">
        <v>2889</v>
      </c>
    </row>
    <row r="714" customHeight="1" spans="1:4">
      <c r="A714" s="3">
        <v>713</v>
      </c>
      <c r="B714" s="3" t="s">
        <v>1055</v>
      </c>
      <c r="C714" s="3" t="s">
        <v>1721</v>
      </c>
      <c r="D714" s="3" t="s">
        <v>2889</v>
      </c>
    </row>
    <row r="715" customHeight="1" spans="1:4">
      <c r="A715" s="3">
        <v>714</v>
      </c>
      <c r="B715" s="3" t="s">
        <v>1056</v>
      </c>
      <c r="C715" s="3" t="s">
        <v>2717</v>
      </c>
      <c r="D715" s="3" t="s">
        <v>2889</v>
      </c>
    </row>
    <row r="716" customHeight="1" spans="1:4">
      <c r="A716" s="3">
        <v>715</v>
      </c>
      <c r="B716" s="3" t="s">
        <v>1057</v>
      </c>
      <c r="C716" s="3" t="s">
        <v>1721</v>
      </c>
      <c r="D716" s="3" t="s">
        <v>2889</v>
      </c>
    </row>
    <row r="717" customHeight="1" spans="1:4">
      <c r="A717" s="3">
        <v>716</v>
      </c>
      <c r="B717" s="3" t="s">
        <v>1058</v>
      </c>
      <c r="C717" s="3" t="s">
        <v>1721</v>
      </c>
      <c r="D717" s="3" t="s">
        <v>2889</v>
      </c>
    </row>
    <row r="718" customHeight="1" spans="1:4">
      <c r="A718" s="3">
        <v>717</v>
      </c>
      <c r="B718" s="3" t="s">
        <v>1059</v>
      </c>
      <c r="C718" s="3" t="s">
        <v>1721</v>
      </c>
      <c r="D718" s="3" t="s">
        <v>2896</v>
      </c>
    </row>
    <row r="719" customHeight="1" spans="1:4">
      <c r="A719" s="3">
        <v>718</v>
      </c>
      <c r="B719" s="3" t="s">
        <v>1060</v>
      </c>
      <c r="C719" s="3" t="s">
        <v>1721</v>
      </c>
      <c r="D719" s="3" t="s">
        <v>2889</v>
      </c>
    </row>
    <row r="720" customHeight="1" spans="1:4">
      <c r="A720" s="3">
        <v>719</v>
      </c>
      <c r="B720" s="3" t="s">
        <v>1061</v>
      </c>
      <c r="C720" s="3" t="s">
        <v>2716</v>
      </c>
      <c r="D720" s="3" t="s">
        <v>2889</v>
      </c>
    </row>
    <row r="721" customHeight="1" spans="1:4">
      <c r="A721" s="3">
        <v>720</v>
      </c>
      <c r="B721" s="3" t="s">
        <v>1062</v>
      </c>
      <c r="C721" s="3" t="s">
        <v>1721</v>
      </c>
      <c r="D721" s="3" t="s">
        <v>2889</v>
      </c>
    </row>
    <row r="722" customHeight="1" spans="1:4">
      <c r="A722" s="3">
        <v>721</v>
      </c>
      <c r="B722" s="3" t="s">
        <v>1063</v>
      </c>
      <c r="C722" s="3" t="s">
        <v>1721</v>
      </c>
      <c r="D722" s="3" t="s">
        <v>2889</v>
      </c>
    </row>
    <row r="723" customHeight="1" spans="1:4">
      <c r="A723" s="3">
        <v>722</v>
      </c>
      <c r="B723" s="3" t="s">
        <v>1064</v>
      </c>
      <c r="C723" s="3" t="s">
        <v>1721</v>
      </c>
      <c r="D723" s="3" t="s">
        <v>2889</v>
      </c>
    </row>
    <row r="724" customHeight="1" spans="1:4">
      <c r="A724" s="3">
        <v>723</v>
      </c>
      <c r="B724" s="3" t="s">
        <v>1065</v>
      </c>
      <c r="C724" s="3" t="s">
        <v>1721</v>
      </c>
      <c r="D724" s="3" t="s">
        <v>2889</v>
      </c>
    </row>
    <row r="725" customHeight="1" spans="1:4">
      <c r="A725" s="3">
        <v>724</v>
      </c>
      <c r="B725" s="3" t="s">
        <v>1066</v>
      </c>
      <c r="C725" s="3" t="s">
        <v>2716</v>
      </c>
      <c r="D725" s="3" t="s">
        <v>2889</v>
      </c>
    </row>
    <row r="726" customHeight="1" spans="1:4">
      <c r="A726" s="3">
        <v>725</v>
      </c>
      <c r="B726" s="3" t="s">
        <v>1067</v>
      </c>
      <c r="C726" s="3" t="s">
        <v>1721</v>
      </c>
      <c r="D726" s="3" t="s">
        <v>2889</v>
      </c>
    </row>
    <row r="727" customHeight="1" spans="1:4">
      <c r="A727" s="3">
        <v>726</v>
      </c>
      <c r="B727" s="3" t="s">
        <v>1068</v>
      </c>
      <c r="C727" s="3" t="s">
        <v>1721</v>
      </c>
      <c r="D727" s="3" t="s">
        <v>2889</v>
      </c>
    </row>
    <row r="728" customHeight="1" spans="1:4">
      <c r="A728" s="3">
        <v>727</v>
      </c>
      <c r="B728" s="3" t="s">
        <v>1069</v>
      </c>
      <c r="C728" s="3" t="s">
        <v>1721</v>
      </c>
      <c r="D728" s="3" t="s">
        <v>2889</v>
      </c>
    </row>
    <row r="729" customHeight="1" spans="1:4">
      <c r="A729" s="3">
        <v>728</v>
      </c>
      <c r="B729" s="3" t="s">
        <v>180</v>
      </c>
      <c r="C729" s="3" t="s">
        <v>1721</v>
      </c>
      <c r="D729" s="3" t="s">
        <v>2889</v>
      </c>
    </row>
    <row r="730" customHeight="1" spans="1:4">
      <c r="A730" s="3">
        <v>729</v>
      </c>
      <c r="B730" s="3" t="s">
        <v>1070</v>
      </c>
      <c r="C730" s="3" t="s">
        <v>1721</v>
      </c>
      <c r="D730" s="3" t="s">
        <v>2889</v>
      </c>
    </row>
    <row r="731" customHeight="1" spans="1:4">
      <c r="A731" s="3">
        <v>730</v>
      </c>
      <c r="B731" s="3" t="s">
        <v>1071</v>
      </c>
      <c r="C731" s="3" t="s">
        <v>1721</v>
      </c>
      <c r="D731" s="3" t="s">
        <v>2889</v>
      </c>
    </row>
    <row r="732" customHeight="1" spans="1:4">
      <c r="A732" s="3">
        <v>731</v>
      </c>
      <c r="B732" s="3" t="s">
        <v>1072</v>
      </c>
      <c r="C732" s="3" t="s">
        <v>1721</v>
      </c>
      <c r="D732" s="3" t="s">
        <v>2889</v>
      </c>
    </row>
    <row r="733" customHeight="1" spans="1:4">
      <c r="A733" s="3">
        <v>732</v>
      </c>
      <c r="B733" s="3" t="s">
        <v>1073</v>
      </c>
      <c r="C733" s="3" t="s">
        <v>1721</v>
      </c>
      <c r="D733" s="3" t="s">
        <v>2889</v>
      </c>
    </row>
    <row r="734" customHeight="1" spans="1:4">
      <c r="A734" s="3">
        <v>733</v>
      </c>
      <c r="B734" s="3" t="s">
        <v>1074</v>
      </c>
      <c r="C734" s="3" t="s">
        <v>1721</v>
      </c>
      <c r="D734" s="3" t="s">
        <v>2889</v>
      </c>
    </row>
    <row r="735" customHeight="1" spans="1:4">
      <c r="A735" s="3">
        <v>734</v>
      </c>
      <c r="B735" s="3" t="s">
        <v>1075</v>
      </c>
      <c r="C735" s="3" t="s">
        <v>1721</v>
      </c>
      <c r="D735" s="3" t="s">
        <v>2889</v>
      </c>
    </row>
    <row r="736" customHeight="1" spans="1:4">
      <c r="A736" s="3">
        <v>735</v>
      </c>
      <c r="B736" s="3" t="s">
        <v>1076</v>
      </c>
      <c r="C736" s="3" t="s">
        <v>1721</v>
      </c>
      <c r="D736" s="3" t="s">
        <v>2889</v>
      </c>
    </row>
    <row r="737" customHeight="1" spans="1:4">
      <c r="A737" s="3">
        <v>736</v>
      </c>
      <c r="B737" s="3" t="s">
        <v>1077</v>
      </c>
      <c r="C737" s="3" t="s">
        <v>2716</v>
      </c>
      <c r="D737" s="3" t="s">
        <v>2889</v>
      </c>
    </row>
    <row r="738" customHeight="1" spans="1:4">
      <c r="A738" s="3">
        <v>737</v>
      </c>
      <c r="B738" s="3" t="s">
        <v>1078</v>
      </c>
      <c r="C738" s="3" t="s">
        <v>2716</v>
      </c>
      <c r="D738" s="3" t="s">
        <v>2889</v>
      </c>
    </row>
    <row r="739" customHeight="1" spans="1:4">
      <c r="A739" s="3">
        <v>738</v>
      </c>
      <c r="B739" s="3" t="s">
        <v>1079</v>
      </c>
      <c r="C739" s="3" t="s">
        <v>1721</v>
      </c>
      <c r="D739" s="3" t="s">
        <v>2889</v>
      </c>
    </row>
    <row r="740" customHeight="1" spans="1:4">
      <c r="A740" s="3">
        <v>739</v>
      </c>
      <c r="B740" s="3" t="s">
        <v>1080</v>
      </c>
      <c r="C740" s="3" t="s">
        <v>1721</v>
      </c>
      <c r="D740" s="3" t="s">
        <v>2889</v>
      </c>
    </row>
    <row r="741" customHeight="1" spans="1:4">
      <c r="A741" s="3">
        <v>740</v>
      </c>
      <c r="B741" s="3" t="s">
        <v>1081</v>
      </c>
      <c r="C741" s="3" t="s">
        <v>1721</v>
      </c>
      <c r="D741" s="3" t="s">
        <v>2889</v>
      </c>
    </row>
    <row r="742" customHeight="1" spans="1:4">
      <c r="A742" s="3">
        <v>741</v>
      </c>
      <c r="B742" s="3" t="s">
        <v>1082</v>
      </c>
      <c r="C742" s="3" t="s">
        <v>3003</v>
      </c>
      <c r="D742" s="3" t="s">
        <v>2889</v>
      </c>
    </row>
    <row r="743" customHeight="1" spans="1:4">
      <c r="A743" s="3">
        <v>742</v>
      </c>
      <c r="B743" s="3" t="s">
        <v>1083</v>
      </c>
      <c r="C743" s="3" t="s">
        <v>1721</v>
      </c>
      <c r="D743" s="3" t="s">
        <v>2889</v>
      </c>
    </row>
    <row r="744" customHeight="1" spans="1:4">
      <c r="A744" s="3">
        <v>743</v>
      </c>
      <c r="B744" s="3" t="s">
        <v>1084</v>
      </c>
      <c r="C744" s="3" t="s">
        <v>2946</v>
      </c>
      <c r="D744" s="3" t="s">
        <v>2889</v>
      </c>
    </row>
    <row r="745" customHeight="1" spans="1:4">
      <c r="A745" s="3">
        <v>744</v>
      </c>
      <c r="B745" s="3" t="s">
        <v>1085</v>
      </c>
      <c r="C745" s="3" t="s">
        <v>1721</v>
      </c>
      <c r="D745" s="3" t="s">
        <v>2889</v>
      </c>
    </row>
    <row r="746" customHeight="1" spans="1:4">
      <c r="A746" s="3">
        <v>745</v>
      </c>
      <c r="B746" s="3" t="s">
        <v>1086</v>
      </c>
      <c r="C746" s="3" t="s">
        <v>1721</v>
      </c>
      <c r="D746" s="3" t="s">
        <v>2889</v>
      </c>
    </row>
    <row r="747" customHeight="1" spans="1:4">
      <c r="A747" s="3">
        <v>746</v>
      </c>
      <c r="B747" s="3" t="s">
        <v>1087</v>
      </c>
      <c r="C747" s="3" t="s">
        <v>1721</v>
      </c>
      <c r="D747" s="3" t="s">
        <v>2889</v>
      </c>
    </row>
    <row r="748" customHeight="1" spans="1:4">
      <c r="A748" s="3">
        <v>747</v>
      </c>
      <c r="B748" s="3" t="s">
        <v>1088</v>
      </c>
      <c r="C748" s="3" t="s">
        <v>1721</v>
      </c>
      <c r="D748" s="3" t="s">
        <v>2889</v>
      </c>
    </row>
    <row r="749" customHeight="1" spans="1:4">
      <c r="A749" s="3">
        <v>748</v>
      </c>
      <c r="B749" s="3" t="s">
        <v>1089</v>
      </c>
      <c r="C749" s="3" t="s">
        <v>1721</v>
      </c>
      <c r="D749" s="3" t="s">
        <v>2889</v>
      </c>
    </row>
    <row r="750" customHeight="1" spans="1:4">
      <c r="A750" s="3">
        <v>749</v>
      </c>
      <c r="B750" s="3" t="s">
        <v>1090</v>
      </c>
      <c r="C750" s="3" t="s">
        <v>1721</v>
      </c>
      <c r="D750" s="3" t="s">
        <v>2889</v>
      </c>
    </row>
    <row r="751" customHeight="1" spans="1:4">
      <c r="A751" s="3">
        <v>750</v>
      </c>
      <c r="B751" s="3" t="s">
        <v>1091</v>
      </c>
      <c r="C751" s="3" t="s">
        <v>1721</v>
      </c>
      <c r="D751" s="3" t="s">
        <v>2889</v>
      </c>
    </row>
    <row r="752" customHeight="1" spans="1:4">
      <c r="A752" s="3">
        <v>751</v>
      </c>
      <c r="B752" s="3" t="s">
        <v>1092</v>
      </c>
      <c r="C752" s="3" t="s">
        <v>1721</v>
      </c>
      <c r="D752" s="3" t="s">
        <v>2889</v>
      </c>
    </row>
    <row r="753" customHeight="1" spans="1:4">
      <c r="A753" s="3">
        <v>752</v>
      </c>
      <c r="B753" s="3" t="s">
        <v>1093</v>
      </c>
      <c r="C753" s="3" t="s">
        <v>1721</v>
      </c>
      <c r="D753" s="3" t="s">
        <v>2889</v>
      </c>
    </row>
    <row r="754" customHeight="1" spans="1:4">
      <c r="A754" s="3">
        <v>753</v>
      </c>
      <c r="B754" s="3" t="s">
        <v>1094</v>
      </c>
      <c r="C754" s="3" t="s">
        <v>2946</v>
      </c>
      <c r="D754" s="3" t="s">
        <v>2889</v>
      </c>
    </row>
    <row r="755" customHeight="1" spans="1:4">
      <c r="A755" s="3">
        <v>754</v>
      </c>
      <c r="B755" s="3" t="s">
        <v>1095</v>
      </c>
      <c r="C755" s="3" t="s">
        <v>1721</v>
      </c>
      <c r="D755" s="3" t="s">
        <v>2908</v>
      </c>
    </row>
    <row r="756" customHeight="1" spans="1:4">
      <c r="A756" s="3">
        <v>755</v>
      </c>
      <c r="B756" s="3" t="s">
        <v>1096</v>
      </c>
      <c r="C756" s="3" t="s">
        <v>3003</v>
      </c>
      <c r="D756" s="3" t="s">
        <v>2889</v>
      </c>
    </row>
    <row r="757" customHeight="1" spans="1:4">
      <c r="A757" s="3">
        <v>756</v>
      </c>
      <c r="B757" s="3" t="s">
        <v>1097</v>
      </c>
      <c r="C757" s="3" t="s">
        <v>1721</v>
      </c>
      <c r="D757" s="3" t="s">
        <v>2889</v>
      </c>
    </row>
    <row r="758" customHeight="1" spans="1:4">
      <c r="A758" s="3">
        <v>757</v>
      </c>
      <c r="B758" s="3" t="s">
        <v>1098</v>
      </c>
      <c r="C758" s="3" t="s">
        <v>1721</v>
      </c>
      <c r="D758" s="3" t="s">
        <v>2889</v>
      </c>
    </row>
    <row r="759" customHeight="1" spans="1:4">
      <c r="A759" s="3">
        <v>758</v>
      </c>
      <c r="B759" s="3" t="s">
        <v>1099</v>
      </c>
      <c r="C759" s="3" t="s">
        <v>1721</v>
      </c>
      <c r="D759" s="3" t="s">
        <v>2889</v>
      </c>
    </row>
    <row r="760" customHeight="1" spans="1:4">
      <c r="A760" s="3">
        <v>759</v>
      </c>
      <c r="B760" s="3" t="s">
        <v>1100</v>
      </c>
      <c r="C760" s="3" t="s">
        <v>1721</v>
      </c>
      <c r="D760" s="3" t="s">
        <v>2889</v>
      </c>
    </row>
    <row r="761" customHeight="1" spans="1:4">
      <c r="A761" s="3">
        <v>760</v>
      </c>
      <c r="B761" s="3" t="s">
        <v>1101</v>
      </c>
      <c r="C761" s="3" t="s">
        <v>1721</v>
      </c>
      <c r="D761" s="3" t="s">
        <v>2889</v>
      </c>
    </row>
    <row r="762" customHeight="1" spans="1:4">
      <c r="A762" s="3">
        <v>761</v>
      </c>
      <c r="B762" s="3" t="s">
        <v>1102</v>
      </c>
      <c r="C762" s="3" t="s">
        <v>1721</v>
      </c>
      <c r="D762" s="3" t="s">
        <v>2889</v>
      </c>
    </row>
    <row r="763" customHeight="1" spans="1:4">
      <c r="A763" s="3">
        <v>762</v>
      </c>
      <c r="B763" s="3" t="s">
        <v>1103</v>
      </c>
      <c r="C763" s="3" t="s">
        <v>1721</v>
      </c>
      <c r="D763" s="3" t="s">
        <v>2889</v>
      </c>
    </row>
    <row r="764" customHeight="1" spans="1:4">
      <c r="A764" s="3">
        <v>763</v>
      </c>
      <c r="B764" s="3" t="s">
        <v>1104</v>
      </c>
      <c r="C764" s="3" t="s">
        <v>2946</v>
      </c>
      <c r="D764" s="3" t="s">
        <v>2889</v>
      </c>
    </row>
    <row r="765" customHeight="1" spans="1:4">
      <c r="A765" s="3">
        <v>764</v>
      </c>
      <c r="B765" s="3" t="s">
        <v>1105</v>
      </c>
      <c r="C765" s="3" t="s">
        <v>1721</v>
      </c>
      <c r="D765" s="3" t="s">
        <v>2889</v>
      </c>
    </row>
    <row r="766" customHeight="1" spans="1:4">
      <c r="A766" s="3">
        <v>765</v>
      </c>
      <c r="B766" s="3" t="s">
        <v>1106</v>
      </c>
      <c r="C766" s="3" t="s">
        <v>1721</v>
      </c>
      <c r="D766" s="3" t="s">
        <v>2889</v>
      </c>
    </row>
    <row r="767" customHeight="1" spans="1:4">
      <c r="A767" s="3">
        <v>766</v>
      </c>
      <c r="B767" s="3" t="s">
        <v>1107</v>
      </c>
      <c r="C767" s="3" t="s">
        <v>1721</v>
      </c>
      <c r="D767" s="3" t="s">
        <v>2889</v>
      </c>
    </row>
    <row r="768" customHeight="1" spans="1:4">
      <c r="A768" s="3">
        <v>767</v>
      </c>
      <c r="B768" s="3" t="s">
        <v>1108</v>
      </c>
      <c r="C768" s="3" t="s">
        <v>1721</v>
      </c>
      <c r="D768" s="3" t="s">
        <v>2889</v>
      </c>
    </row>
    <row r="769" customHeight="1" spans="1:4">
      <c r="A769" s="3">
        <v>768</v>
      </c>
      <c r="B769" s="3" t="s">
        <v>1109</v>
      </c>
      <c r="C769" s="3" t="s">
        <v>2716</v>
      </c>
      <c r="D769" s="3" t="s">
        <v>2889</v>
      </c>
    </row>
    <row r="770" customHeight="1" spans="1:4">
      <c r="A770" s="3">
        <v>769</v>
      </c>
      <c r="B770" s="3" t="s">
        <v>1110</v>
      </c>
      <c r="C770" s="3" t="s">
        <v>1721</v>
      </c>
      <c r="D770" s="3" t="s">
        <v>2889</v>
      </c>
    </row>
    <row r="771" customHeight="1" spans="1:4">
      <c r="A771" s="3">
        <v>770</v>
      </c>
      <c r="B771" s="3" t="s">
        <v>1111</v>
      </c>
      <c r="C771" s="3" t="s">
        <v>1721</v>
      </c>
      <c r="D771" s="3" t="s">
        <v>2889</v>
      </c>
    </row>
    <row r="772" customHeight="1" spans="1:4">
      <c r="A772" s="3">
        <v>771</v>
      </c>
      <c r="B772" s="3" t="s">
        <v>1112</v>
      </c>
      <c r="C772" s="3" t="s">
        <v>1721</v>
      </c>
      <c r="D772" s="3" t="s">
        <v>2889</v>
      </c>
    </row>
    <row r="773" customHeight="1" spans="1:4">
      <c r="A773" s="3">
        <v>772</v>
      </c>
      <c r="B773" s="3" t="s">
        <v>1113</v>
      </c>
      <c r="C773" s="3" t="s">
        <v>1721</v>
      </c>
      <c r="D773" s="3" t="s">
        <v>2889</v>
      </c>
    </row>
    <row r="774" customHeight="1" spans="1:4">
      <c r="A774" s="3">
        <v>773</v>
      </c>
      <c r="B774" s="3" t="s">
        <v>1114</v>
      </c>
      <c r="C774" s="3" t="s">
        <v>2716</v>
      </c>
      <c r="D774" s="3" t="s">
        <v>2889</v>
      </c>
    </row>
    <row r="775" customHeight="1" spans="1:4">
      <c r="A775" s="3">
        <v>774</v>
      </c>
      <c r="B775" s="3" t="s">
        <v>1115</v>
      </c>
      <c r="C775" s="3" t="s">
        <v>1721</v>
      </c>
      <c r="D775" s="3" t="s">
        <v>2889</v>
      </c>
    </row>
    <row r="776" customHeight="1" spans="1:4">
      <c r="A776" s="3">
        <v>775</v>
      </c>
      <c r="B776" s="3" t="s">
        <v>1116</v>
      </c>
      <c r="C776" s="3" t="s">
        <v>1721</v>
      </c>
      <c r="D776" s="3" t="s">
        <v>2889</v>
      </c>
    </row>
    <row r="777" customHeight="1" spans="1:4">
      <c r="A777" s="3">
        <v>776</v>
      </c>
      <c r="B777" s="3" t="s">
        <v>1117</v>
      </c>
      <c r="C777" s="3" t="s">
        <v>1721</v>
      </c>
      <c r="D777" s="3" t="s">
        <v>2889</v>
      </c>
    </row>
    <row r="778" customHeight="1" spans="1:4">
      <c r="A778" s="3">
        <v>777</v>
      </c>
      <c r="B778" s="3" t="s">
        <v>1118</v>
      </c>
      <c r="C778" s="3" t="s">
        <v>1721</v>
      </c>
      <c r="D778" s="3" t="s">
        <v>2889</v>
      </c>
    </row>
    <row r="779" customHeight="1" spans="1:4">
      <c r="A779" s="3">
        <v>778</v>
      </c>
      <c r="B779" s="3" t="s">
        <v>1119</v>
      </c>
      <c r="C779" s="3" t="s">
        <v>1721</v>
      </c>
      <c r="D779" s="3" t="s">
        <v>2889</v>
      </c>
    </row>
    <row r="780" customHeight="1" spans="1:4">
      <c r="A780" s="3">
        <v>779</v>
      </c>
      <c r="B780" s="3" t="s">
        <v>1120</v>
      </c>
      <c r="C780" s="3" t="s">
        <v>2716</v>
      </c>
      <c r="D780" s="3" t="s">
        <v>2889</v>
      </c>
    </row>
    <row r="781" customHeight="1" spans="1:4">
      <c r="A781" s="3">
        <v>780</v>
      </c>
      <c r="B781" s="3" t="s">
        <v>1121</v>
      </c>
      <c r="C781" s="3" t="s">
        <v>1721</v>
      </c>
      <c r="D781" s="3" t="s">
        <v>2889</v>
      </c>
    </row>
    <row r="782" customHeight="1" spans="1:4">
      <c r="A782" s="3">
        <v>781</v>
      </c>
      <c r="B782" s="3" t="s">
        <v>1122</v>
      </c>
      <c r="C782" s="3" t="s">
        <v>2717</v>
      </c>
      <c r="D782" s="3" t="s">
        <v>2889</v>
      </c>
    </row>
    <row r="783" customHeight="1" spans="1:4">
      <c r="A783" s="3">
        <v>782</v>
      </c>
      <c r="B783" s="3" t="s">
        <v>1123</v>
      </c>
      <c r="C783" s="3" t="s">
        <v>2717</v>
      </c>
      <c r="D783" s="3" t="s">
        <v>2889</v>
      </c>
    </row>
    <row r="784" customHeight="1" spans="1:4">
      <c r="A784" s="3">
        <v>783</v>
      </c>
      <c r="B784" s="3" t="s">
        <v>1124</v>
      </c>
      <c r="C784" s="3" t="s">
        <v>1721</v>
      </c>
      <c r="D784" s="3" t="s">
        <v>2889</v>
      </c>
    </row>
    <row r="785" customHeight="1" spans="1:4">
      <c r="A785" s="3">
        <v>784</v>
      </c>
      <c r="B785" s="3" t="s">
        <v>1125</v>
      </c>
      <c r="C785" s="3" t="s">
        <v>1721</v>
      </c>
      <c r="D785" s="3" t="s">
        <v>2889</v>
      </c>
    </row>
    <row r="786" customHeight="1" spans="1:4">
      <c r="A786" s="3">
        <v>785</v>
      </c>
      <c r="B786" s="3" t="s">
        <v>1126</v>
      </c>
      <c r="C786" s="3" t="s">
        <v>2716</v>
      </c>
      <c r="D786" s="3" t="s">
        <v>2889</v>
      </c>
    </row>
    <row r="787" customHeight="1" spans="1:4">
      <c r="A787" s="3">
        <v>786</v>
      </c>
      <c r="B787" s="3" t="s">
        <v>1127</v>
      </c>
      <c r="C787" s="3" t="s">
        <v>1721</v>
      </c>
      <c r="D787" s="3" t="s">
        <v>2889</v>
      </c>
    </row>
    <row r="788" customHeight="1" spans="1:4">
      <c r="A788" s="3">
        <v>787</v>
      </c>
      <c r="B788" s="3" t="s">
        <v>1128</v>
      </c>
      <c r="C788" s="3" t="s">
        <v>2717</v>
      </c>
      <c r="D788" s="3" t="s">
        <v>2889</v>
      </c>
    </row>
    <row r="789" customHeight="1" spans="1:4">
      <c r="A789" s="3">
        <v>788</v>
      </c>
      <c r="B789" s="3" t="s">
        <v>1129</v>
      </c>
      <c r="C789" s="3" t="s">
        <v>1721</v>
      </c>
      <c r="D789" s="3" t="s">
        <v>2889</v>
      </c>
    </row>
    <row r="790" customHeight="1" spans="1:4">
      <c r="A790" s="3">
        <v>789</v>
      </c>
      <c r="B790" s="3" t="s">
        <v>1130</v>
      </c>
      <c r="C790" s="3" t="s">
        <v>1721</v>
      </c>
      <c r="D790" s="3" t="s">
        <v>2889</v>
      </c>
    </row>
    <row r="791" customHeight="1" spans="1:4">
      <c r="A791" s="3">
        <v>790</v>
      </c>
      <c r="B791" s="3" t="s">
        <v>1131</v>
      </c>
      <c r="C791" s="3" t="s">
        <v>2716</v>
      </c>
      <c r="D791" s="3" t="s">
        <v>2889</v>
      </c>
    </row>
    <row r="792" customHeight="1" spans="1:4">
      <c r="A792" s="3">
        <v>791</v>
      </c>
      <c r="B792" s="3" t="s">
        <v>1132</v>
      </c>
      <c r="C792" s="3" t="s">
        <v>2717</v>
      </c>
      <c r="D792" s="3" t="s">
        <v>2908</v>
      </c>
    </row>
    <row r="793" customHeight="1" spans="1:4">
      <c r="A793" s="3">
        <v>792</v>
      </c>
      <c r="B793" s="3" t="s">
        <v>187</v>
      </c>
      <c r="C793" s="3" t="s">
        <v>1721</v>
      </c>
      <c r="D793" s="3" t="s">
        <v>2889</v>
      </c>
    </row>
    <row r="794" customHeight="1" spans="1:4">
      <c r="A794" s="3">
        <v>793</v>
      </c>
      <c r="B794" s="3" t="s">
        <v>1133</v>
      </c>
      <c r="C794" s="3" t="s">
        <v>2716</v>
      </c>
      <c r="D794" s="3" t="s">
        <v>2889</v>
      </c>
    </row>
    <row r="795" customHeight="1" spans="1:4">
      <c r="A795" s="3">
        <v>794</v>
      </c>
      <c r="B795" s="3" t="s">
        <v>1134</v>
      </c>
      <c r="C795" s="3" t="s">
        <v>1721</v>
      </c>
      <c r="D795" s="3" t="s">
        <v>2889</v>
      </c>
    </row>
    <row r="796" customHeight="1" spans="1:4">
      <c r="A796" s="3">
        <v>795</v>
      </c>
      <c r="B796" s="3" t="s">
        <v>1135</v>
      </c>
      <c r="C796" s="3" t="s">
        <v>1721</v>
      </c>
      <c r="D796" s="3" t="s">
        <v>2889</v>
      </c>
    </row>
    <row r="797" customHeight="1" spans="1:4">
      <c r="A797" s="3">
        <v>796</v>
      </c>
      <c r="B797" s="3" t="s">
        <v>1136</v>
      </c>
      <c r="C797" s="3" t="s">
        <v>1721</v>
      </c>
      <c r="D797" s="3" t="s">
        <v>2889</v>
      </c>
    </row>
    <row r="798" customHeight="1" spans="1:4">
      <c r="A798" s="3">
        <v>797</v>
      </c>
      <c r="B798" s="3" t="s">
        <v>1137</v>
      </c>
      <c r="C798" s="3" t="s">
        <v>1721</v>
      </c>
      <c r="D798" s="3" t="s">
        <v>2889</v>
      </c>
    </row>
    <row r="799" customHeight="1" spans="1:4">
      <c r="A799" s="3">
        <v>798</v>
      </c>
      <c r="B799" s="3" t="s">
        <v>1138</v>
      </c>
      <c r="C799" s="3" t="s">
        <v>1721</v>
      </c>
      <c r="D799" s="3" t="s">
        <v>2889</v>
      </c>
    </row>
    <row r="800" customHeight="1" spans="1:4">
      <c r="A800" s="3">
        <v>799</v>
      </c>
      <c r="B800" s="3" t="s">
        <v>1139</v>
      </c>
      <c r="C800" s="3" t="s">
        <v>2717</v>
      </c>
      <c r="D800" s="3" t="s">
        <v>2889</v>
      </c>
    </row>
    <row r="801" customHeight="1" spans="1:4">
      <c r="A801" s="3">
        <v>800</v>
      </c>
      <c r="B801" s="3" t="s">
        <v>1140</v>
      </c>
      <c r="C801" s="3" t="s">
        <v>1721</v>
      </c>
      <c r="D801" s="3" t="s">
        <v>2889</v>
      </c>
    </row>
    <row r="802" customHeight="1" spans="1:4">
      <c r="A802" s="3">
        <v>801</v>
      </c>
      <c r="B802" s="3" t="s">
        <v>1141</v>
      </c>
      <c r="C802" s="3" t="s">
        <v>1721</v>
      </c>
      <c r="D802" s="3" t="s">
        <v>2889</v>
      </c>
    </row>
    <row r="803" customHeight="1" spans="1:4">
      <c r="A803" s="3">
        <v>802</v>
      </c>
      <c r="B803" s="3" t="s">
        <v>1142</v>
      </c>
      <c r="C803" s="3" t="s">
        <v>1721</v>
      </c>
      <c r="D803" s="3" t="s">
        <v>2889</v>
      </c>
    </row>
    <row r="804" customHeight="1" spans="1:4">
      <c r="A804" s="3">
        <v>803</v>
      </c>
      <c r="B804" s="3" t="s">
        <v>1143</v>
      </c>
      <c r="C804" s="3" t="s">
        <v>1721</v>
      </c>
      <c r="D804" s="3" t="s">
        <v>2889</v>
      </c>
    </row>
    <row r="805" customHeight="1" spans="1:4">
      <c r="A805" s="3">
        <v>804</v>
      </c>
      <c r="B805" s="3" t="s">
        <v>1144</v>
      </c>
      <c r="C805" s="3" t="s">
        <v>1721</v>
      </c>
      <c r="D805" s="3" t="s">
        <v>2889</v>
      </c>
    </row>
    <row r="806" customHeight="1" spans="1:4">
      <c r="A806" s="3">
        <v>805</v>
      </c>
      <c r="B806" s="3" t="s">
        <v>1145</v>
      </c>
      <c r="C806" s="3" t="s">
        <v>1721</v>
      </c>
      <c r="D806" s="3" t="s">
        <v>2889</v>
      </c>
    </row>
    <row r="807" customHeight="1" spans="1:4">
      <c r="A807" s="3">
        <v>806</v>
      </c>
      <c r="B807" s="3" t="s">
        <v>1146</v>
      </c>
      <c r="C807" s="3" t="s">
        <v>1721</v>
      </c>
      <c r="D807" s="3" t="s">
        <v>2889</v>
      </c>
    </row>
    <row r="808" customHeight="1" spans="1:4">
      <c r="A808" s="3">
        <v>807</v>
      </c>
      <c r="B808" s="3" t="s">
        <v>1147</v>
      </c>
      <c r="C808" s="3" t="s">
        <v>1721</v>
      </c>
      <c r="D808" s="3" t="s">
        <v>2889</v>
      </c>
    </row>
    <row r="809" customHeight="1" spans="1:4">
      <c r="A809" s="3">
        <v>808</v>
      </c>
      <c r="B809" s="3" t="s">
        <v>1148</v>
      </c>
      <c r="C809" s="3" t="s">
        <v>1721</v>
      </c>
      <c r="D809" s="3" t="s">
        <v>2889</v>
      </c>
    </row>
    <row r="810" customHeight="1" spans="1:4">
      <c r="A810" s="3">
        <v>809</v>
      </c>
      <c r="B810" s="3" t="s">
        <v>1149</v>
      </c>
      <c r="C810" s="3" t="s">
        <v>1721</v>
      </c>
      <c r="D810" s="3" t="s">
        <v>2889</v>
      </c>
    </row>
    <row r="811" customHeight="1" spans="1:4">
      <c r="A811" s="3">
        <v>810</v>
      </c>
      <c r="B811" s="3" t="s">
        <v>1150</v>
      </c>
      <c r="C811" s="3" t="s">
        <v>1721</v>
      </c>
      <c r="D811" s="3" t="s">
        <v>2889</v>
      </c>
    </row>
    <row r="812" customHeight="1" spans="1:4">
      <c r="A812" s="3">
        <v>811</v>
      </c>
      <c r="B812" s="3" t="s">
        <v>1151</v>
      </c>
      <c r="C812" s="3" t="s">
        <v>1721</v>
      </c>
      <c r="D812" s="3" t="s">
        <v>2889</v>
      </c>
    </row>
    <row r="813" customHeight="1" spans="1:4">
      <c r="A813" s="3">
        <v>812</v>
      </c>
      <c r="B813" s="3" t="s">
        <v>1152</v>
      </c>
      <c r="C813" s="3" t="s">
        <v>1721</v>
      </c>
      <c r="D813" s="3" t="s">
        <v>2889</v>
      </c>
    </row>
    <row r="814" customHeight="1" spans="1:4">
      <c r="A814" s="3">
        <v>813</v>
      </c>
      <c r="B814" s="3" t="s">
        <v>1153</v>
      </c>
      <c r="C814" s="3" t="s">
        <v>2717</v>
      </c>
      <c r="D814" s="3" t="s">
        <v>2889</v>
      </c>
    </row>
    <row r="815" customHeight="1" spans="1:4">
      <c r="A815" s="3">
        <v>814</v>
      </c>
      <c r="B815" s="3" t="s">
        <v>1154</v>
      </c>
      <c r="C815" s="3" t="s">
        <v>1721</v>
      </c>
      <c r="D815" s="3" t="s">
        <v>2889</v>
      </c>
    </row>
    <row r="816" customHeight="1" spans="1:4">
      <c r="A816" s="3">
        <v>815</v>
      </c>
      <c r="B816" s="3" t="s">
        <v>1155</v>
      </c>
      <c r="C816" s="3" t="s">
        <v>1721</v>
      </c>
      <c r="D816" s="3" t="s">
        <v>2889</v>
      </c>
    </row>
    <row r="817" customHeight="1" spans="1:4">
      <c r="A817" s="3">
        <v>816</v>
      </c>
      <c r="B817" s="3" t="s">
        <v>1156</v>
      </c>
      <c r="C817" s="3" t="s">
        <v>1721</v>
      </c>
      <c r="D817" s="3" t="s">
        <v>2889</v>
      </c>
    </row>
    <row r="818" customHeight="1" spans="1:4">
      <c r="A818" s="3">
        <v>817</v>
      </c>
      <c r="B818" s="3" t="s">
        <v>1157</v>
      </c>
      <c r="C818" s="3" t="s">
        <v>2717</v>
      </c>
      <c r="D818" s="3" t="s">
        <v>2889</v>
      </c>
    </row>
    <row r="819" customHeight="1" spans="1:4">
      <c r="A819" s="3">
        <v>818</v>
      </c>
      <c r="B819" s="3" t="s">
        <v>1158</v>
      </c>
      <c r="C819" s="3" t="s">
        <v>1721</v>
      </c>
      <c r="D819" s="3" t="s">
        <v>2889</v>
      </c>
    </row>
    <row r="820" customHeight="1" spans="1:4">
      <c r="A820" s="3">
        <v>819</v>
      </c>
      <c r="B820" s="3" t="s">
        <v>1159</v>
      </c>
      <c r="C820" s="3" t="s">
        <v>1721</v>
      </c>
      <c r="D820" s="3" t="s">
        <v>2889</v>
      </c>
    </row>
    <row r="821" customHeight="1" spans="1:4">
      <c r="A821" s="3">
        <v>820</v>
      </c>
      <c r="B821" s="3" t="s">
        <v>1160</v>
      </c>
      <c r="C821" s="3" t="s">
        <v>1721</v>
      </c>
      <c r="D821" s="3" t="s">
        <v>2889</v>
      </c>
    </row>
    <row r="822" customHeight="1" spans="1:4">
      <c r="A822" s="3">
        <v>821</v>
      </c>
      <c r="B822" s="3" t="s">
        <v>1161</v>
      </c>
      <c r="C822" s="3" t="s">
        <v>2716</v>
      </c>
      <c r="D822" s="3" t="s">
        <v>2889</v>
      </c>
    </row>
    <row r="823" customHeight="1" spans="1:4">
      <c r="A823" s="3">
        <v>822</v>
      </c>
      <c r="B823" s="3" t="s">
        <v>1162</v>
      </c>
      <c r="C823" s="3" t="s">
        <v>2717</v>
      </c>
      <c r="D823" s="3" t="s">
        <v>2889</v>
      </c>
    </row>
    <row r="824" customHeight="1" spans="1:4">
      <c r="A824" s="3">
        <v>823</v>
      </c>
      <c r="B824" s="3" t="s">
        <v>1163</v>
      </c>
      <c r="C824" s="3" t="s">
        <v>1721</v>
      </c>
      <c r="D824" s="3" t="s">
        <v>2889</v>
      </c>
    </row>
    <row r="825" customHeight="1" spans="1:4">
      <c r="A825" s="3">
        <v>824</v>
      </c>
      <c r="B825" s="3" t="s">
        <v>1164</v>
      </c>
      <c r="C825" s="3" t="s">
        <v>2717</v>
      </c>
      <c r="D825" s="3" t="s">
        <v>2889</v>
      </c>
    </row>
    <row r="826" customHeight="1" spans="1:4">
      <c r="A826" s="3">
        <v>825</v>
      </c>
      <c r="B826" s="3" t="s">
        <v>1165</v>
      </c>
      <c r="C826" s="3" t="s">
        <v>1721</v>
      </c>
      <c r="D826" s="3" t="s">
        <v>2889</v>
      </c>
    </row>
    <row r="827" customHeight="1" spans="1:4">
      <c r="A827" s="3">
        <v>826</v>
      </c>
      <c r="B827" s="3" t="s">
        <v>1166</v>
      </c>
      <c r="C827" s="3" t="s">
        <v>2716</v>
      </c>
      <c r="D827" s="3" t="s">
        <v>2889</v>
      </c>
    </row>
    <row r="828" customHeight="1" spans="1:4">
      <c r="A828" s="3">
        <v>827</v>
      </c>
      <c r="B828" s="3" t="s">
        <v>1167</v>
      </c>
      <c r="C828" s="3" t="s">
        <v>2716</v>
      </c>
      <c r="D828" s="3" t="s">
        <v>2889</v>
      </c>
    </row>
    <row r="829" customHeight="1" spans="1:4">
      <c r="A829" s="3">
        <v>828</v>
      </c>
      <c r="B829" s="3" t="s">
        <v>1168</v>
      </c>
      <c r="C829" s="3" t="s">
        <v>2716</v>
      </c>
      <c r="D829" s="3" t="s">
        <v>2969</v>
      </c>
    </row>
    <row r="830" customHeight="1" spans="1:4">
      <c r="A830" s="3">
        <v>829</v>
      </c>
      <c r="B830" s="3" t="s">
        <v>1169</v>
      </c>
      <c r="C830" s="3" t="s">
        <v>1721</v>
      </c>
      <c r="D830" s="3" t="s">
        <v>2908</v>
      </c>
    </row>
    <row r="831" customHeight="1" spans="1:4">
      <c r="A831" s="3">
        <v>830</v>
      </c>
      <c r="B831" s="3" t="s">
        <v>1170</v>
      </c>
      <c r="C831" s="3" t="s">
        <v>1721</v>
      </c>
      <c r="D831" s="3" t="s">
        <v>2889</v>
      </c>
    </row>
    <row r="832" customHeight="1" spans="1:4">
      <c r="A832" s="3">
        <v>831</v>
      </c>
      <c r="B832" s="3" t="s">
        <v>1171</v>
      </c>
      <c r="C832" s="3" t="s">
        <v>1721</v>
      </c>
      <c r="D832" s="3" t="s">
        <v>2889</v>
      </c>
    </row>
    <row r="833" customHeight="1" spans="1:4">
      <c r="A833" s="3">
        <v>832</v>
      </c>
      <c r="B833" s="3" t="s">
        <v>1172</v>
      </c>
      <c r="C833" s="3" t="s">
        <v>1721</v>
      </c>
      <c r="D833" s="3" t="s">
        <v>2889</v>
      </c>
    </row>
    <row r="834" customHeight="1" spans="1:4">
      <c r="A834" s="3">
        <v>833</v>
      </c>
      <c r="B834" s="3" t="s">
        <v>1173</v>
      </c>
      <c r="C834" s="3" t="s">
        <v>1721</v>
      </c>
      <c r="D834" s="3" t="s">
        <v>2889</v>
      </c>
    </row>
    <row r="835" customHeight="1" spans="1:4">
      <c r="A835" s="3">
        <v>834</v>
      </c>
      <c r="B835" s="3" t="s">
        <v>1174</v>
      </c>
      <c r="C835" s="3" t="s">
        <v>1721</v>
      </c>
      <c r="D835" s="3" t="s">
        <v>2889</v>
      </c>
    </row>
    <row r="836" customHeight="1" spans="1:4">
      <c r="A836" s="3">
        <v>835</v>
      </c>
      <c r="B836" s="3" t="s">
        <v>1175</v>
      </c>
      <c r="C836" s="3" t="s">
        <v>1721</v>
      </c>
      <c r="D836" s="3" t="s">
        <v>2889</v>
      </c>
    </row>
    <row r="837" customHeight="1" spans="1:4">
      <c r="A837" s="3">
        <v>836</v>
      </c>
      <c r="B837" s="3" t="s">
        <v>1176</v>
      </c>
      <c r="C837" s="3" t="s">
        <v>1721</v>
      </c>
      <c r="D837" s="3" t="s">
        <v>2889</v>
      </c>
    </row>
    <row r="838" customHeight="1" spans="1:4">
      <c r="A838" s="3">
        <v>837</v>
      </c>
      <c r="B838" s="3" t="s">
        <v>1177</v>
      </c>
      <c r="C838" s="3" t="s">
        <v>1721</v>
      </c>
      <c r="D838" s="3" t="s">
        <v>2896</v>
      </c>
    </row>
    <row r="839" customHeight="1" spans="1:4">
      <c r="A839" s="3">
        <v>838</v>
      </c>
      <c r="B839" s="3" t="s">
        <v>1178</v>
      </c>
      <c r="C839" s="3" t="s">
        <v>1721</v>
      </c>
      <c r="D839" s="3" t="s">
        <v>2896</v>
      </c>
    </row>
    <row r="840" customHeight="1" spans="1:4">
      <c r="A840" s="3">
        <v>839</v>
      </c>
      <c r="B840" s="3" t="s">
        <v>1179</v>
      </c>
      <c r="C840" s="3" t="s">
        <v>2717</v>
      </c>
      <c r="D840" s="3" t="s">
        <v>2889</v>
      </c>
    </row>
    <row r="841" customHeight="1" spans="1:4">
      <c r="A841" s="3">
        <v>840</v>
      </c>
      <c r="B841" s="3" t="s">
        <v>1180</v>
      </c>
      <c r="C841" s="3" t="s">
        <v>2717</v>
      </c>
      <c r="D841" s="3" t="s">
        <v>2889</v>
      </c>
    </row>
    <row r="842" customHeight="1" spans="1:4">
      <c r="A842" s="3">
        <v>841</v>
      </c>
      <c r="B842" s="3" t="s">
        <v>1181</v>
      </c>
      <c r="C842" s="3" t="s">
        <v>1721</v>
      </c>
      <c r="D842" s="3" t="s">
        <v>2889</v>
      </c>
    </row>
    <row r="843" customHeight="1" spans="1:4">
      <c r="A843" s="3">
        <v>842</v>
      </c>
      <c r="B843" s="3" t="s">
        <v>1182</v>
      </c>
      <c r="C843" s="3" t="s">
        <v>2717</v>
      </c>
      <c r="D843" s="3" t="s">
        <v>2908</v>
      </c>
    </row>
    <row r="844" customHeight="1" spans="1:4">
      <c r="A844" s="3">
        <v>843</v>
      </c>
      <c r="B844" s="3" t="s">
        <v>1183</v>
      </c>
      <c r="C844" s="3" t="s">
        <v>1721</v>
      </c>
      <c r="D844" s="3" t="s">
        <v>2908</v>
      </c>
    </row>
    <row r="845" customHeight="1" spans="1:4">
      <c r="A845" s="3">
        <v>844</v>
      </c>
      <c r="B845" s="3" t="s">
        <v>1184</v>
      </c>
      <c r="C845" s="3" t="s">
        <v>1721</v>
      </c>
      <c r="D845" s="3" t="s">
        <v>2889</v>
      </c>
    </row>
    <row r="846" customHeight="1" spans="1:4">
      <c r="A846" s="3">
        <v>845</v>
      </c>
      <c r="B846" s="3" t="s">
        <v>1185</v>
      </c>
      <c r="C846" s="3" t="s">
        <v>1721</v>
      </c>
      <c r="D846" s="3" t="s">
        <v>2893</v>
      </c>
    </row>
    <row r="847" customHeight="1" spans="1:4">
      <c r="A847" s="3">
        <v>846</v>
      </c>
      <c r="B847" s="3" t="s">
        <v>1186</v>
      </c>
      <c r="C847" s="3" t="s">
        <v>1721</v>
      </c>
      <c r="D847" s="3" t="s">
        <v>2921</v>
      </c>
    </row>
    <row r="848" customHeight="1" spans="1:4">
      <c r="A848" s="3">
        <v>847</v>
      </c>
      <c r="B848" s="3" t="s">
        <v>1187</v>
      </c>
      <c r="C848" s="3" t="s">
        <v>1721</v>
      </c>
      <c r="D848" s="3" t="s">
        <v>2889</v>
      </c>
    </row>
    <row r="849" customHeight="1" spans="1:4">
      <c r="A849" s="3">
        <v>848</v>
      </c>
      <c r="B849" s="3" t="s">
        <v>1188</v>
      </c>
      <c r="C849" s="3" t="s">
        <v>1721</v>
      </c>
      <c r="D849" s="3" t="s">
        <v>2911</v>
      </c>
    </row>
    <row r="850" customHeight="1" spans="1:4">
      <c r="A850" s="3">
        <v>849</v>
      </c>
      <c r="B850" s="3" t="s">
        <v>1189</v>
      </c>
      <c r="C850" s="3" t="s">
        <v>1721</v>
      </c>
      <c r="D850" s="3" t="s">
        <v>2889</v>
      </c>
    </row>
    <row r="851" customHeight="1" spans="1:4">
      <c r="A851" s="3">
        <v>850</v>
      </c>
      <c r="B851" s="3" t="s">
        <v>1190</v>
      </c>
      <c r="C851" s="3" t="s">
        <v>1721</v>
      </c>
      <c r="D851" s="3" t="s">
        <v>2889</v>
      </c>
    </row>
    <row r="852" customHeight="1" spans="1:4">
      <c r="A852" s="3">
        <v>851</v>
      </c>
      <c r="B852" s="3" t="s">
        <v>1191</v>
      </c>
      <c r="C852" s="3" t="s">
        <v>2717</v>
      </c>
      <c r="D852" s="3" t="s">
        <v>2889</v>
      </c>
    </row>
    <row r="853" customHeight="1" spans="1:4">
      <c r="A853" s="3">
        <v>852</v>
      </c>
      <c r="B853" s="3" t="s">
        <v>1192</v>
      </c>
      <c r="C853" s="3" t="s">
        <v>2716</v>
      </c>
      <c r="D853" s="3" t="s">
        <v>2889</v>
      </c>
    </row>
    <row r="854" customHeight="1" spans="1:4">
      <c r="A854" s="3">
        <v>853</v>
      </c>
      <c r="B854" s="3" t="s">
        <v>1193</v>
      </c>
      <c r="C854" s="3" t="s">
        <v>1721</v>
      </c>
      <c r="D854" s="3" t="s">
        <v>2889</v>
      </c>
    </row>
    <row r="855" customHeight="1" spans="1:4">
      <c r="A855" s="3">
        <v>854</v>
      </c>
      <c r="B855" s="3" t="s">
        <v>1194</v>
      </c>
      <c r="C855" s="3" t="s">
        <v>2717</v>
      </c>
      <c r="D855" s="3" t="s">
        <v>2889</v>
      </c>
    </row>
    <row r="856" customHeight="1" spans="1:4">
      <c r="A856" s="3">
        <v>855</v>
      </c>
      <c r="B856" s="3" t="s">
        <v>1195</v>
      </c>
      <c r="C856" s="3" t="s">
        <v>2717</v>
      </c>
      <c r="D856" s="3" t="s">
        <v>2896</v>
      </c>
    </row>
    <row r="857" customHeight="1" spans="1:4">
      <c r="A857" s="3">
        <v>856</v>
      </c>
      <c r="B857" s="3" t="s">
        <v>1196</v>
      </c>
      <c r="C857" s="3" t="s">
        <v>2716</v>
      </c>
      <c r="D857" s="3" t="s">
        <v>2889</v>
      </c>
    </row>
    <row r="858" customHeight="1" spans="1:4">
      <c r="A858" s="3">
        <v>857</v>
      </c>
      <c r="B858" s="3" t="s">
        <v>1197</v>
      </c>
      <c r="C858" s="3" t="s">
        <v>1721</v>
      </c>
      <c r="D858" s="3" t="s">
        <v>2921</v>
      </c>
    </row>
    <row r="859" customHeight="1" spans="1:4">
      <c r="A859" s="3">
        <v>858</v>
      </c>
      <c r="B859" s="3" t="s">
        <v>1198</v>
      </c>
      <c r="C859" s="3" t="s">
        <v>1721</v>
      </c>
      <c r="D859" s="3" t="s">
        <v>2908</v>
      </c>
    </row>
    <row r="860" customHeight="1" spans="1:4">
      <c r="A860" s="3">
        <v>859</v>
      </c>
      <c r="B860" s="3" t="s">
        <v>1199</v>
      </c>
      <c r="C860" s="3" t="s">
        <v>2716</v>
      </c>
      <c r="D860" s="3" t="s">
        <v>2893</v>
      </c>
    </row>
    <row r="861" customHeight="1" spans="1:4">
      <c r="A861" s="3">
        <v>860</v>
      </c>
      <c r="B861" s="3" t="s">
        <v>1200</v>
      </c>
      <c r="C861" s="3" t="s">
        <v>2717</v>
      </c>
      <c r="D861" s="3" t="s">
        <v>2889</v>
      </c>
    </row>
    <row r="862" customHeight="1" spans="1:4">
      <c r="A862" s="3">
        <v>861</v>
      </c>
      <c r="B862" s="3" t="s">
        <v>1201</v>
      </c>
      <c r="C862" s="3" t="s">
        <v>1721</v>
      </c>
      <c r="D862" s="3" t="s">
        <v>2889</v>
      </c>
    </row>
    <row r="863" customHeight="1" spans="1:4">
      <c r="A863" s="3">
        <v>862</v>
      </c>
      <c r="B863" s="3" t="s">
        <v>1202</v>
      </c>
      <c r="C863" s="3" t="s">
        <v>1721</v>
      </c>
      <c r="D863" s="3" t="s">
        <v>2889</v>
      </c>
    </row>
    <row r="864" customHeight="1" spans="1:4">
      <c r="A864" s="3">
        <v>863</v>
      </c>
      <c r="B864" s="3" t="s">
        <v>1203</v>
      </c>
      <c r="C864" s="3" t="s">
        <v>1721</v>
      </c>
      <c r="D864" s="3" t="s">
        <v>2889</v>
      </c>
    </row>
    <row r="865" customHeight="1" spans="1:4">
      <c r="A865" s="3">
        <v>864</v>
      </c>
      <c r="B865" s="3" t="s">
        <v>1204</v>
      </c>
      <c r="C865" s="3" t="s">
        <v>1721</v>
      </c>
      <c r="D865" s="3" t="s">
        <v>2889</v>
      </c>
    </row>
    <row r="866" customHeight="1" spans="1:4">
      <c r="A866" s="3">
        <v>865</v>
      </c>
      <c r="B866" s="3" t="s">
        <v>194</v>
      </c>
      <c r="C866" s="3" t="s">
        <v>1721</v>
      </c>
      <c r="D866" s="3" t="s">
        <v>2893</v>
      </c>
    </row>
    <row r="867" customHeight="1" spans="1:4">
      <c r="A867" s="3">
        <v>866</v>
      </c>
      <c r="B867" s="3" t="s">
        <v>1205</v>
      </c>
      <c r="C867" s="3" t="s">
        <v>2716</v>
      </c>
      <c r="D867" s="3" t="s">
        <v>2908</v>
      </c>
    </row>
    <row r="868" customHeight="1" spans="1:4">
      <c r="A868" s="3">
        <v>867</v>
      </c>
      <c r="B868" s="3" t="s">
        <v>1206</v>
      </c>
      <c r="C868" s="3" t="s">
        <v>2717</v>
      </c>
      <c r="D868" s="3" t="s">
        <v>2908</v>
      </c>
    </row>
    <row r="869" customHeight="1" spans="1:4">
      <c r="A869" s="3">
        <v>868</v>
      </c>
      <c r="B869" s="3" t="s">
        <v>1207</v>
      </c>
      <c r="C869" s="3" t="s">
        <v>1721</v>
      </c>
      <c r="D869" s="3" t="s">
        <v>2908</v>
      </c>
    </row>
    <row r="870" customHeight="1" spans="1:4">
      <c r="A870" s="3">
        <v>869</v>
      </c>
      <c r="B870" s="3" t="s">
        <v>1208</v>
      </c>
      <c r="C870" s="3" t="s">
        <v>1721</v>
      </c>
      <c r="D870" s="3" t="s">
        <v>2889</v>
      </c>
    </row>
    <row r="871" customHeight="1" spans="1:4">
      <c r="A871" s="3">
        <v>870</v>
      </c>
      <c r="B871" s="3" t="s">
        <v>201</v>
      </c>
      <c r="C871" s="3" t="s">
        <v>2717</v>
      </c>
      <c r="D871" s="3" t="s">
        <v>2889</v>
      </c>
    </row>
    <row r="872" customHeight="1" spans="1:4">
      <c r="A872" s="3">
        <v>871</v>
      </c>
      <c r="B872" s="3" t="s">
        <v>1209</v>
      </c>
      <c r="C872" s="3" t="s">
        <v>2717</v>
      </c>
      <c r="D872" s="3" t="s">
        <v>2889</v>
      </c>
    </row>
    <row r="873" customHeight="1" spans="1:4">
      <c r="A873" s="3">
        <v>872</v>
      </c>
      <c r="B873" s="3" t="s">
        <v>1210</v>
      </c>
      <c r="C873" s="3" t="s">
        <v>2716</v>
      </c>
      <c r="D873" s="3" t="s">
        <v>2889</v>
      </c>
    </row>
    <row r="874" customHeight="1" spans="1:4">
      <c r="A874" s="3">
        <v>873</v>
      </c>
      <c r="B874" s="3" t="s">
        <v>1211</v>
      </c>
      <c r="C874" s="3" t="s">
        <v>2716</v>
      </c>
      <c r="D874" s="3" t="s">
        <v>2889</v>
      </c>
    </row>
    <row r="875" customHeight="1" spans="1:4">
      <c r="A875" s="3">
        <v>874</v>
      </c>
      <c r="B875" s="3" t="s">
        <v>1212</v>
      </c>
      <c r="C875" s="3" t="s">
        <v>1721</v>
      </c>
      <c r="D875" s="3" t="s">
        <v>2921</v>
      </c>
    </row>
    <row r="876" customHeight="1" spans="1:4">
      <c r="A876" s="3">
        <v>875</v>
      </c>
      <c r="B876" s="3" t="s">
        <v>1213</v>
      </c>
      <c r="C876" s="3" t="s">
        <v>2717</v>
      </c>
      <c r="D876" s="3" t="s">
        <v>2889</v>
      </c>
    </row>
    <row r="877" customHeight="1" spans="1:4">
      <c r="A877" s="3">
        <v>876</v>
      </c>
      <c r="B877" s="3" t="s">
        <v>1214</v>
      </c>
      <c r="C877" s="3" t="s">
        <v>1721</v>
      </c>
      <c r="D877" s="3" t="s">
        <v>2896</v>
      </c>
    </row>
    <row r="878" customHeight="1" spans="1:4">
      <c r="A878" s="3">
        <v>877</v>
      </c>
      <c r="B878" s="3" t="s">
        <v>1215</v>
      </c>
      <c r="C878" s="3" t="s">
        <v>2716</v>
      </c>
      <c r="D878" s="3" t="s">
        <v>2889</v>
      </c>
    </row>
    <row r="879" customHeight="1" spans="1:4">
      <c r="A879" s="3">
        <v>878</v>
      </c>
      <c r="B879" s="3" t="s">
        <v>1216</v>
      </c>
      <c r="C879" s="3" t="s">
        <v>2716</v>
      </c>
      <c r="D879" s="3" t="s">
        <v>2911</v>
      </c>
    </row>
    <row r="880" customHeight="1" spans="1:4">
      <c r="A880" s="3">
        <v>879</v>
      </c>
      <c r="B880" s="3" t="s">
        <v>1217</v>
      </c>
      <c r="C880" s="3" t="s">
        <v>2717</v>
      </c>
      <c r="D880" s="3" t="s">
        <v>2889</v>
      </c>
    </row>
    <row r="881" customHeight="1" spans="1:4">
      <c r="A881" s="3">
        <v>880</v>
      </c>
      <c r="B881" s="3" t="s">
        <v>208</v>
      </c>
      <c r="C881" s="3" t="s">
        <v>2717</v>
      </c>
      <c r="D881" s="3" t="s">
        <v>2889</v>
      </c>
    </row>
    <row r="882" customHeight="1" spans="1:4">
      <c r="A882" s="3">
        <v>881</v>
      </c>
      <c r="B882" s="3" t="s">
        <v>1218</v>
      </c>
      <c r="C882" s="3" t="s">
        <v>1721</v>
      </c>
      <c r="D882" s="3" t="s">
        <v>2908</v>
      </c>
    </row>
    <row r="883" customHeight="1" spans="1:4">
      <c r="A883" s="3">
        <v>882</v>
      </c>
      <c r="B883" s="3" t="s">
        <v>1219</v>
      </c>
      <c r="C883" s="3" t="s">
        <v>2716</v>
      </c>
      <c r="D883" s="3" t="s">
        <v>2911</v>
      </c>
    </row>
    <row r="884" customHeight="1" spans="1:4">
      <c r="A884" s="3">
        <v>883</v>
      </c>
      <c r="B884" s="3" t="s">
        <v>1220</v>
      </c>
      <c r="C884" s="3" t="s">
        <v>2716</v>
      </c>
      <c r="D884" s="3" t="s">
        <v>2889</v>
      </c>
    </row>
    <row r="885" customHeight="1" spans="1:4">
      <c r="A885" s="3">
        <v>884</v>
      </c>
      <c r="B885" s="3" t="s">
        <v>1221</v>
      </c>
      <c r="C885" s="3" t="s">
        <v>2716</v>
      </c>
      <c r="D885" s="3" t="s">
        <v>2889</v>
      </c>
    </row>
    <row r="886" customHeight="1" spans="1:4">
      <c r="A886" s="3">
        <v>885</v>
      </c>
      <c r="B886" s="3" t="s">
        <v>1222</v>
      </c>
      <c r="C886" s="3" t="s">
        <v>2716</v>
      </c>
      <c r="D886" s="3" t="s">
        <v>2889</v>
      </c>
    </row>
    <row r="887" customHeight="1" spans="1:4">
      <c r="A887" s="3">
        <v>886</v>
      </c>
      <c r="B887" s="3" t="s">
        <v>1223</v>
      </c>
      <c r="C887" s="3" t="s">
        <v>2716</v>
      </c>
      <c r="D887" s="3" t="s">
        <v>2889</v>
      </c>
    </row>
    <row r="888" customHeight="1" spans="1:4">
      <c r="A888" s="3">
        <v>887</v>
      </c>
      <c r="B888" s="3" t="s">
        <v>1224</v>
      </c>
      <c r="C888" s="3" t="s">
        <v>2716</v>
      </c>
      <c r="D888" s="3" t="s">
        <v>2889</v>
      </c>
    </row>
    <row r="889" customHeight="1" spans="1:4">
      <c r="A889" s="3">
        <v>888</v>
      </c>
      <c r="B889" s="3" t="s">
        <v>1225</v>
      </c>
      <c r="C889" s="3" t="s">
        <v>2717</v>
      </c>
      <c r="D889" s="3" t="s">
        <v>2889</v>
      </c>
    </row>
    <row r="890" customHeight="1" spans="1:4">
      <c r="A890" s="3">
        <v>889</v>
      </c>
      <c r="B890" s="3" t="s">
        <v>1226</v>
      </c>
      <c r="C890" s="3" t="s">
        <v>1721</v>
      </c>
      <c r="D890" s="3" t="s">
        <v>2889</v>
      </c>
    </row>
    <row r="891" customHeight="1" spans="1:4">
      <c r="A891" s="3">
        <v>890</v>
      </c>
      <c r="B891" s="3" t="s">
        <v>1227</v>
      </c>
      <c r="C891" s="3" t="s">
        <v>1721</v>
      </c>
      <c r="D891" s="3" t="s">
        <v>2889</v>
      </c>
    </row>
    <row r="892" customHeight="1" spans="1:4">
      <c r="A892" s="3">
        <v>891</v>
      </c>
      <c r="B892" s="3" t="s">
        <v>1228</v>
      </c>
      <c r="C892" s="3" t="s">
        <v>1721</v>
      </c>
      <c r="D892" s="3" t="s">
        <v>2889</v>
      </c>
    </row>
    <row r="893" customHeight="1" spans="1:4">
      <c r="A893" s="3">
        <v>892</v>
      </c>
      <c r="B893" s="3" t="s">
        <v>1229</v>
      </c>
      <c r="C893" s="3" t="s">
        <v>1721</v>
      </c>
      <c r="D893" s="3" t="s">
        <v>2889</v>
      </c>
    </row>
    <row r="894" customHeight="1" spans="1:4">
      <c r="A894" s="3">
        <v>893</v>
      </c>
      <c r="B894" s="3" t="s">
        <v>1230</v>
      </c>
      <c r="C894" s="3" t="s">
        <v>1721</v>
      </c>
      <c r="D894" s="3" t="s">
        <v>2908</v>
      </c>
    </row>
    <row r="895" customHeight="1" spans="1:4">
      <c r="A895" s="3">
        <v>894</v>
      </c>
      <c r="B895" s="3" t="s">
        <v>1231</v>
      </c>
      <c r="C895" s="3" t="s">
        <v>1721</v>
      </c>
      <c r="D895" s="3" t="s">
        <v>2911</v>
      </c>
    </row>
    <row r="896" customHeight="1" spans="1:4">
      <c r="A896" s="3">
        <v>895</v>
      </c>
      <c r="B896" s="3" t="s">
        <v>1232</v>
      </c>
      <c r="C896" s="3" t="s">
        <v>1721</v>
      </c>
      <c r="D896" s="3" t="s">
        <v>3298</v>
      </c>
    </row>
    <row r="897" customHeight="1" spans="1:4">
      <c r="A897" s="3">
        <v>896</v>
      </c>
      <c r="B897" s="3" t="s">
        <v>1233</v>
      </c>
      <c r="C897" s="3" t="s">
        <v>1721</v>
      </c>
      <c r="D897" s="3" t="s">
        <v>2896</v>
      </c>
    </row>
    <row r="898" customHeight="1" spans="1:4">
      <c r="A898" s="3">
        <v>897</v>
      </c>
      <c r="B898" s="3" t="s">
        <v>1234</v>
      </c>
      <c r="C898" s="3" t="s">
        <v>1721</v>
      </c>
      <c r="D898" s="3" t="s">
        <v>2921</v>
      </c>
    </row>
    <row r="899" customHeight="1" spans="1:4">
      <c r="A899" s="3">
        <v>898</v>
      </c>
      <c r="B899" s="3" t="s">
        <v>1235</v>
      </c>
      <c r="C899" s="3" t="s">
        <v>2716</v>
      </c>
      <c r="D899" s="3" t="s">
        <v>2908</v>
      </c>
    </row>
    <row r="900" customHeight="1" spans="1:4">
      <c r="A900" s="3">
        <v>899</v>
      </c>
      <c r="B900" s="3" t="s">
        <v>1236</v>
      </c>
      <c r="C900" s="3" t="s">
        <v>2716</v>
      </c>
      <c r="D900" s="3" t="s">
        <v>2908</v>
      </c>
    </row>
    <row r="901" customHeight="1" spans="1:4">
      <c r="A901" s="3">
        <v>900</v>
      </c>
      <c r="B901" s="3" t="s">
        <v>1237</v>
      </c>
      <c r="C901" s="3" t="s">
        <v>1721</v>
      </c>
      <c r="D901" s="3" t="s">
        <v>2889</v>
      </c>
    </row>
    <row r="902" customHeight="1" spans="1:4">
      <c r="A902" s="3">
        <v>901</v>
      </c>
      <c r="B902" s="3" t="s">
        <v>1238</v>
      </c>
      <c r="C902" s="3" t="s">
        <v>2716</v>
      </c>
      <c r="D902" s="3" t="s">
        <v>2893</v>
      </c>
    </row>
    <row r="903" customHeight="1" spans="1:4">
      <c r="A903" s="3">
        <v>902</v>
      </c>
      <c r="B903" s="3" t="s">
        <v>1239</v>
      </c>
      <c r="C903" s="3" t="s">
        <v>1721</v>
      </c>
      <c r="D903" s="3" t="s">
        <v>2921</v>
      </c>
    </row>
    <row r="904" customHeight="1" spans="1:4">
      <c r="A904" s="3">
        <v>903</v>
      </c>
      <c r="B904" s="3" t="s">
        <v>1240</v>
      </c>
      <c r="C904" s="3" t="s">
        <v>2717</v>
      </c>
      <c r="D904" s="3" t="s">
        <v>2908</v>
      </c>
    </row>
    <row r="905" customHeight="1" spans="1:4">
      <c r="A905" s="3">
        <v>904</v>
      </c>
      <c r="B905" s="3" t="s">
        <v>1241</v>
      </c>
      <c r="C905" s="3" t="s">
        <v>2716</v>
      </c>
      <c r="D905" s="3" t="s">
        <v>2896</v>
      </c>
    </row>
    <row r="906" customHeight="1" spans="1:4">
      <c r="A906" s="3">
        <v>905</v>
      </c>
      <c r="B906" s="3" t="s">
        <v>1242</v>
      </c>
      <c r="C906" s="3" t="s">
        <v>2716</v>
      </c>
      <c r="D906" s="3" t="s">
        <v>2889</v>
      </c>
    </row>
    <row r="907" customHeight="1" spans="1:4">
      <c r="A907" s="3">
        <v>906</v>
      </c>
      <c r="B907" s="3" t="s">
        <v>1243</v>
      </c>
      <c r="C907" s="3" t="s">
        <v>2716</v>
      </c>
      <c r="D907" s="3" t="s">
        <v>2889</v>
      </c>
    </row>
    <row r="908" customHeight="1" spans="1:4">
      <c r="A908" s="3">
        <v>907</v>
      </c>
      <c r="B908" s="3" t="s">
        <v>1244</v>
      </c>
      <c r="C908" s="3" t="s">
        <v>2716</v>
      </c>
      <c r="D908" s="3" t="s">
        <v>2889</v>
      </c>
    </row>
    <row r="909" customHeight="1" spans="1:4">
      <c r="A909" s="3">
        <v>908</v>
      </c>
      <c r="B909" s="3" t="s">
        <v>1245</v>
      </c>
      <c r="C909" s="3" t="s">
        <v>2716</v>
      </c>
      <c r="D909" s="3" t="s">
        <v>2889</v>
      </c>
    </row>
    <row r="910" customHeight="1" spans="1:4">
      <c r="A910" s="3">
        <v>909</v>
      </c>
      <c r="B910" s="3" t="s">
        <v>1246</v>
      </c>
      <c r="C910" s="3" t="s">
        <v>2717</v>
      </c>
      <c r="D910" s="3" t="s">
        <v>2889</v>
      </c>
    </row>
    <row r="911" customHeight="1" spans="1:4">
      <c r="A911" s="3">
        <v>910</v>
      </c>
      <c r="B911" s="3" t="s">
        <v>1247</v>
      </c>
      <c r="C911" s="3" t="s">
        <v>1721</v>
      </c>
      <c r="D911" s="3" t="s">
        <v>2893</v>
      </c>
    </row>
    <row r="912" customHeight="1" spans="1:4">
      <c r="A912" s="3">
        <v>911</v>
      </c>
      <c r="B912" s="3" t="s">
        <v>215</v>
      </c>
      <c r="C912" s="3" t="s">
        <v>2717</v>
      </c>
      <c r="D912" s="3" t="s">
        <v>2889</v>
      </c>
    </row>
    <row r="913" customHeight="1" spans="1:4">
      <c r="A913" s="3">
        <v>912</v>
      </c>
      <c r="B913" s="3" t="s">
        <v>1248</v>
      </c>
      <c r="C913" s="3" t="s">
        <v>2717</v>
      </c>
      <c r="D913" s="3" t="s">
        <v>2908</v>
      </c>
    </row>
    <row r="914" customHeight="1" spans="1:4">
      <c r="A914" s="3">
        <v>913</v>
      </c>
      <c r="B914" s="3" t="s">
        <v>1249</v>
      </c>
      <c r="C914" s="3" t="s">
        <v>1721</v>
      </c>
      <c r="D914" s="3" t="s">
        <v>2893</v>
      </c>
    </row>
    <row r="915" customHeight="1" spans="1:4">
      <c r="A915" s="3">
        <v>914</v>
      </c>
      <c r="B915" s="3" t="s">
        <v>1250</v>
      </c>
      <c r="C915" s="3" t="s">
        <v>1721</v>
      </c>
      <c r="D915" s="3" t="s">
        <v>2889</v>
      </c>
    </row>
    <row r="916" customHeight="1" spans="1:4">
      <c r="A916" s="3">
        <v>915</v>
      </c>
      <c r="B916" s="3" t="s">
        <v>1251</v>
      </c>
      <c r="C916" s="3" t="s">
        <v>2716</v>
      </c>
      <c r="D916" s="3" t="s">
        <v>2893</v>
      </c>
    </row>
    <row r="917" customHeight="1" spans="1:4">
      <c r="A917" s="3">
        <v>916</v>
      </c>
      <c r="B917" s="3" t="s">
        <v>1252</v>
      </c>
      <c r="C917" s="3" t="s">
        <v>1721</v>
      </c>
      <c r="D917" s="3" t="s">
        <v>2889</v>
      </c>
    </row>
    <row r="918" customHeight="1" spans="1:4">
      <c r="A918" s="3">
        <v>917</v>
      </c>
      <c r="B918" s="3" t="s">
        <v>1253</v>
      </c>
      <c r="C918" s="3" t="s">
        <v>2716</v>
      </c>
      <c r="D918" s="3" t="s">
        <v>2896</v>
      </c>
    </row>
    <row r="919" customHeight="1" spans="1:4">
      <c r="A919" s="3">
        <v>918</v>
      </c>
      <c r="B919" s="3" t="s">
        <v>1254</v>
      </c>
      <c r="C919" s="3" t="s">
        <v>2716</v>
      </c>
      <c r="D919" s="3" t="s">
        <v>2908</v>
      </c>
    </row>
    <row r="920" customHeight="1" spans="1:4">
      <c r="A920" s="3">
        <v>919</v>
      </c>
      <c r="B920" s="3" t="s">
        <v>1255</v>
      </c>
      <c r="C920" s="3" t="s">
        <v>1721</v>
      </c>
      <c r="D920" s="3" t="s">
        <v>2896</v>
      </c>
    </row>
    <row r="921" customHeight="1" spans="1:4">
      <c r="A921" s="3">
        <v>920</v>
      </c>
      <c r="B921" s="3" t="s">
        <v>1256</v>
      </c>
      <c r="C921" s="3" t="s">
        <v>1721</v>
      </c>
      <c r="D921" s="3" t="s">
        <v>2889</v>
      </c>
    </row>
    <row r="922" customHeight="1" spans="1:4">
      <c r="A922" s="3">
        <v>921</v>
      </c>
      <c r="B922" s="3" t="s">
        <v>1257</v>
      </c>
      <c r="C922" s="3" t="s">
        <v>2717</v>
      </c>
      <c r="D922" s="3" t="s">
        <v>2889</v>
      </c>
    </row>
    <row r="923" customHeight="1" spans="1:4">
      <c r="A923" s="3">
        <v>922</v>
      </c>
      <c r="B923" s="3" t="s">
        <v>1258</v>
      </c>
      <c r="C923" s="3" t="s">
        <v>1721</v>
      </c>
      <c r="D923" s="3" t="s">
        <v>2889</v>
      </c>
    </row>
    <row r="924" customHeight="1" spans="1:4">
      <c r="A924" s="3">
        <v>923</v>
      </c>
      <c r="B924" s="3" t="s">
        <v>1259</v>
      </c>
      <c r="C924" s="3" t="s">
        <v>2717</v>
      </c>
      <c r="D924" s="3" t="s">
        <v>2889</v>
      </c>
    </row>
    <row r="925" customHeight="1" spans="1:4">
      <c r="A925" s="3">
        <v>924</v>
      </c>
      <c r="B925" s="3" t="s">
        <v>1260</v>
      </c>
      <c r="C925" s="3" t="s">
        <v>1721</v>
      </c>
      <c r="D925" s="3" t="s">
        <v>2889</v>
      </c>
    </row>
    <row r="926" customHeight="1" spans="1:4">
      <c r="A926" s="3">
        <v>925</v>
      </c>
      <c r="B926" s="3" t="s">
        <v>1261</v>
      </c>
      <c r="C926" s="3" t="s">
        <v>1721</v>
      </c>
      <c r="D926" s="3" t="s">
        <v>2893</v>
      </c>
    </row>
    <row r="927" customHeight="1" spans="1:4">
      <c r="A927" s="3">
        <v>926</v>
      </c>
      <c r="B927" s="3" t="s">
        <v>1262</v>
      </c>
      <c r="C927" s="3" t="s">
        <v>2716</v>
      </c>
      <c r="D927" s="3" t="s">
        <v>2893</v>
      </c>
    </row>
    <row r="928" customHeight="1" spans="1:4">
      <c r="A928" s="3">
        <v>927</v>
      </c>
      <c r="B928" s="3" t="s">
        <v>1263</v>
      </c>
      <c r="C928" s="3" t="s">
        <v>2716</v>
      </c>
      <c r="D928" s="3" t="s">
        <v>2889</v>
      </c>
    </row>
    <row r="929" customHeight="1" spans="1:4">
      <c r="A929" s="3">
        <v>928</v>
      </c>
      <c r="B929" s="3" t="s">
        <v>1264</v>
      </c>
      <c r="C929" s="3" t="s">
        <v>2716</v>
      </c>
      <c r="D929" s="3" t="s">
        <v>2889</v>
      </c>
    </row>
    <row r="930" customHeight="1" spans="1:4">
      <c r="A930" s="3">
        <v>929</v>
      </c>
      <c r="B930" s="3" t="s">
        <v>1265</v>
      </c>
      <c r="C930" s="3" t="s">
        <v>2716</v>
      </c>
      <c r="D930" s="3" t="s">
        <v>2889</v>
      </c>
    </row>
    <row r="931" customHeight="1" spans="1:4">
      <c r="A931" s="3">
        <v>930</v>
      </c>
      <c r="B931" s="3" t="s">
        <v>1266</v>
      </c>
      <c r="C931" s="3" t="s">
        <v>1721</v>
      </c>
      <c r="D931" s="3" t="s">
        <v>2889</v>
      </c>
    </row>
    <row r="932" customHeight="1" spans="1:4">
      <c r="A932" s="3">
        <v>931</v>
      </c>
      <c r="B932" s="3" t="s">
        <v>1267</v>
      </c>
      <c r="C932" s="3" t="s">
        <v>1721</v>
      </c>
      <c r="D932" s="3" t="s">
        <v>2896</v>
      </c>
    </row>
    <row r="933" customHeight="1" spans="1:4">
      <c r="A933" s="3">
        <v>932</v>
      </c>
      <c r="B933" s="3" t="s">
        <v>1268</v>
      </c>
      <c r="C933" s="3" t="s">
        <v>1721</v>
      </c>
      <c r="D933" s="3" t="s">
        <v>2889</v>
      </c>
    </row>
    <row r="934" customHeight="1" spans="1:4">
      <c r="A934" s="3">
        <v>933</v>
      </c>
      <c r="B934" s="3" t="s">
        <v>1269</v>
      </c>
      <c r="C934" s="3" t="s">
        <v>1721</v>
      </c>
      <c r="D934" s="3" t="s">
        <v>2889</v>
      </c>
    </row>
    <row r="935" customHeight="1" spans="1:4">
      <c r="A935" s="3">
        <v>934</v>
      </c>
      <c r="B935" s="3" t="s">
        <v>1270</v>
      </c>
      <c r="C935" s="3" t="s">
        <v>1721</v>
      </c>
      <c r="D935" s="3" t="s">
        <v>2889</v>
      </c>
    </row>
    <row r="936" customHeight="1" spans="1:4">
      <c r="A936" s="3">
        <v>935</v>
      </c>
      <c r="B936" s="3" t="s">
        <v>1271</v>
      </c>
      <c r="C936" s="3" t="s">
        <v>2717</v>
      </c>
      <c r="D936" s="3" t="s">
        <v>2889</v>
      </c>
    </row>
    <row r="937" customHeight="1" spans="1:4">
      <c r="A937" s="3">
        <v>936</v>
      </c>
      <c r="B937" s="3" t="s">
        <v>1272</v>
      </c>
      <c r="C937" s="3" t="s">
        <v>2716</v>
      </c>
      <c r="D937" s="3" t="s">
        <v>2969</v>
      </c>
    </row>
    <row r="938" customHeight="1" spans="1:4">
      <c r="A938" s="3">
        <v>937</v>
      </c>
      <c r="B938" s="3" t="s">
        <v>1273</v>
      </c>
      <c r="C938" s="3" t="s">
        <v>2716</v>
      </c>
      <c r="D938" s="3" t="s">
        <v>2911</v>
      </c>
    </row>
    <row r="939" customHeight="1" spans="1:4">
      <c r="A939" s="3">
        <v>938</v>
      </c>
      <c r="B939" s="3" t="s">
        <v>1274</v>
      </c>
      <c r="C939" s="3" t="s">
        <v>2716</v>
      </c>
      <c r="D939" s="3" t="s">
        <v>2893</v>
      </c>
    </row>
    <row r="940" customHeight="1" spans="1:4">
      <c r="A940" s="3">
        <v>939</v>
      </c>
      <c r="B940" s="3" t="s">
        <v>1275</v>
      </c>
      <c r="C940" s="3" t="s">
        <v>1721</v>
      </c>
      <c r="D940" s="3" t="s">
        <v>2893</v>
      </c>
    </row>
    <row r="941" customHeight="1" spans="1:4">
      <c r="A941" s="3">
        <v>940</v>
      </c>
      <c r="B941" s="3" t="s">
        <v>1276</v>
      </c>
      <c r="C941" s="3" t="s">
        <v>1721</v>
      </c>
      <c r="D941" s="3" t="s">
        <v>2889</v>
      </c>
    </row>
    <row r="942" customHeight="1" spans="1:4">
      <c r="A942" s="3">
        <v>941</v>
      </c>
      <c r="B942" s="3" t="s">
        <v>1277</v>
      </c>
      <c r="C942" s="3" t="s">
        <v>1721</v>
      </c>
      <c r="D942" s="3" t="s">
        <v>3298</v>
      </c>
    </row>
    <row r="943" customHeight="1" spans="1:4">
      <c r="A943" s="3">
        <v>942</v>
      </c>
      <c r="B943" s="3" t="s">
        <v>1278</v>
      </c>
      <c r="C943" s="3" t="s">
        <v>1721</v>
      </c>
      <c r="D943" s="3" t="s">
        <v>2911</v>
      </c>
    </row>
    <row r="944" customHeight="1" spans="1:4">
      <c r="A944" s="3">
        <v>943</v>
      </c>
      <c r="B944" s="3" t="s">
        <v>1279</v>
      </c>
      <c r="C944" s="3" t="s">
        <v>2716</v>
      </c>
      <c r="D944" s="3" t="s">
        <v>2893</v>
      </c>
    </row>
    <row r="945" customHeight="1" spans="1:4">
      <c r="A945" s="3">
        <v>944</v>
      </c>
      <c r="B945" s="3" t="s">
        <v>1280</v>
      </c>
      <c r="C945" s="3" t="s">
        <v>1721</v>
      </c>
      <c r="D945" s="3" t="s">
        <v>2889</v>
      </c>
    </row>
    <row r="946" customHeight="1" spans="1:4">
      <c r="A946" s="3">
        <v>945</v>
      </c>
      <c r="B946" s="3" t="s">
        <v>1281</v>
      </c>
      <c r="C946" s="3" t="s">
        <v>1721</v>
      </c>
      <c r="D946" s="3" t="s">
        <v>2889</v>
      </c>
    </row>
    <row r="947" customHeight="1" spans="1:4">
      <c r="A947" s="3">
        <v>946</v>
      </c>
      <c r="B947" s="3" t="s">
        <v>1282</v>
      </c>
      <c r="C947" s="3" t="s">
        <v>1721</v>
      </c>
      <c r="D947" s="3" t="s">
        <v>2889</v>
      </c>
    </row>
    <row r="948" customHeight="1" spans="1:4">
      <c r="A948" s="3">
        <v>947</v>
      </c>
      <c r="B948" s="3" t="s">
        <v>1283</v>
      </c>
      <c r="C948" s="3" t="s">
        <v>2716</v>
      </c>
      <c r="D948" s="3" t="s">
        <v>2889</v>
      </c>
    </row>
    <row r="949" customHeight="1" spans="1:4">
      <c r="A949" s="3">
        <v>948</v>
      </c>
      <c r="B949" s="3" t="s">
        <v>1284</v>
      </c>
      <c r="C949" s="3" t="s">
        <v>1721</v>
      </c>
      <c r="D949" s="3" t="s">
        <v>2893</v>
      </c>
    </row>
    <row r="950" customHeight="1" spans="1:4">
      <c r="A950" s="3">
        <v>949</v>
      </c>
      <c r="B950" s="3" t="s">
        <v>1285</v>
      </c>
      <c r="C950" s="3" t="s">
        <v>1721</v>
      </c>
      <c r="D950" s="3" t="s">
        <v>2908</v>
      </c>
    </row>
    <row r="951" customHeight="1" spans="1:4">
      <c r="A951" s="3">
        <v>950</v>
      </c>
      <c r="B951" s="3" t="s">
        <v>1286</v>
      </c>
      <c r="C951" s="3" t="s">
        <v>1721</v>
      </c>
      <c r="D951" s="3" t="s">
        <v>2908</v>
      </c>
    </row>
    <row r="952" customHeight="1" spans="1:4">
      <c r="A952" s="3">
        <v>951</v>
      </c>
      <c r="B952" s="3" t="s">
        <v>1287</v>
      </c>
      <c r="C952" s="3" t="s">
        <v>1721</v>
      </c>
      <c r="D952" s="3" t="s">
        <v>2889</v>
      </c>
    </row>
    <row r="953" customHeight="1" spans="1:4">
      <c r="A953" s="3">
        <v>952</v>
      </c>
      <c r="B953" s="3" t="s">
        <v>1288</v>
      </c>
      <c r="C953" s="3" t="s">
        <v>2717</v>
      </c>
      <c r="D953" s="3" t="s">
        <v>2908</v>
      </c>
    </row>
    <row r="954" customHeight="1" spans="1:4">
      <c r="A954" s="3">
        <v>953</v>
      </c>
      <c r="B954" s="3" t="s">
        <v>1289</v>
      </c>
      <c r="C954" s="3" t="s">
        <v>2717</v>
      </c>
      <c r="D954" s="3" t="s">
        <v>3562</v>
      </c>
    </row>
    <row r="955" customHeight="1" spans="1:4">
      <c r="A955" s="3">
        <v>954</v>
      </c>
      <c r="B955" s="3" t="s">
        <v>1290</v>
      </c>
      <c r="C955" s="3" t="s">
        <v>1721</v>
      </c>
      <c r="D955" s="3" t="s">
        <v>2889</v>
      </c>
    </row>
    <row r="956" customHeight="1" spans="1:4">
      <c r="A956" s="3">
        <v>955</v>
      </c>
      <c r="B956" s="3" t="s">
        <v>1291</v>
      </c>
      <c r="C956" s="3" t="s">
        <v>2716</v>
      </c>
      <c r="D956" s="3" t="s">
        <v>2911</v>
      </c>
    </row>
    <row r="957" customHeight="1" spans="1:4">
      <c r="A957" s="3">
        <v>956</v>
      </c>
      <c r="B957" s="3" t="s">
        <v>1292</v>
      </c>
      <c r="C957" s="3" t="s">
        <v>1721</v>
      </c>
      <c r="D957" s="3" t="s">
        <v>2889</v>
      </c>
    </row>
    <row r="958" customHeight="1" spans="1:4">
      <c r="A958" s="3">
        <v>957</v>
      </c>
      <c r="B958" s="3" t="s">
        <v>1293</v>
      </c>
      <c r="C958" s="3" t="s">
        <v>2716</v>
      </c>
      <c r="D958" s="3" t="s">
        <v>2889</v>
      </c>
    </row>
    <row r="959" customHeight="1" spans="1:4">
      <c r="A959" s="3">
        <v>958</v>
      </c>
      <c r="B959" s="3" t="s">
        <v>1294</v>
      </c>
      <c r="C959" s="3" t="s">
        <v>1721</v>
      </c>
      <c r="D959" s="3" t="s">
        <v>2889</v>
      </c>
    </row>
    <row r="960" customHeight="1" spans="1:4">
      <c r="A960" s="3">
        <v>959</v>
      </c>
      <c r="B960" s="3" t="s">
        <v>1295</v>
      </c>
      <c r="C960" s="3" t="s">
        <v>1721</v>
      </c>
      <c r="D960" s="3" t="s">
        <v>3562</v>
      </c>
    </row>
    <row r="961" customHeight="1" spans="1:4">
      <c r="A961" s="3">
        <v>960</v>
      </c>
      <c r="B961" s="3" t="s">
        <v>1296</v>
      </c>
      <c r="C961" s="3" t="s">
        <v>1721</v>
      </c>
      <c r="D961" s="3" t="s">
        <v>3562</v>
      </c>
    </row>
    <row r="962" customHeight="1" spans="1:4">
      <c r="A962" s="3">
        <v>961</v>
      </c>
      <c r="B962" s="3" t="s">
        <v>1297</v>
      </c>
      <c r="C962" s="3" t="s">
        <v>2716</v>
      </c>
      <c r="D962" s="3" t="s">
        <v>2889</v>
      </c>
    </row>
    <row r="963" customHeight="1" spans="1:4">
      <c r="A963" s="3">
        <v>962</v>
      </c>
      <c r="B963" s="3" t="s">
        <v>1298</v>
      </c>
      <c r="C963" s="3" t="s">
        <v>1721</v>
      </c>
      <c r="D963" s="3" t="s">
        <v>2889</v>
      </c>
    </row>
    <row r="964" customHeight="1" spans="1:4">
      <c r="A964" s="3">
        <v>963</v>
      </c>
      <c r="B964" s="3" t="s">
        <v>1299</v>
      </c>
      <c r="C964" s="3" t="s">
        <v>1721</v>
      </c>
      <c r="D964" s="3" t="s">
        <v>2889</v>
      </c>
    </row>
    <row r="965" customHeight="1" spans="1:4">
      <c r="A965" s="3">
        <v>964</v>
      </c>
      <c r="B965" s="3" t="s">
        <v>1300</v>
      </c>
      <c r="C965" s="3" t="s">
        <v>2716</v>
      </c>
      <c r="D965" s="3" t="s">
        <v>2889</v>
      </c>
    </row>
    <row r="966" customHeight="1" spans="1:4">
      <c r="A966" s="3">
        <v>965</v>
      </c>
      <c r="B966" s="3" t="s">
        <v>1301</v>
      </c>
      <c r="C966" s="3" t="s">
        <v>1721</v>
      </c>
      <c r="D966" s="3" t="s">
        <v>2896</v>
      </c>
    </row>
    <row r="967" customHeight="1" spans="1:4">
      <c r="A967" s="3">
        <v>966</v>
      </c>
      <c r="B967" s="3" t="s">
        <v>1302</v>
      </c>
      <c r="C967" s="3" t="s">
        <v>1721</v>
      </c>
      <c r="D967" s="3" t="s">
        <v>2889</v>
      </c>
    </row>
    <row r="968" customHeight="1" spans="1:4">
      <c r="A968" s="3">
        <v>967</v>
      </c>
      <c r="B968" s="3" t="s">
        <v>1303</v>
      </c>
      <c r="C968" s="3" t="s">
        <v>1721</v>
      </c>
      <c r="D968" s="3" t="s">
        <v>2889</v>
      </c>
    </row>
    <row r="969" customHeight="1" spans="1:4">
      <c r="A969" s="3">
        <v>968</v>
      </c>
      <c r="B969" s="3" t="s">
        <v>1304</v>
      </c>
      <c r="C969" s="3" t="s">
        <v>2716</v>
      </c>
      <c r="D969" s="3" t="s">
        <v>2889</v>
      </c>
    </row>
    <row r="970" customHeight="1" spans="1:4">
      <c r="A970" s="3">
        <v>969</v>
      </c>
      <c r="B970" s="3" t="s">
        <v>1305</v>
      </c>
      <c r="C970" s="3" t="s">
        <v>1721</v>
      </c>
      <c r="D970" s="3" t="s">
        <v>2889</v>
      </c>
    </row>
    <row r="971" customHeight="1" spans="1:4">
      <c r="A971" s="3">
        <v>970</v>
      </c>
      <c r="B971" s="3" t="s">
        <v>1306</v>
      </c>
      <c r="C971" s="3" t="s">
        <v>1721</v>
      </c>
      <c r="D971" s="3" t="s">
        <v>2889</v>
      </c>
    </row>
    <row r="972" customHeight="1" spans="1:4">
      <c r="A972" s="3">
        <v>971</v>
      </c>
      <c r="B972" s="3" t="s">
        <v>1307</v>
      </c>
      <c r="C972" s="3" t="s">
        <v>2716</v>
      </c>
      <c r="D972" s="3" t="s">
        <v>2889</v>
      </c>
    </row>
    <row r="973" customHeight="1" spans="1:4">
      <c r="A973" s="3">
        <v>972</v>
      </c>
      <c r="B973" s="3" t="s">
        <v>1308</v>
      </c>
      <c r="C973" s="3" t="s">
        <v>1721</v>
      </c>
      <c r="D973" s="3" t="s">
        <v>2896</v>
      </c>
    </row>
    <row r="974" customHeight="1" spans="1:4">
      <c r="A974" s="3">
        <v>973</v>
      </c>
      <c r="B974" s="3" t="s">
        <v>1309</v>
      </c>
      <c r="C974" s="3" t="s">
        <v>2716</v>
      </c>
      <c r="D974" s="3" t="s">
        <v>2889</v>
      </c>
    </row>
    <row r="975" customHeight="1" spans="1:4">
      <c r="A975" s="3">
        <v>974</v>
      </c>
      <c r="B975" s="3" t="s">
        <v>1310</v>
      </c>
      <c r="C975" s="3" t="s">
        <v>1721</v>
      </c>
      <c r="D975" s="3" t="s">
        <v>2889</v>
      </c>
    </row>
    <row r="976" customHeight="1" spans="1:4">
      <c r="A976" s="3">
        <v>975</v>
      </c>
      <c r="B976" s="3" t="s">
        <v>1311</v>
      </c>
      <c r="C976" s="3" t="s">
        <v>2716</v>
      </c>
      <c r="D976" s="3" t="s">
        <v>2889</v>
      </c>
    </row>
    <row r="977" customHeight="1" spans="1:4">
      <c r="A977" s="3">
        <v>976</v>
      </c>
      <c r="B977" s="3" t="s">
        <v>1312</v>
      </c>
      <c r="C977" s="3" t="s">
        <v>2716</v>
      </c>
      <c r="D977" s="3" t="s">
        <v>2889</v>
      </c>
    </row>
    <row r="978" customHeight="1" spans="1:4">
      <c r="A978" s="3">
        <v>977</v>
      </c>
      <c r="B978" s="3" t="s">
        <v>1313</v>
      </c>
      <c r="C978" s="3" t="s">
        <v>1721</v>
      </c>
      <c r="D978" s="3" t="s">
        <v>2889</v>
      </c>
    </row>
    <row r="979" customHeight="1" spans="1:4">
      <c r="A979" s="3">
        <v>978</v>
      </c>
      <c r="B979" s="3" t="s">
        <v>1314</v>
      </c>
      <c r="C979" s="3" t="s">
        <v>1721</v>
      </c>
      <c r="D979" s="3" t="s">
        <v>2889</v>
      </c>
    </row>
    <row r="980" customHeight="1" spans="1:4">
      <c r="A980" s="3">
        <v>979</v>
      </c>
      <c r="B980" s="3" t="s">
        <v>1315</v>
      </c>
      <c r="C980" s="3" t="s">
        <v>2716</v>
      </c>
      <c r="D980" s="3" t="s">
        <v>2896</v>
      </c>
    </row>
    <row r="981" customHeight="1" spans="1:4">
      <c r="A981" s="3">
        <v>980</v>
      </c>
      <c r="B981" s="3" t="s">
        <v>1316</v>
      </c>
      <c r="C981" s="3" t="s">
        <v>2716</v>
      </c>
      <c r="D981" s="3" t="s">
        <v>2889</v>
      </c>
    </row>
    <row r="982" customHeight="1" spans="1:4">
      <c r="A982" s="3">
        <v>981</v>
      </c>
      <c r="B982" s="3" t="s">
        <v>1317</v>
      </c>
      <c r="C982" s="3" t="s">
        <v>2716</v>
      </c>
      <c r="D982" s="3" t="s">
        <v>2889</v>
      </c>
    </row>
    <row r="983" customHeight="1" spans="1:4">
      <c r="A983" s="3">
        <v>982</v>
      </c>
      <c r="B983" s="3" t="s">
        <v>1318</v>
      </c>
      <c r="C983" s="3" t="s">
        <v>1721</v>
      </c>
      <c r="D983" s="3" t="s">
        <v>2889</v>
      </c>
    </row>
    <row r="984" customHeight="1" spans="1:4">
      <c r="A984" s="3">
        <v>983</v>
      </c>
      <c r="B984" s="3" t="s">
        <v>1319</v>
      </c>
      <c r="C984" s="3" t="s">
        <v>1721</v>
      </c>
      <c r="D984" s="3" t="s">
        <v>2889</v>
      </c>
    </row>
    <row r="985" customHeight="1" spans="1:4">
      <c r="A985" s="3">
        <v>984</v>
      </c>
      <c r="B985" s="3" t="s">
        <v>1320</v>
      </c>
      <c r="C985" s="3" t="s">
        <v>2716</v>
      </c>
      <c r="D985" s="3" t="s">
        <v>2889</v>
      </c>
    </row>
    <row r="986" customHeight="1" spans="1:4">
      <c r="A986" s="3">
        <v>985</v>
      </c>
      <c r="B986" s="3" t="s">
        <v>222</v>
      </c>
      <c r="C986" s="3" t="s">
        <v>2716</v>
      </c>
      <c r="D986" s="3" t="s">
        <v>2889</v>
      </c>
    </row>
    <row r="987" customHeight="1" spans="1:4">
      <c r="A987" s="3">
        <v>986</v>
      </c>
      <c r="B987" s="3" t="s">
        <v>1321</v>
      </c>
      <c r="C987" s="3" t="s">
        <v>1721</v>
      </c>
      <c r="D987" s="3" t="s">
        <v>2908</v>
      </c>
    </row>
    <row r="988" customHeight="1" spans="1:4">
      <c r="A988" s="3">
        <v>987</v>
      </c>
      <c r="B988" s="3" t="s">
        <v>1322</v>
      </c>
      <c r="C988" s="3" t="s">
        <v>1721</v>
      </c>
      <c r="D988" s="3" t="s">
        <v>2889</v>
      </c>
    </row>
    <row r="989" customHeight="1" spans="1:4">
      <c r="A989" s="3">
        <v>988</v>
      </c>
      <c r="B989" s="3" t="s">
        <v>1323</v>
      </c>
      <c r="C989" s="3" t="s">
        <v>2716</v>
      </c>
      <c r="D989" s="3" t="s">
        <v>2889</v>
      </c>
    </row>
    <row r="990" customHeight="1" spans="1:4">
      <c r="A990" s="3">
        <v>989</v>
      </c>
      <c r="B990" s="3" t="s">
        <v>1324</v>
      </c>
      <c r="C990" s="3" t="s">
        <v>2717</v>
      </c>
      <c r="D990" s="3" t="s">
        <v>2889</v>
      </c>
    </row>
    <row r="991" customHeight="1" spans="1:4">
      <c r="A991" s="3">
        <v>990</v>
      </c>
      <c r="B991" s="3" t="s">
        <v>1325</v>
      </c>
      <c r="C991" s="3" t="s">
        <v>2717</v>
      </c>
      <c r="D991" s="3" t="s">
        <v>2889</v>
      </c>
    </row>
    <row r="992" customHeight="1" spans="1:4">
      <c r="A992" s="3">
        <v>991</v>
      </c>
      <c r="B992" s="3" t="s">
        <v>1326</v>
      </c>
      <c r="C992" s="3" t="s">
        <v>2717</v>
      </c>
      <c r="D992" s="3" t="s">
        <v>2889</v>
      </c>
    </row>
    <row r="993" customHeight="1" spans="1:4">
      <c r="A993" s="3">
        <v>992</v>
      </c>
      <c r="B993" s="3" t="s">
        <v>1327</v>
      </c>
      <c r="C993" s="3" t="s">
        <v>1721</v>
      </c>
      <c r="D993" s="3" t="s">
        <v>2889</v>
      </c>
    </row>
    <row r="994" customHeight="1" spans="1:4">
      <c r="A994" s="3">
        <v>993</v>
      </c>
      <c r="B994" s="3" t="s">
        <v>1328</v>
      </c>
      <c r="C994" s="3" t="s">
        <v>1721</v>
      </c>
      <c r="D994" s="3" t="s">
        <v>2889</v>
      </c>
    </row>
    <row r="995" customHeight="1" spans="1:4">
      <c r="A995" s="3">
        <v>994</v>
      </c>
      <c r="B995" s="3" t="s">
        <v>1329</v>
      </c>
      <c r="C995" s="3" t="s">
        <v>2716</v>
      </c>
      <c r="D995" s="3" t="s">
        <v>2889</v>
      </c>
    </row>
    <row r="996" customHeight="1" spans="1:4">
      <c r="A996" s="3">
        <v>995</v>
      </c>
      <c r="B996" s="3" t="s">
        <v>1330</v>
      </c>
      <c r="C996" s="3" t="s">
        <v>1721</v>
      </c>
      <c r="D996" s="3" t="s">
        <v>2896</v>
      </c>
    </row>
    <row r="997" customHeight="1" spans="1:4">
      <c r="A997" s="3">
        <v>996</v>
      </c>
      <c r="B997" s="3" t="s">
        <v>1331</v>
      </c>
      <c r="C997" s="3" t="s">
        <v>1721</v>
      </c>
      <c r="D997" s="3" t="s">
        <v>2908</v>
      </c>
    </row>
    <row r="998" customHeight="1" spans="1:4">
      <c r="A998" s="3">
        <v>997</v>
      </c>
      <c r="B998" s="3" t="s">
        <v>1332</v>
      </c>
      <c r="C998" s="3" t="s">
        <v>2716</v>
      </c>
      <c r="D998" s="3" t="s">
        <v>2908</v>
      </c>
    </row>
    <row r="999" customHeight="1" spans="1:4">
      <c r="A999" s="3">
        <v>998</v>
      </c>
      <c r="B999" s="3" t="s">
        <v>1333</v>
      </c>
      <c r="C999" s="3" t="s">
        <v>1721</v>
      </c>
      <c r="D999" s="3" t="s">
        <v>2908</v>
      </c>
    </row>
    <row r="1000" customHeight="1" spans="1:4">
      <c r="A1000" s="3">
        <v>999</v>
      </c>
      <c r="B1000" s="3" t="s">
        <v>1334</v>
      </c>
      <c r="C1000" s="3" t="s">
        <v>1721</v>
      </c>
      <c r="D1000" s="3" t="s">
        <v>2908</v>
      </c>
    </row>
    <row r="1001" customHeight="1" spans="1:4">
      <c r="A1001" s="3">
        <v>1000</v>
      </c>
      <c r="B1001" s="3" t="s">
        <v>1335</v>
      </c>
      <c r="C1001" s="3" t="s">
        <v>1721</v>
      </c>
      <c r="D1001" s="3" t="s">
        <v>2908</v>
      </c>
    </row>
    <row r="1002" customHeight="1" spans="1:4">
      <c r="A1002" s="3">
        <v>1001</v>
      </c>
      <c r="B1002" s="3" t="s">
        <v>1336</v>
      </c>
      <c r="C1002" s="3" t="s">
        <v>1721</v>
      </c>
      <c r="D1002" s="3" t="s">
        <v>2908</v>
      </c>
    </row>
    <row r="1003" customHeight="1" spans="1:4">
      <c r="A1003" s="3">
        <v>1002</v>
      </c>
      <c r="B1003" s="3" t="s">
        <v>1337</v>
      </c>
      <c r="C1003" s="3" t="s">
        <v>1721</v>
      </c>
      <c r="D1003" s="3" t="s">
        <v>2908</v>
      </c>
    </row>
    <row r="1004" customHeight="1" spans="1:4">
      <c r="A1004" s="3">
        <v>1003</v>
      </c>
      <c r="B1004" s="3" t="s">
        <v>1338</v>
      </c>
      <c r="C1004" s="3" t="s">
        <v>1721</v>
      </c>
      <c r="D1004" s="3" t="s">
        <v>2908</v>
      </c>
    </row>
    <row r="1005" customHeight="1" spans="1:4">
      <c r="A1005" s="3">
        <v>1004</v>
      </c>
      <c r="B1005" s="3" t="s">
        <v>1339</v>
      </c>
      <c r="C1005" s="3" t="s">
        <v>1721</v>
      </c>
      <c r="D1005" s="3" t="s">
        <v>2896</v>
      </c>
    </row>
    <row r="1006" customHeight="1" spans="1:4">
      <c r="A1006" s="3">
        <v>1005</v>
      </c>
      <c r="B1006" s="3" t="s">
        <v>1340</v>
      </c>
      <c r="C1006" s="3" t="s">
        <v>1721</v>
      </c>
      <c r="D1006" s="3" t="s">
        <v>2908</v>
      </c>
    </row>
    <row r="1007" customHeight="1" spans="1:4">
      <c r="A1007" s="3">
        <v>1006</v>
      </c>
      <c r="B1007" s="3" t="s">
        <v>1341</v>
      </c>
      <c r="C1007" s="3" t="s">
        <v>1721</v>
      </c>
      <c r="D1007" s="3" t="s">
        <v>2908</v>
      </c>
    </row>
    <row r="1008" customHeight="1" spans="1:4">
      <c r="A1008" s="3">
        <v>1007</v>
      </c>
      <c r="B1008" s="3" t="s">
        <v>1342</v>
      </c>
      <c r="C1008" s="3" t="s">
        <v>1721</v>
      </c>
      <c r="D1008" s="3" t="s">
        <v>2889</v>
      </c>
    </row>
    <row r="1009" customHeight="1" spans="1:4">
      <c r="A1009" s="3">
        <v>1008</v>
      </c>
      <c r="B1009" s="3" t="s">
        <v>1343</v>
      </c>
      <c r="C1009" s="3" t="s">
        <v>2717</v>
      </c>
      <c r="D1009" s="3" t="s">
        <v>2908</v>
      </c>
    </row>
    <row r="1010" customHeight="1" spans="1:4">
      <c r="A1010" s="3">
        <v>1009</v>
      </c>
      <c r="B1010" s="3" t="s">
        <v>1344</v>
      </c>
      <c r="C1010" s="3" t="s">
        <v>1721</v>
      </c>
      <c r="D1010" s="3" t="s">
        <v>2889</v>
      </c>
    </row>
    <row r="1011" customHeight="1" spans="1:4">
      <c r="A1011" s="3">
        <v>1010</v>
      </c>
      <c r="B1011" s="3" t="s">
        <v>1345</v>
      </c>
      <c r="C1011" s="3" t="s">
        <v>1721</v>
      </c>
      <c r="D1011" s="3" t="s">
        <v>2889</v>
      </c>
    </row>
    <row r="1012" customHeight="1" spans="1:4">
      <c r="A1012" s="3">
        <v>1011</v>
      </c>
      <c r="B1012" s="3" t="s">
        <v>1346</v>
      </c>
      <c r="C1012" s="3" t="s">
        <v>2716</v>
      </c>
      <c r="D1012" s="3" t="s">
        <v>2896</v>
      </c>
    </row>
    <row r="1013" customHeight="1" spans="1:4">
      <c r="A1013" s="3">
        <v>1012</v>
      </c>
      <c r="B1013" s="3" t="s">
        <v>1347</v>
      </c>
      <c r="C1013" s="3" t="s">
        <v>1721</v>
      </c>
      <c r="D1013" s="3" t="s">
        <v>2889</v>
      </c>
    </row>
    <row r="1014" customHeight="1" spans="1:4">
      <c r="A1014" s="3">
        <v>1013</v>
      </c>
      <c r="B1014" s="3" t="s">
        <v>1348</v>
      </c>
      <c r="C1014" s="3" t="s">
        <v>2717</v>
      </c>
      <c r="D1014" s="3" t="s">
        <v>2911</v>
      </c>
    </row>
    <row r="1015" customHeight="1" spans="1:4">
      <c r="A1015" s="3">
        <v>1014</v>
      </c>
      <c r="B1015" s="3" t="s">
        <v>1349</v>
      </c>
      <c r="C1015" s="3" t="s">
        <v>1721</v>
      </c>
      <c r="D1015" s="3" t="s">
        <v>2893</v>
      </c>
    </row>
    <row r="1016" customHeight="1" spans="1:4">
      <c r="A1016" s="3">
        <v>1015</v>
      </c>
      <c r="B1016" s="3" t="s">
        <v>1350</v>
      </c>
      <c r="C1016" s="3" t="s">
        <v>1721</v>
      </c>
      <c r="D1016" s="3" t="s">
        <v>2889</v>
      </c>
    </row>
    <row r="1017" customHeight="1" spans="1:4">
      <c r="A1017" s="3">
        <v>1016</v>
      </c>
      <c r="B1017" s="3" t="s">
        <v>1351</v>
      </c>
      <c r="C1017" s="3" t="s">
        <v>2717</v>
      </c>
      <c r="D1017" s="3" t="s">
        <v>2893</v>
      </c>
    </row>
    <row r="1018" customHeight="1" spans="1:4">
      <c r="A1018" s="3">
        <v>1017</v>
      </c>
      <c r="B1018" s="3" t="s">
        <v>1352</v>
      </c>
      <c r="C1018" s="3" t="s">
        <v>2716</v>
      </c>
      <c r="D1018" s="3" t="s">
        <v>2889</v>
      </c>
    </row>
    <row r="1019" customHeight="1" spans="1:4">
      <c r="A1019" s="3">
        <v>1018</v>
      </c>
      <c r="B1019" s="3" t="s">
        <v>1353</v>
      </c>
      <c r="C1019" s="3" t="s">
        <v>2716</v>
      </c>
      <c r="D1019" s="3" t="s">
        <v>2889</v>
      </c>
    </row>
    <row r="1020" customHeight="1" spans="1:4">
      <c r="A1020" s="3">
        <v>1019</v>
      </c>
      <c r="B1020" s="3" t="s">
        <v>1354</v>
      </c>
      <c r="C1020" s="3" t="s">
        <v>1721</v>
      </c>
      <c r="D1020" s="3" t="s">
        <v>2889</v>
      </c>
    </row>
    <row r="1021" customHeight="1" spans="1:4">
      <c r="A1021" s="3">
        <v>1020</v>
      </c>
      <c r="B1021" s="3" t="s">
        <v>1355</v>
      </c>
      <c r="C1021" s="3" t="s">
        <v>1721</v>
      </c>
      <c r="D1021" s="3" t="s">
        <v>2889</v>
      </c>
    </row>
    <row r="1022" customHeight="1" spans="1:4">
      <c r="A1022" s="3">
        <v>1021</v>
      </c>
      <c r="B1022" s="3" t="s">
        <v>1356</v>
      </c>
      <c r="C1022" s="3" t="s">
        <v>2716</v>
      </c>
      <c r="D1022" s="3" t="s">
        <v>3019</v>
      </c>
    </row>
    <row r="1023" customHeight="1" spans="1:4">
      <c r="A1023" s="3">
        <v>1022</v>
      </c>
      <c r="B1023" s="3" t="s">
        <v>1357</v>
      </c>
      <c r="C1023" s="3" t="s">
        <v>1721</v>
      </c>
      <c r="D1023" s="3" t="s">
        <v>2889</v>
      </c>
    </row>
    <row r="1024" customHeight="1" spans="1:4">
      <c r="A1024" s="3">
        <v>1023</v>
      </c>
      <c r="B1024" s="3" t="s">
        <v>1358</v>
      </c>
      <c r="C1024" s="3" t="s">
        <v>2716</v>
      </c>
      <c r="D1024" s="3" t="s">
        <v>2889</v>
      </c>
    </row>
    <row r="1025" customHeight="1" spans="1:4">
      <c r="A1025" s="3">
        <v>1024</v>
      </c>
      <c r="B1025" s="3" t="s">
        <v>1359</v>
      </c>
      <c r="C1025" s="3" t="s">
        <v>1721</v>
      </c>
      <c r="D1025" s="3" t="s">
        <v>3019</v>
      </c>
    </row>
    <row r="1026" customHeight="1" spans="1:4">
      <c r="A1026" s="3">
        <v>1025</v>
      </c>
      <c r="B1026" s="3" t="s">
        <v>1360</v>
      </c>
      <c r="C1026" s="3" t="s">
        <v>1721</v>
      </c>
      <c r="D1026" s="3" t="s">
        <v>2889</v>
      </c>
    </row>
    <row r="1027" customHeight="1" spans="1:4">
      <c r="A1027" s="3">
        <v>1026</v>
      </c>
      <c r="B1027" s="3" t="s">
        <v>1361</v>
      </c>
      <c r="C1027" s="3" t="s">
        <v>1721</v>
      </c>
      <c r="D1027" s="3" t="s">
        <v>2889</v>
      </c>
    </row>
    <row r="1028" customHeight="1" spans="1:4">
      <c r="A1028" s="3">
        <v>1027</v>
      </c>
      <c r="B1028" s="3" t="s">
        <v>1362</v>
      </c>
      <c r="C1028" s="3" t="s">
        <v>2716</v>
      </c>
      <c r="D1028" s="3" t="s">
        <v>2889</v>
      </c>
    </row>
    <row r="1029" customHeight="1" spans="1:4">
      <c r="A1029" s="3">
        <v>1028</v>
      </c>
      <c r="B1029" s="3" t="s">
        <v>1363</v>
      </c>
      <c r="C1029" s="3" t="s">
        <v>2716</v>
      </c>
      <c r="D1029" s="3" t="s">
        <v>2889</v>
      </c>
    </row>
    <row r="1030" customHeight="1" spans="1:4">
      <c r="A1030" s="3">
        <v>1029</v>
      </c>
      <c r="B1030" s="3" t="s">
        <v>1364</v>
      </c>
      <c r="C1030" s="3" t="s">
        <v>2716</v>
      </c>
      <c r="D1030" s="3" t="s">
        <v>2987</v>
      </c>
    </row>
    <row r="1031" customHeight="1" spans="1:4">
      <c r="A1031" s="3">
        <v>1030</v>
      </c>
      <c r="B1031" s="3" t="s">
        <v>1365</v>
      </c>
      <c r="C1031" s="3" t="s">
        <v>2716</v>
      </c>
      <c r="D1031" s="3" t="s">
        <v>2889</v>
      </c>
    </row>
    <row r="1032" customHeight="1" spans="1:4">
      <c r="A1032" s="3">
        <v>1031</v>
      </c>
      <c r="B1032" s="3" t="s">
        <v>1366</v>
      </c>
      <c r="C1032" s="3" t="s">
        <v>2716</v>
      </c>
      <c r="D1032" s="3" t="s">
        <v>2889</v>
      </c>
    </row>
    <row r="1033" customHeight="1" spans="1:4">
      <c r="A1033" s="3">
        <v>1032</v>
      </c>
      <c r="B1033" s="3" t="s">
        <v>1367</v>
      </c>
      <c r="C1033" s="3" t="s">
        <v>2716</v>
      </c>
      <c r="D1033" s="3" t="s">
        <v>2889</v>
      </c>
    </row>
    <row r="1034" customHeight="1" spans="1:4">
      <c r="A1034" s="3">
        <v>1033</v>
      </c>
      <c r="B1034" s="3" t="s">
        <v>1368</v>
      </c>
      <c r="C1034" s="3" t="s">
        <v>2716</v>
      </c>
      <c r="D1034" s="3" t="s">
        <v>2889</v>
      </c>
    </row>
    <row r="1035" customHeight="1" spans="1:4">
      <c r="A1035" s="3">
        <v>1034</v>
      </c>
      <c r="B1035" s="3" t="s">
        <v>1369</v>
      </c>
      <c r="C1035" s="3" t="s">
        <v>1721</v>
      </c>
      <c r="D1035" s="3" t="s">
        <v>2889</v>
      </c>
    </row>
    <row r="1036" customHeight="1" spans="1:4">
      <c r="A1036" s="3">
        <v>1035</v>
      </c>
      <c r="B1036" s="3" t="s">
        <v>1370</v>
      </c>
      <c r="C1036" s="3" t="s">
        <v>2717</v>
      </c>
      <c r="D1036" s="3" t="s">
        <v>2889</v>
      </c>
    </row>
    <row r="1037" customHeight="1" spans="1:4">
      <c r="A1037" s="3">
        <v>1036</v>
      </c>
      <c r="B1037" s="3" t="s">
        <v>1371</v>
      </c>
      <c r="C1037" s="3" t="s">
        <v>1721</v>
      </c>
      <c r="D1037" s="3" t="s">
        <v>2889</v>
      </c>
    </row>
    <row r="1038" customHeight="1" spans="1:4">
      <c r="A1038" s="3">
        <v>1037</v>
      </c>
      <c r="B1038" s="3" t="s">
        <v>1372</v>
      </c>
      <c r="C1038" s="3" t="s">
        <v>1721</v>
      </c>
      <c r="D1038" s="3" t="s">
        <v>2889</v>
      </c>
    </row>
    <row r="1039" customHeight="1" spans="1:4">
      <c r="A1039" s="3">
        <v>1038</v>
      </c>
      <c r="B1039" s="3" t="s">
        <v>1373</v>
      </c>
      <c r="C1039" s="3" t="s">
        <v>2717</v>
      </c>
      <c r="D1039" s="3" t="s">
        <v>2889</v>
      </c>
    </row>
    <row r="1040" customHeight="1" spans="1:4">
      <c r="A1040" s="3">
        <v>1039</v>
      </c>
      <c r="B1040" s="3" t="s">
        <v>1374</v>
      </c>
      <c r="C1040" s="3" t="s">
        <v>2716</v>
      </c>
      <c r="D1040" s="3" t="s">
        <v>2889</v>
      </c>
    </row>
    <row r="1041" customHeight="1" spans="1:4">
      <c r="A1041" s="3">
        <v>1040</v>
      </c>
      <c r="B1041" s="3" t="s">
        <v>1375</v>
      </c>
      <c r="C1041" s="3" t="s">
        <v>2717</v>
      </c>
      <c r="D1041" s="3" t="s">
        <v>2889</v>
      </c>
    </row>
    <row r="1042" customHeight="1" spans="1:4">
      <c r="A1042" s="3">
        <v>1041</v>
      </c>
      <c r="B1042" s="3" t="s">
        <v>1376</v>
      </c>
      <c r="C1042" s="3" t="s">
        <v>1721</v>
      </c>
      <c r="D1042" s="3" t="s">
        <v>2889</v>
      </c>
    </row>
    <row r="1043" customHeight="1" spans="1:4">
      <c r="A1043" s="3">
        <v>1042</v>
      </c>
      <c r="B1043" s="3" t="s">
        <v>1377</v>
      </c>
      <c r="C1043" s="3" t="s">
        <v>2716</v>
      </c>
      <c r="D1043" s="3" t="s">
        <v>2889</v>
      </c>
    </row>
    <row r="1044" customHeight="1" spans="1:4">
      <c r="A1044" s="3">
        <v>1043</v>
      </c>
      <c r="B1044" s="3" t="s">
        <v>1378</v>
      </c>
      <c r="C1044" s="3" t="s">
        <v>2716</v>
      </c>
      <c r="D1044" s="3" t="s">
        <v>2889</v>
      </c>
    </row>
    <row r="1045" customHeight="1" spans="1:4">
      <c r="A1045" s="3">
        <v>1044</v>
      </c>
      <c r="B1045" s="3" t="s">
        <v>1379</v>
      </c>
      <c r="C1045" s="3" t="s">
        <v>2716</v>
      </c>
      <c r="D1045" s="3" t="s">
        <v>2889</v>
      </c>
    </row>
    <row r="1046" customHeight="1" spans="1:4">
      <c r="A1046" s="3">
        <v>1045</v>
      </c>
      <c r="B1046" s="3" t="s">
        <v>1380</v>
      </c>
      <c r="C1046" s="3" t="s">
        <v>1721</v>
      </c>
      <c r="D1046" s="3" t="s">
        <v>2889</v>
      </c>
    </row>
    <row r="1047" customHeight="1" spans="1:4">
      <c r="A1047" s="3">
        <v>1046</v>
      </c>
      <c r="B1047" s="3" t="s">
        <v>1381</v>
      </c>
      <c r="C1047" s="3" t="s">
        <v>2716</v>
      </c>
      <c r="D1047" s="3" t="s">
        <v>2889</v>
      </c>
    </row>
    <row r="1048" customHeight="1" spans="1:4">
      <c r="A1048" s="3">
        <v>1047</v>
      </c>
      <c r="B1048" s="3" t="s">
        <v>1382</v>
      </c>
      <c r="C1048" s="3" t="s">
        <v>1721</v>
      </c>
      <c r="D1048" s="3" t="s">
        <v>2889</v>
      </c>
    </row>
    <row r="1049" customHeight="1" spans="1:4">
      <c r="A1049" s="3">
        <v>1048</v>
      </c>
      <c r="B1049" s="3" t="s">
        <v>1383</v>
      </c>
      <c r="C1049" s="3" t="s">
        <v>1721</v>
      </c>
      <c r="D1049" s="3" t="s">
        <v>2889</v>
      </c>
    </row>
    <row r="1050" customHeight="1" spans="1:4">
      <c r="A1050" s="3">
        <v>1049</v>
      </c>
      <c r="B1050" s="3" t="s">
        <v>1384</v>
      </c>
      <c r="C1050" s="3" t="s">
        <v>1721</v>
      </c>
      <c r="D1050" s="3" t="s">
        <v>2889</v>
      </c>
    </row>
    <row r="1051" customHeight="1" spans="1:4">
      <c r="A1051" s="3">
        <v>1050</v>
      </c>
      <c r="B1051" s="3" t="s">
        <v>1385</v>
      </c>
      <c r="C1051" s="3" t="s">
        <v>2717</v>
      </c>
      <c r="D1051" s="3" t="s">
        <v>2889</v>
      </c>
    </row>
    <row r="1052" customHeight="1" spans="1:4">
      <c r="A1052" s="3">
        <v>1051</v>
      </c>
      <c r="B1052" s="3" t="s">
        <v>1386</v>
      </c>
      <c r="C1052" s="3" t="s">
        <v>2717</v>
      </c>
      <c r="D1052" s="3" t="s">
        <v>2889</v>
      </c>
    </row>
    <row r="1053" customHeight="1" spans="1:4">
      <c r="A1053" s="3">
        <v>1052</v>
      </c>
      <c r="B1053" s="3" t="s">
        <v>1387</v>
      </c>
      <c r="C1053" s="3" t="s">
        <v>2717</v>
      </c>
      <c r="D1053" s="3" t="s">
        <v>2889</v>
      </c>
    </row>
    <row r="1054" customHeight="1" spans="1:4">
      <c r="A1054" s="3">
        <v>1053</v>
      </c>
      <c r="B1054" s="3" t="s">
        <v>1388</v>
      </c>
      <c r="C1054" s="3" t="s">
        <v>2717</v>
      </c>
      <c r="D1054" s="3" t="s">
        <v>2889</v>
      </c>
    </row>
    <row r="1055" customHeight="1" spans="1:4">
      <c r="A1055" s="3">
        <v>1054</v>
      </c>
      <c r="B1055" s="3" t="s">
        <v>1389</v>
      </c>
      <c r="C1055" s="3" t="s">
        <v>2717</v>
      </c>
      <c r="D1055" s="3" t="s">
        <v>2889</v>
      </c>
    </row>
    <row r="1056" customHeight="1" spans="1:4">
      <c r="A1056" s="3">
        <v>1055</v>
      </c>
      <c r="B1056" s="3" t="s">
        <v>1390</v>
      </c>
      <c r="C1056" s="3" t="s">
        <v>2717</v>
      </c>
      <c r="D1056" s="3" t="s">
        <v>2889</v>
      </c>
    </row>
    <row r="1057" customHeight="1" spans="1:4">
      <c r="A1057" s="3">
        <v>1056</v>
      </c>
      <c r="B1057" s="3" t="s">
        <v>1391</v>
      </c>
      <c r="C1057" s="3" t="s">
        <v>2717</v>
      </c>
      <c r="D1057" s="3" t="s">
        <v>2889</v>
      </c>
    </row>
    <row r="1058" customHeight="1" spans="1:4">
      <c r="A1058" s="3">
        <v>1057</v>
      </c>
      <c r="B1058" s="3" t="s">
        <v>1392</v>
      </c>
      <c r="C1058" s="3" t="s">
        <v>2717</v>
      </c>
      <c r="D1058" s="3" t="s">
        <v>2889</v>
      </c>
    </row>
    <row r="1059" customHeight="1" spans="1:4">
      <c r="A1059" s="3">
        <v>1058</v>
      </c>
      <c r="B1059" s="3" t="s">
        <v>1393</v>
      </c>
      <c r="C1059" s="3" t="s">
        <v>1721</v>
      </c>
      <c r="D1059" s="3" t="s">
        <v>2889</v>
      </c>
    </row>
    <row r="1060" customHeight="1" spans="1:4">
      <c r="A1060" s="3">
        <v>1059</v>
      </c>
      <c r="B1060" s="3" t="s">
        <v>1394</v>
      </c>
      <c r="C1060" s="3" t="s">
        <v>2716</v>
      </c>
      <c r="D1060" s="3" t="s">
        <v>2889</v>
      </c>
    </row>
    <row r="1061" customHeight="1" spans="1:4">
      <c r="A1061" s="3">
        <v>1060</v>
      </c>
      <c r="B1061" s="3" t="s">
        <v>1395</v>
      </c>
      <c r="C1061" s="3" t="s">
        <v>2716</v>
      </c>
      <c r="D1061" s="3" t="s">
        <v>2889</v>
      </c>
    </row>
    <row r="1062" customHeight="1" spans="1:4">
      <c r="A1062" s="3">
        <v>1061</v>
      </c>
      <c r="B1062" s="3" t="s">
        <v>1396</v>
      </c>
      <c r="C1062" s="3" t="s">
        <v>2716</v>
      </c>
      <c r="D1062" s="3" t="s">
        <v>2889</v>
      </c>
    </row>
    <row r="1063" customHeight="1" spans="1:4">
      <c r="A1063" s="3">
        <v>1062</v>
      </c>
      <c r="B1063" s="3" t="s">
        <v>1397</v>
      </c>
      <c r="C1063" s="3" t="s">
        <v>2716</v>
      </c>
      <c r="D1063" s="3" t="s">
        <v>2893</v>
      </c>
    </row>
    <row r="1064" customHeight="1" spans="1:4">
      <c r="A1064" s="3">
        <v>1063</v>
      </c>
      <c r="B1064" s="3" t="s">
        <v>1398</v>
      </c>
      <c r="C1064" s="3" t="s">
        <v>2716</v>
      </c>
      <c r="D1064" s="3" t="s">
        <v>2921</v>
      </c>
    </row>
    <row r="1065" customHeight="1" spans="1:4">
      <c r="A1065" s="3">
        <v>1064</v>
      </c>
      <c r="B1065" s="3" t="s">
        <v>1399</v>
      </c>
      <c r="C1065" s="3" t="s">
        <v>2717</v>
      </c>
      <c r="D1065" s="3" t="s">
        <v>2911</v>
      </c>
    </row>
    <row r="1066" customHeight="1" spans="1:4">
      <c r="A1066" s="3">
        <v>1065</v>
      </c>
      <c r="B1066" s="3" t="s">
        <v>1400</v>
      </c>
      <c r="C1066" s="3" t="s">
        <v>2717</v>
      </c>
      <c r="D1066" s="3" t="s">
        <v>2889</v>
      </c>
    </row>
    <row r="1067" customHeight="1" spans="1:4">
      <c r="A1067" s="3">
        <v>1066</v>
      </c>
      <c r="B1067" s="3" t="s">
        <v>1401</v>
      </c>
      <c r="C1067" s="3" t="s">
        <v>2717</v>
      </c>
      <c r="D1067" s="3" t="s">
        <v>2911</v>
      </c>
    </row>
    <row r="1068" customHeight="1" spans="1:4">
      <c r="A1068" s="3">
        <v>1067</v>
      </c>
      <c r="B1068" s="3" t="s">
        <v>1402</v>
      </c>
      <c r="C1068" s="3" t="s">
        <v>2717</v>
      </c>
      <c r="D1068" s="3" t="s">
        <v>2908</v>
      </c>
    </row>
    <row r="1069" customHeight="1" spans="1:4">
      <c r="A1069" s="3">
        <v>1068</v>
      </c>
      <c r="B1069" s="3" t="s">
        <v>1403</v>
      </c>
      <c r="C1069" s="3" t="s">
        <v>1721</v>
      </c>
      <c r="D1069" s="3" t="s">
        <v>2911</v>
      </c>
    </row>
    <row r="1070" customHeight="1" spans="1:4">
      <c r="A1070" s="3">
        <v>1069</v>
      </c>
      <c r="B1070" s="3" t="s">
        <v>1404</v>
      </c>
      <c r="C1070" s="3" t="s">
        <v>2717</v>
      </c>
      <c r="D1070" s="3" t="s">
        <v>2889</v>
      </c>
    </row>
    <row r="1071" customHeight="1" spans="1:4">
      <c r="A1071" s="3">
        <v>1070</v>
      </c>
      <c r="B1071" s="3" t="s">
        <v>1405</v>
      </c>
      <c r="C1071" s="3" t="s">
        <v>2717</v>
      </c>
      <c r="D1071" s="3" t="s">
        <v>2889</v>
      </c>
    </row>
    <row r="1072" customHeight="1" spans="1:4">
      <c r="A1072" s="3">
        <v>1071</v>
      </c>
      <c r="B1072" s="3" t="s">
        <v>1406</v>
      </c>
      <c r="C1072" s="3" t="s">
        <v>2716</v>
      </c>
      <c r="D1072" s="3" t="s">
        <v>2889</v>
      </c>
    </row>
    <row r="1073" customHeight="1" spans="1:4">
      <c r="A1073" s="3">
        <v>1072</v>
      </c>
      <c r="B1073" s="3" t="s">
        <v>1407</v>
      </c>
      <c r="C1073" s="3" t="s">
        <v>1721</v>
      </c>
      <c r="D1073" s="3" t="s">
        <v>2893</v>
      </c>
    </row>
    <row r="1074" customHeight="1" spans="1:4">
      <c r="A1074" s="3">
        <v>1073</v>
      </c>
      <c r="B1074" s="3" t="s">
        <v>1408</v>
      </c>
      <c r="C1074" s="3" t="s">
        <v>2716</v>
      </c>
      <c r="D1074" s="3" t="s">
        <v>2889</v>
      </c>
    </row>
    <row r="1075" customHeight="1" spans="1:4">
      <c r="A1075" s="3">
        <v>1074</v>
      </c>
      <c r="B1075" s="3" t="s">
        <v>1409</v>
      </c>
      <c r="C1075" s="3" t="s">
        <v>2717</v>
      </c>
      <c r="D1075" s="3" t="s">
        <v>2889</v>
      </c>
    </row>
    <row r="1076" customHeight="1" spans="1:4">
      <c r="A1076" s="3">
        <v>1075</v>
      </c>
      <c r="B1076" s="3" t="s">
        <v>1410</v>
      </c>
      <c r="C1076" s="3" t="s">
        <v>2717</v>
      </c>
      <c r="D1076" s="3" t="s">
        <v>2889</v>
      </c>
    </row>
    <row r="1077" customHeight="1" spans="1:4">
      <c r="A1077" s="3">
        <v>1076</v>
      </c>
      <c r="B1077" s="3" t="s">
        <v>1411</v>
      </c>
      <c r="C1077" s="3" t="s">
        <v>2716</v>
      </c>
      <c r="D1077" s="3" t="s">
        <v>2921</v>
      </c>
    </row>
    <row r="1078" customHeight="1" spans="1:4">
      <c r="A1078" s="3">
        <v>1077</v>
      </c>
      <c r="B1078" s="3" t="s">
        <v>1412</v>
      </c>
      <c r="C1078" s="3" t="s">
        <v>1721</v>
      </c>
      <c r="D1078" s="3" t="s">
        <v>2921</v>
      </c>
    </row>
    <row r="1079" customHeight="1" spans="1:4">
      <c r="A1079" s="3">
        <v>1078</v>
      </c>
      <c r="B1079" s="3" t="s">
        <v>1413</v>
      </c>
      <c r="C1079" s="3" t="s">
        <v>2717</v>
      </c>
      <c r="D1079" s="3" t="s">
        <v>2921</v>
      </c>
    </row>
    <row r="1080" customHeight="1" spans="1:4">
      <c r="A1080" s="3">
        <v>1079</v>
      </c>
      <c r="B1080" s="3" t="s">
        <v>1414</v>
      </c>
      <c r="C1080" s="3" t="s">
        <v>2717</v>
      </c>
      <c r="D1080" s="3" t="s">
        <v>2896</v>
      </c>
    </row>
    <row r="1081" customHeight="1" spans="1:4">
      <c r="A1081" s="3">
        <v>1080</v>
      </c>
      <c r="B1081" s="3" t="s">
        <v>1415</v>
      </c>
      <c r="C1081" s="3" t="s">
        <v>2717</v>
      </c>
      <c r="D1081" s="3" t="s">
        <v>2896</v>
      </c>
    </row>
    <row r="1082" customHeight="1" spans="1:4">
      <c r="A1082" s="3">
        <v>1081</v>
      </c>
      <c r="B1082" s="3" t="s">
        <v>1416</v>
      </c>
      <c r="C1082" s="3" t="s">
        <v>1721</v>
      </c>
      <c r="D1082" s="3" t="s">
        <v>2893</v>
      </c>
    </row>
    <row r="1083" customHeight="1" spans="1:4">
      <c r="A1083" s="3">
        <v>1082</v>
      </c>
      <c r="B1083" s="3" t="s">
        <v>1417</v>
      </c>
      <c r="C1083" s="3" t="s">
        <v>1721</v>
      </c>
      <c r="D1083" s="3" t="s">
        <v>2893</v>
      </c>
    </row>
    <row r="1084" customHeight="1" spans="1:4">
      <c r="A1084" s="3">
        <v>1083</v>
      </c>
      <c r="B1084" s="3" t="s">
        <v>1418</v>
      </c>
      <c r="C1084" s="3" t="s">
        <v>2717</v>
      </c>
      <c r="D1084" s="3" t="s">
        <v>2893</v>
      </c>
    </row>
    <row r="1085" customHeight="1" spans="1:4">
      <c r="A1085" s="3">
        <v>1084</v>
      </c>
      <c r="B1085" s="3" t="s">
        <v>1419</v>
      </c>
      <c r="C1085" s="3" t="s">
        <v>2716</v>
      </c>
      <c r="D1085" s="3" t="s">
        <v>2889</v>
      </c>
    </row>
    <row r="1086" customHeight="1" spans="1:4">
      <c r="A1086" s="3">
        <v>1085</v>
      </c>
      <c r="B1086" s="3" t="s">
        <v>1420</v>
      </c>
      <c r="C1086" s="3" t="s">
        <v>2716</v>
      </c>
      <c r="D1086" s="3" t="s">
        <v>2889</v>
      </c>
    </row>
    <row r="1087" customHeight="1" spans="1:4">
      <c r="A1087" s="3">
        <v>1086</v>
      </c>
      <c r="B1087" s="3" t="s">
        <v>1421</v>
      </c>
      <c r="C1087" s="3" t="s">
        <v>2717</v>
      </c>
      <c r="D1087" s="3" t="s">
        <v>2889</v>
      </c>
    </row>
    <row r="1088" customHeight="1" spans="1:4">
      <c r="A1088" s="3">
        <v>1087</v>
      </c>
      <c r="B1088" s="3" t="s">
        <v>1422</v>
      </c>
      <c r="C1088" s="3" t="s">
        <v>1721</v>
      </c>
      <c r="D1088" s="3" t="s">
        <v>2889</v>
      </c>
    </row>
    <row r="1089" customHeight="1" spans="1:4">
      <c r="A1089" s="3">
        <v>1088</v>
      </c>
      <c r="B1089" s="3" t="s">
        <v>1423</v>
      </c>
      <c r="C1089" s="3" t="s">
        <v>1721</v>
      </c>
      <c r="D1089" s="3" t="s">
        <v>2889</v>
      </c>
    </row>
    <row r="1090" customHeight="1" spans="1:4">
      <c r="A1090" s="3">
        <v>1089</v>
      </c>
      <c r="B1090" s="3" t="s">
        <v>1424</v>
      </c>
      <c r="C1090" s="3" t="s">
        <v>1721</v>
      </c>
      <c r="D1090" s="3" t="s">
        <v>2889</v>
      </c>
    </row>
    <row r="1091" customHeight="1" spans="1:4">
      <c r="A1091" s="3">
        <v>1090</v>
      </c>
      <c r="B1091" s="3" t="s">
        <v>1425</v>
      </c>
      <c r="C1091" s="3" t="s">
        <v>1721</v>
      </c>
      <c r="D1091" s="3" t="s">
        <v>2889</v>
      </c>
    </row>
    <row r="1092" customHeight="1" spans="1:4">
      <c r="A1092" s="3">
        <v>1091</v>
      </c>
      <c r="B1092" s="3" t="s">
        <v>1426</v>
      </c>
      <c r="C1092" s="3" t="s">
        <v>2717</v>
      </c>
      <c r="D1092" s="3" t="s">
        <v>2889</v>
      </c>
    </row>
    <row r="1093" customHeight="1" spans="1:4">
      <c r="A1093" s="3">
        <v>1092</v>
      </c>
      <c r="B1093" s="3" t="s">
        <v>1427</v>
      </c>
      <c r="C1093" s="3" t="s">
        <v>2717</v>
      </c>
      <c r="D1093" s="3" t="s">
        <v>2893</v>
      </c>
    </row>
    <row r="1094" customHeight="1" spans="1:4">
      <c r="A1094" s="3">
        <v>1093</v>
      </c>
      <c r="B1094" s="3" t="s">
        <v>1428</v>
      </c>
      <c r="C1094" s="3" t="s">
        <v>2716</v>
      </c>
      <c r="D1094" s="3" t="s">
        <v>2889</v>
      </c>
    </row>
    <row r="1095" customHeight="1" spans="1:4">
      <c r="A1095" s="3">
        <v>1094</v>
      </c>
      <c r="B1095" s="3" t="s">
        <v>1429</v>
      </c>
      <c r="C1095" s="3" t="s">
        <v>1721</v>
      </c>
      <c r="D1095" s="3" t="s">
        <v>2889</v>
      </c>
    </row>
    <row r="1096" customHeight="1" spans="1:4">
      <c r="A1096" s="3">
        <v>1095</v>
      </c>
      <c r="B1096" s="3" t="s">
        <v>236</v>
      </c>
      <c r="C1096" s="3" t="s">
        <v>1721</v>
      </c>
      <c r="D1096" s="3" t="s">
        <v>2889</v>
      </c>
    </row>
    <row r="1097" customHeight="1" spans="1:4">
      <c r="A1097" s="3">
        <v>1096</v>
      </c>
      <c r="B1097" s="3" t="s">
        <v>1430</v>
      </c>
      <c r="C1097" s="3" t="s">
        <v>2716</v>
      </c>
      <c r="D1097" s="3" t="s">
        <v>2889</v>
      </c>
    </row>
    <row r="1098" customHeight="1" spans="1:4">
      <c r="A1098" s="3">
        <v>1097</v>
      </c>
      <c r="B1098" s="3" t="s">
        <v>1431</v>
      </c>
      <c r="C1098" s="3" t="s">
        <v>1721</v>
      </c>
      <c r="D1098" s="3" t="s">
        <v>2889</v>
      </c>
    </row>
    <row r="1099" customHeight="1" spans="1:4">
      <c r="A1099" s="3">
        <v>1098</v>
      </c>
      <c r="B1099" s="3" t="s">
        <v>1432</v>
      </c>
      <c r="C1099" s="3" t="s">
        <v>2717</v>
      </c>
      <c r="D1099" s="3" t="s">
        <v>2889</v>
      </c>
    </row>
    <row r="1100" customHeight="1" spans="1:4">
      <c r="A1100" s="3">
        <v>1099</v>
      </c>
      <c r="B1100" s="3" t="s">
        <v>1433</v>
      </c>
      <c r="C1100" s="3" t="s">
        <v>2716</v>
      </c>
      <c r="D1100" s="3" t="s">
        <v>2889</v>
      </c>
    </row>
    <row r="1101" customHeight="1" spans="1:4">
      <c r="A1101" s="3">
        <v>1100</v>
      </c>
      <c r="B1101" s="3" t="s">
        <v>1434</v>
      </c>
      <c r="C1101" s="3" t="s">
        <v>2717</v>
      </c>
      <c r="D1101" s="3" t="s">
        <v>2889</v>
      </c>
    </row>
    <row r="1102" customHeight="1" spans="1:4">
      <c r="A1102" s="3">
        <v>1101</v>
      </c>
      <c r="B1102" s="3" t="s">
        <v>1435</v>
      </c>
      <c r="C1102" s="3" t="s">
        <v>1721</v>
      </c>
      <c r="D1102" s="3" t="s">
        <v>2889</v>
      </c>
    </row>
    <row r="1103" customHeight="1" spans="1:4">
      <c r="A1103" s="3">
        <v>1102</v>
      </c>
      <c r="B1103" s="3" t="s">
        <v>1436</v>
      </c>
      <c r="C1103" s="3" t="s">
        <v>2717</v>
      </c>
      <c r="D1103" s="3" t="s">
        <v>2889</v>
      </c>
    </row>
    <row r="1104" customHeight="1" spans="1:4">
      <c r="A1104" s="3">
        <v>1103</v>
      </c>
      <c r="B1104" s="3" t="s">
        <v>1437</v>
      </c>
      <c r="C1104" s="3" t="s">
        <v>1721</v>
      </c>
      <c r="D1104" s="3" t="s">
        <v>2889</v>
      </c>
    </row>
    <row r="1105" customHeight="1" spans="1:4">
      <c r="A1105" s="3">
        <v>1104</v>
      </c>
      <c r="B1105" s="3" t="s">
        <v>1438</v>
      </c>
      <c r="C1105" s="3" t="s">
        <v>1721</v>
      </c>
      <c r="D1105" s="3" t="s">
        <v>2889</v>
      </c>
    </row>
    <row r="1106" customHeight="1" spans="1:4">
      <c r="A1106" s="3">
        <v>1105</v>
      </c>
      <c r="B1106" s="3" t="s">
        <v>1439</v>
      </c>
      <c r="C1106" s="3" t="s">
        <v>1721</v>
      </c>
      <c r="D1106" s="3" t="s">
        <v>2889</v>
      </c>
    </row>
    <row r="1107" customHeight="1" spans="1:4">
      <c r="A1107" s="3">
        <v>1106</v>
      </c>
      <c r="B1107" s="3" t="s">
        <v>1440</v>
      </c>
      <c r="C1107" s="3" t="s">
        <v>1721</v>
      </c>
      <c r="D1107" s="3" t="s">
        <v>2889</v>
      </c>
    </row>
    <row r="1108" customHeight="1" spans="1:4">
      <c r="A1108" s="3">
        <v>1107</v>
      </c>
      <c r="B1108" s="3" t="s">
        <v>1441</v>
      </c>
      <c r="C1108" s="3" t="s">
        <v>2717</v>
      </c>
      <c r="D1108" s="3" t="s">
        <v>2889</v>
      </c>
    </row>
    <row r="1109" customHeight="1" spans="1:4">
      <c r="A1109" s="3">
        <v>1108</v>
      </c>
      <c r="B1109" s="3" t="s">
        <v>1442</v>
      </c>
      <c r="C1109" s="3" t="s">
        <v>1721</v>
      </c>
      <c r="D1109" s="3" t="s">
        <v>2889</v>
      </c>
    </row>
    <row r="1110" customHeight="1" spans="1:4">
      <c r="A1110" s="3">
        <v>1109</v>
      </c>
      <c r="B1110" s="3" t="s">
        <v>1443</v>
      </c>
      <c r="C1110" s="3" t="s">
        <v>1721</v>
      </c>
      <c r="D1110" s="3" t="s">
        <v>2889</v>
      </c>
    </row>
    <row r="1111" customHeight="1" spans="1:4">
      <c r="A1111" s="3">
        <v>1110</v>
      </c>
      <c r="B1111" s="3" t="s">
        <v>1444</v>
      </c>
      <c r="C1111" s="3" t="s">
        <v>2716</v>
      </c>
      <c r="D1111" s="3" t="s">
        <v>2889</v>
      </c>
    </row>
    <row r="1112" customHeight="1" spans="1:4">
      <c r="A1112" s="3">
        <v>1111</v>
      </c>
      <c r="B1112" s="3" t="s">
        <v>1445</v>
      </c>
      <c r="C1112" s="3" t="s">
        <v>1721</v>
      </c>
      <c r="D1112" s="3" t="s">
        <v>2889</v>
      </c>
    </row>
    <row r="1113" customHeight="1" spans="1:4">
      <c r="A1113" s="3">
        <v>1112</v>
      </c>
      <c r="B1113" s="3" t="s">
        <v>1446</v>
      </c>
      <c r="C1113" s="3" t="s">
        <v>2716</v>
      </c>
      <c r="D1113" s="3" t="s">
        <v>2889</v>
      </c>
    </row>
    <row r="1114" customHeight="1" spans="1:4">
      <c r="A1114" s="3">
        <v>1113</v>
      </c>
      <c r="B1114" s="3" t="s">
        <v>1447</v>
      </c>
      <c r="C1114" s="3" t="s">
        <v>2717</v>
      </c>
      <c r="D1114" s="3" t="s">
        <v>2889</v>
      </c>
    </row>
    <row r="1115" customHeight="1" spans="1:4">
      <c r="A1115" s="3">
        <v>1114</v>
      </c>
      <c r="B1115" s="3" t="s">
        <v>1448</v>
      </c>
      <c r="C1115" s="3" t="s">
        <v>1721</v>
      </c>
      <c r="D1115" s="3" t="s">
        <v>2889</v>
      </c>
    </row>
    <row r="1116" customHeight="1" spans="1:4">
      <c r="A1116" s="3">
        <v>1115</v>
      </c>
      <c r="B1116" s="3" t="s">
        <v>1449</v>
      </c>
      <c r="C1116" s="3" t="s">
        <v>2716</v>
      </c>
      <c r="D1116" s="3" t="s">
        <v>2889</v>
      </c>
    </row>
    <row r="1117" customHeight="1" spans="1:4">
      <c r="A1117" s="3">
        <v>1116</v>
      </c>
      <c r="B1117" s="3" t="s">
        <v>1450</v>
      </c>
      <c r="C1117" s="3" t="s">
        <v>2717</v>
      </c>
      <c r="D1117" s="3" t="s">
        <v>2889</v>
      </c>
    </row>
    <row r="1118" customHeight="1" spans="1:4">
      <c r="A1118" s="3">
        <v>1117</v>
      </c>
      <c r="B1118" s="3" t="s">
        <v>1451</v>
      </c>
      <c r="C1118" s="3" t="s">
        <v>2717</v>
      </c>
      <c r="D1118" s="3" t="s">
        <v>2889</v>
      </c>
    </row>
    <row r="1119" customHeight="1" spans="1:4">
      <c r="A1119" s="3">
        <v>1118</v>
      </c>
      <c r="B1119" s="3" t="s">
        <v>1452</v>
      </c>
      <c r="C1119" s="3" t="s">
        <v>2717</v>
      </c>
      <c r="D1119" s="3" t="s">
        <v>2889</v>
      </c>
    </row>
    <row r="1120" customHeight="1" spans="1:4">
      <c r="A1120" s="3">
        <v>1119</v>
      </c>
      <c r="B1120" s="3" t="s">
        <v>1453</v>
      </c>
      <c r="C1120" s="3" t="s">
        <v>2717</v>
      </c>
      <c r="D1120" s="3" t="s">
        <v>2889</v>
      </c>
    </row>
    <row r="1121" customHeight="1" spans="1:4">
      <c r="A1121" s="3">
        <v>1120</v>
      </c>
      <c r="B1121" s="3" t="s">
        <v>243</v>
      </c>
      <c r="C1121" s="3" t="s">
        <v>2716</v>
      </c>
      <c r="D1121" s="3" t="s">
        <v>2889</v>
      </c>
    </row>
    <row r="1122" customHeight="1" spans="1:4">
      <c r="A1122" s="3">
        <v>1121</v>
      </c>
      <c r="B1122" s="3" t="s">
        <v>1454</v>
      </c>
      <c r="C1122" s="3" t="s">
        <v>2717</v>
      </c>
      <c r="D1122" s="3" t="s">
        <v>2889</v>
      </c>
    </row>
    <row r="1123" customHeight="1" spans="1:4">
      <c r="A1123" s="3">
        <v>1122</v>
      </c>
      <c r="B1123" s="3" t="s">
        <v>1455</v>
      </c>
      <c r="C1123" s="3" t="s">
        <v>2717</v>
      </c>
      <c r="D1123" s="3" t="s">
        <v>2889</v>
      </c>
    </row>
    <row r="1124" customHeight="1" spans="1:4">
      <c r="A1124" s="3">
        <v>1123</v>
      </c>
      <c r="B1124" s="3" t="s">
        <v>1456</v>
      </c>
      <c r="C1124" s="3" t="s">
        <v>2716</v>
      </c>
      <c r="D1124" s="3" t="s">
        <v>2889</v>
      </c>
    </row>
    <row r="1125" customHeight="1" spans="1:4">
      <c r="A1125" s="3">
        <v>1124</v>
      </c>
      <c r="B1125" s="3" t="s">
        <v>1457</v>
      </c>
      <c r="C1125" s="3" t="s">
        <v>2717</v>
      </c>
      <c r="D1125" s="3" t="s">
        <v>2889</v>
      </c>
    </row>
    <row r="1126" customHeight="1" spans="1:4">
      <c r="A1126" s="3">
        <v>1125</v>
      </c>
      <c r="B1126" s="3" t="s">
        <v>1458</v>
      </c>
      <c r="C1126" s="3" t="s">
        <v>2717</v>
      </c>
      <c r="D1126" s="3" t="s">
        <v>2889</v>
      </c>
    </row>
    <row r="1127" customHeight="1" spans="1:4">
      <c r="A1127" s="3">
        <v>1126</v>
      </c>
      <c r="B1127" s="3" t="s">
        <v>1459</v>
      </c>
      <c r="C1127" s="3" t="s">
        <v>2717</v>
      </c>
      <c r="D1127" s="3" t="s">
        <v>2889</v>
      </c>
    </row>
    <row r="1128" customHeight="1" spans="1:4">
      <c r="A1128" s="3">
        <v>1127</v>
      </c>
      <c r="B1128" s="3" t="s">
        <v>1460</v>
      </c>
      <c r="C1128" s="3" t="s">
        <v>1721</v>
      </c>
      <c r="D1128" s="3" t="s">
        <v>2893</v>
      </c>
    </row>
    <row r="1129" customHeight="1" spans="1:4">
      <c r="A1129" s="3">
        <v>1128</v>
      </c>
      <c r="B1129" s="3" t="s">
        <v>1461</v>
      </c>
      <c r="C1129" s="3" t="s">
        <v>1721</v>
      </c>
      <c r="D1129" s="3" t="s">
        <v>2889</v>
      </c>
    </row>
    <row r="1130" customHeight="1" spans="1:4">
      <c r="A1130" s="3">
        <v>1129</v>
      </c>
      <c r="B1130" s="3" t="s">
        <v>250</v>
      </c>
      <c r="C1130" s="3" t="s">
        <v>2717</v>
      </c>
      <c r="D1130" s="3" t="s">
        <v>2889</v>
      </c>
    </row>
    <row r="1131" customHeight="1" spans="1:4">
      <c r="A1131" s="3">
        <v>1130</v>
      </c>
      <c r="B1131" s="3" t="s">
        <v>1462</v>
      </c>
      <c r="C1131" s="3" t="s">
        <v>2716</v>
      </c>
      <c r="D1131" s="3" t="s">
        <v>2889</v>
      </c>
    </row>
    <row r="1132" customHeight="1" spans="1:4">
      <c r="A1132" s="3">
        <v>1131</v>
      </c>
      <c r="B1132" s="3" t="s">
        <v>1463</v>
      </c>
      <c r="C1132" s="3" t="s">
        <v>1721</v>
      </c>
      <c r="D1132" s="3" t="s">
        <v>2889</v>
      </c>
    </row>
    <row r="1133" customHeight="1" spans="1:4">
      <c r="A1133" s="3">
        <v>1132</v>
      </c>
      <c r="B1133" s="3" t="s">
        <v>1464</v>
      </c>
      <c r="C1133" s="3" t="s">
        <v>1721</v>
      </c>
      <c r="D1133" s="3" t="s">
        <v>2889</v>
      </c>
    </row>
    <row r="1134" customHeight="1" spans="1:4">
      <c r="A1134" s="3">
        <v>1133</v>
      </c>
      <c r="B1134" s="3" t="s">
        <v>1465</v>
      </c>
      <c r="C1134" s="3" t="s">
        <v>2717</v>
      </c>
      <c r="D1134" s="3" t="s">
        <v>2889</v>
      </c>
    </row>
    <row r="1135" customHeight="1" spans="1:4">
      <c r="A1135" s="3">
        <v>1134</v>
      </c>
      <c r="B1135" s="3" t="s">
        <v>1466</v>
      </c>
      <c r="C1135" s="3" t="s">
        <v>2717</v>
      </c>
      <c r="D1135" s="3" t="s">
        <v>2893</v>
      </c>
    </row>
    <row r="1136" customHeight="1" spans="1:4">
      <c r="A1136" s="3">
        <v>1135</v>
      </c>
      <c r="B1136" s="3" t="s">
        <v>1467</v>
      </c>
      <c r="C1136" s="3" t="s">
        <v>2717</v>
      </c>
      <c r="D1136" s="3" t="s">
        <v>2889</v>
      </c>
    </row>
    <row r="1137" customHeight="1" spans="1:4">
      <c r="A1137" s="3">
        <v>1136</v>
      </c>
      <c r="B1137" s="3" t="s">
        <v>1468</v>
      </c>
      <c r="C1137" s="3" t="s">
        <v>2717</v>
      </c>
      <c r="D1137" s="3" t="s">
        <v>2889</v>
      </c>
    </row>
    <row r="1138" customHeight="1" spans="1:4">
      <c r="A1138" s="3">
        <v>1137</v>
      </c>
      <c r="B1138" s="3" t="s">
        <v>1469</v>
      </c>
      <c r="C1138" s="3" t="s">
        <v>1721</v>
      </c>
      <c r="D1138" s="3" t="s">
        <v>2921</v>
      </c>
    </row>
    <row r="1139" customHeight="1" spans="1:4">
      <c r="A1139" s="3">
        <v>1138</v>
      </c>
      <c r="B1139" s="3" t="s">
        <v>1470</v>
      </c>
      <c r="C1139" s="3" t="s">
        <v>2717</v>
      </c>
      <c r="D1139" s="3" t="s">
        <v>2889</v>
      </c>
    </row>
    <row r="1140" customHeight="1" spans="1:4">
      <c r="A1140" s="3">
        <v>1139</v>
      </c>
      <c r="B1140" s="3" t="s">
        <v>1471</v>
      </c>
      <c r="C1140" s="3" t="s">
        <v>2716</v>
      </c>
      <c r="D1140" s="3" t="s">
        <v>2889</v>
      </c>
    </row>
    <row r="1141" customHeight="1" spans="1:4">
      <c r="A1141" s="3">
        <v>1140</v>
      </c>
      <c r="B1141" s="3" t="s">
        <v>1472</v>
      </c>
      <c r="C1141" s="3" t="s">
        <v>1721</v>
      </c>
      <c r="D1141" s="3" t="s">
        <v>2889</v>
      </c>
    </row>
    <row r="1142" customHeight="1" spans="1:4">
      <c r="A1142" s="3">
        <v>1141</v>
      </c>
      <c r="B1142" s="3" t="s">
        <v>1473</v>
      </c>
      <c r="C1142" s="3" t="s">
        <v>2717</v>
      </c>
      <c r="D1142" s="3" t="s">
        <v>2889</v>
      </c>
    </row>
    <row r="1143" customHeight="1" spans="1:4">
      <c r="A1143" s="3">
        <v>1142</v>
      </c>
      <c r="B1143" s="3" t="s">
        <v>1474</v>
      </c>
      <c r="C1143" s="3" t="s">
        <v>1721</v>
      </c>
      <c r="D1143" s="3" t="s">
        <v>2889</v>
      </c>
    </row>
    <row r="1144" customHeight="1" spans="1:4">
      <c r="A1144" s="3">
        <v>1143</v>
      </c>
      <c r="B1144" s="3" t="s">
        <v>1475</v>
      </c>
      <c r="C1144" s="3" t="s">
        <v>2716</v>
      </c>
      <c r="D1144" s="3" t="s">
        <v>2889</v>
      </c>
    </row>
    <row r="1145" customHeight="1" spans="1:4">
      <c r="A1145" s="3">
        <v>1144</v>
      </c>
      <c r="B1145" s="3" t="s">
        <v>1476</v>
      </c>
      <c r="C1145" s="3" t="s">
        <v>1721</v>
      </c>
      <c r="D1145" s="3" t="s">
        <v>2889</v>
      </c>
    </row>
    <row r="1146" customHeight="1" spans="1:4">
      <c r="A1146" s="3">
        <v>1145</v>
      </c>
      <c r="B1146" s="3" t="s">
        <v>1477</v>
      </c>
      <c r="C1146" s="3" t="s">
        <v>2717</v>
      </c>
      <c r="D1146" s="3" t="s">
        <v>2896</v>
      </c>
    </row>
    <row r="1147" customHeight="1" spans="1:4">
      <c r="A1147" s="3">
        <v>1146</v>
      </c>
      <c r="B1147" s="3" t="s">
        <v>1478</v>
      </c>
      <c r="C1147" s="3" t="s">
        <v>1721</v>
      </c>
      <c r="D1147" s="3" t="s">
        <v>2889</v>
      </c>
    </row>
    <row r="1148" customHeight="1" spans="1:4">
      <c r="A1148" s="3">
        <v>1147</v>
      </c>
      <c r="B1148" s="3" t="s">
        <v>257</v>
      </c>
      <c r="C1148" s="3" t="s">
        <v>2717</v>
      </c>
      <c r="D1148" s="3" t="s">
        <v>2889</v>
      </c>
    </row>
    <row r="1149" customHeight="1" spans="1:4">
      <c r="A1149" s="3">
        <v>1148</v>
      </c>
      <c r="B1149" s="3" t="s">
        <v>1479</v>
      </c>
      <c r="C1149" s="3" t="s">
        <v>2716</v>
      </c>
      <c r="D1149" s="3" t="s">
        <v>2889</v>
      </c>
    </row>
    <row r="1150" customHeight="1" spans="1:4">
      <c r="A1150" s="3">
        <v>1149</v>
      </c>
      <c r="B1150" s="3" t="s">
        <v>1480</v>
      </c>
      <c r="C1150" s="3" t="s">
        <v>2716</v>
      </c>
      <c r="D1150" s="3" t="s">
        <v>2889</v>
      </c>
    </row>
    <row r="1151" customHeight="1" spans="1:4">
      <c r="A1151" s="3">
        <v>1150</v>
      </c>
      <c r="B1151" s="3" t="s">
        <v>1481</v>
      </c>
      <c r="C1151" s="3" t="s">
        <v>2716</v>
      </c>
      <c r="D1151" s="3" t="s">
        <v>2889</v>
      </c>
    </row>
    <row r="1152" customHeight="1" spans="1:4">
      <c r="A1152" s="3">
        <v>1151</v>
      </c>
      <c r="B1152" s="3" t="s">
        <v>1482</v>
      </c>
      <c r="C1152" s="3" t="s">
        <v>2717</v>
      </c>
      <c r="D1152" s="3" t="s">
        <v>2889</v>
      </c>
    </row>
    <row r="1153" customHeight="1" spans="1:4">
      <c r="A1153" s="3">
        <v>1152</v>
      </c>
      <c r="B1153" s="3" t="s">
        <v>1483</v>
      </c>
      <c r="C1153" s="3" t="s">
        <v>1721</v>
      </c>
      <c r="D1153" s="3" t="s">
        <v>2921</v>
      </c>
    </row>
    <row r="1154" customHeight="1" spans="1:4">
      <c r="A1154" s="3">
        <v>1153</v>
      </c>
      <c r="B1154" s="3" t="s">
        <v>1484</v>
      </c>
      <c r="C1154" s="3" t="s">
        <v>2716</v>
      </c>
      <c r="D1154" s="3" t="s">
        <v>2921</v>
      </c>
    </row>
    <row r="1155" customHeight="1" spans="1:4">
      <c r="A1155" s="3">
        <v>1154</v>
      </c>
      <c r="B1155" s="3" t="s">
        <v>1485</v>
      </c>
      <c r="C1155" s="3" t="s">
        <v>2716</v>
      </c>
      <c r="D1155" s="3" t="s">
        <v>2889</v>
      </c>
    </row>
    <row r="1156" customHeight="1" spans="1:4">
      <c r="A1156" s="3">
        <v>1155</v>
      </c>
      <c r="B1156" s="3" t="s">
        <v>1486</v>
      </c>
      <c r="C1156" s="3" t="s">
        <v>1721</v>
      </c>
      <c r="D1156" s="3" t="s">
        <v>2889</v>
      </c>
    </row>
    <row r="1157" customHeight="1" spans="1:4">
      <c r="A1157" s="3">
        <v>1156</v>
      </c>
      <c r="B1157" s="3" t="s">
        <v>1487</v>
      </c>
      <c r="C1157" s="3" t="s">
        <v>1721</v>
      </c>
      <c r="D1157" s="3" t="s">
        <v>3019</v>
      </c>
    </row>
    <row r="1158" customHeight="1" spans="1:4">
      <c r="A1158" s="3">
        <v>1157</v>
      </c>
      <c r="B1158" s="3" t="s">
        <v>1488</v>
      </c>
      <c r="C1158" s="3" t="s">
        <v>1721</v>
      </c>
      <c r="D1158" s="3" t="s">
        <v>2896</v>
      </c>
    </row>
    <row r="1159" customHeight="1" spans="1:4">
      <c r="A1159" s="3">
        <v>1158</v>
      </c>
      <c r="B1159" s="3" t="s">
        <v>1489</v>
      </c>
      <c r="C1159" s="3" t="s">
        <v>1721</v>
      </c>
      <c r="D1159" s="3" t="s">
        <v>2921</v>
      </c>
    </row>
    <row r="1160" customHeight="1" spans="1:4">
      <c r="A1160" s="3">
        <v>1159</v>
      </c>
      <c r="B1160" s="3" t="s">
        <v>1490</v>
      </c>
      <c r="C1160" s="3" t="s">
        <v>1721</v>
      </c>
      <c r="D1160" s="3" t="s">
        <v>2889</v>
      </c>
    </row>
    <row r="1161" customHeight="1" spans="1:4">
      <c r="A1161" s="3">
        <v>1160</v>
      </c>
      <c r="B1161" s="3" t="s">
        <v>1491</v>
      </c>
      <c r="C1161" s="3" t="s">
        <v>2716</v>
      </c>
      <c r="D1161" s="3" t="s">
        <v>2921</v>
      </c>
    </row>
    <row r="1162" customHeight="1" spans="1:4">
      <c r="A1162" s="3">
        <v>1161</v>
      </c>
      <c r="B1162" s="3" t="s">
        <v>1492</v>
      </c>
      <c r="C1162" s="3" t="s">
        <v>2716</v>
      </c>
      <c r="D1162" s="3" t="s">
        <v>2987</v>
      </c>
    </row>
    <row r="1163" customHeight="1" spans="1:4">
      <c r="A1163" s="3">
        <v>1162</v>
      </c>
      <c r="B1163" s="3" t="s">
        <v>1493</v>
      </c>
      <c r="C1163" s="3" t="s">
        <v>1721</v>
      </c>
      <c r="D1163" s="3" t="s">
        <v>2889</v>
      </c>
    </row>
    <row r="1164" customHeight="1" spans="1:4">
      <c r="A1164" s="3">
        <v>1163</v>
      </c>
      <c r="B1164" s="3" t="s">
        <v>1494</v>
      </c>
      <c r="C1164" s="3" t="s">
        <v>2717</v>
      </c>
      <c r="D1164" s="3" t="s">
        <v>2889</v>
      </c>
    </row>
    <row r="1165" customHeight="1" spans="1:4">
      <c r="A1165" s="3">
        <v>1164</v>
      </c>
      <c r="B1165" s="3" t="s">
        <v>1495</v>
      </c>
      <c r="C1165" s="3" t="s">
        <v>2717</v>
      </c>
      <c r="D1165" s="3" t="s">
        <v>2911</v>
      </c>
    </row>
    <row r="1166" customHeight="1" spans="1:4">
      <c r="A1166" s="3">
        <v>1165</v>
      </c>
      <c r="B1166" s="3" t="s">
        <v>1496</v>
      </c>
      <c r="C1166" s="3" t="s">
        <v>1721</v>
      </c>
      <c r="D1166" s="3" t="s">
        <v>2921</v>
      </c>
    </row>
    <row r="1167" customHeight="1" spans="1:4">
      <c r="A1167" s="3">
        <v>1166</v>
      </c>
      <c r="B1167" s="3" t="s">
        <v>1497</v>
      </c>
      <c r="C1167" s="3" t="s">
        <v>1721</v>
      </c>
      <c r="D1167" s="3" t="s">
        <v>2921</v>
      </c>
    </row>
    <row r="1168" customHeight="1" spans="1:4">
      <c r="A1168" s="3">
        <v>1167</v>
      </c>
      <c r="B1168" s="3" t="s">
        <v>1498</v>
      </c>
      <c r="C1168" s="3" t="s">
        <v>1721</v>
      </c>
      <c r="D1168" s="3" t="s">
        <v>2889</v>
      </c>
    </row>
    <row r="1169" customHeight="1" spans="1:4">
      <c r="A1169" s="3">
        <v>1168</v>
      </c>
      <c r="B1169" s="3" t="s">
        <v>1499</v>
      </c>
      <c r="C1169" s="3" t="s">
        <v>1721</v>
      </c>
      <c r="D1169" s="3" t="s">
        <v>2889</v>
      </c>
    </row>
    <row r="1170" customHeight="1" spans="1:4">
      <c r="A1170" s="3">
        <v>1169</v>
      </c>
      <c r="B1170" s="3" t="s">
        <v>1500</v>
      </c>
      <c r="C1170" s="3" t="s">
        <v>2716</v>
      </c>
      <c r="D1170" s="3" t="s">
        <v>2889</v>
      </c>
    </row>
    <row r="1171" customHeight="1" spans="1:4">
      <c r="A1171" s="3">
        <v>1170</v>
      </c>
      <c r="B1171" s="3" t="s">
        <v>1501</v>
      </c>
      <c r="C1171" s="3" t="s">
        <v>1721</v>
      </c>
      <c r="D1171" s="3" t="s">
        <v>2911</v>
      </c>
    </row>
    <row r="1172" customHeight="1" spans="1:4">
      <c r="A1172" s="3">
        <v>1171</v>
      </c>
      <c r="B1172" s="3" t="s">
        <v>1502</v>
      </c>
      <c r="C1172" s="3" t="s">
        <v>2717</v>
      </c>
      <c r="D1172" s="3" t="s">
        <v>2889</v>
      </c>
    </row>
    <row r="1173" customHeight="1" spans="1:4">
      <c r="A1173" s="3">
        <v>1172</v>
      </c>
      <c r="B1173" s="3" t="s">
        <v>1503</v>
      </c>
      <c r="C1173" s="3" t="s">
        <v>1721</v>
      </c>
      <c r="D1173" s="3" t="s">
        <v>2889</v>
      </c>
    </row>
    <row r="1174" customHeight="1" spans="1:4">
      <c r="A1174" s="3">
        <v>1173</v>
      </c>
      <c r="B1174" s="3" t="s">
        <v>1504</v>
      </c>
      <c r="C1174" s="3" t="s">
        <v>2716</v>
      </c>
      <c r="D1174" s="3" t="s">
        <v>2911</v>
      </c>
    </row>
    <row r="1175" customHeight="1" spans="1:4">
      <c r="A1175" s="3">
        <v>1174</v>
      </c>
      <c r="B1175" s="3" t="s">
        <v>1505</v>
      </c>
      <c r="C1175" s="3" t="s">
        <v>1721</v>
      </c>
      <c r="D1175" s="3" t="s">
        <v>2889</v>
      </c>
    </row>
    <row r="1176" customHeight="1" spans="1:4">
      <c r="A1176" s="3">
        <v>1175</v>
      </c>
      <c r="B1176" s="3" t="s">
        <v>1506</v>
      </c>
      <c r="C1176" s="3" t="s">
        <v>1721</v>
      </c>
      <c r="D1176" s="3" t="s">
        <v>2889</v>
      </c>
    </row>
    <row r="1177" customHeight="1" spans="1:4">
      <c r="A1177" s="3">
        <v>1176</v>
      </c>
      <c r="B1177" s="3" t="s">
        <v>1507</v>
      </c>
      <c r="C1177" s="3" t="s">
        <v>1721</v>
      </c>
      <c r="D1177" s="3" t="s">
        <v>2889</v>
      </c>
    </row>
    <row r="1178" customHeight="1" spans="1:4">
      <c r="A1178" s="3">
        <v>1177</v>
      </c>
      <c r="B1178" s="3" t="s">
        <v>1508</v>
      </c>
      <c r="C1178" s="3" t="s">
        <v>1721</v>
      </c>
      <c r="D1178" s="3" t="s">
        <v>2889</v>
      </c>
    </row>
    <row r="1179" customHeight="1" spans="1:4">
      <c r="A1179" s="3">
        <v>1178</v>
      </c>
      <c r="B1179" s="3" t="s">
        <v>1509</v>
      </c>
      <c r="C1179" s="3" t="s">
        <v>2717</v>
      </c>
      <c r="D1179" s="3" t="s">
        <v>2889</v>
      </c>
    </row>
    <row r="1180" customHeight="1" spans="1:4">
      <c r="A1180" s="3">
        <v>1179</v>
      </c>
      <c r="B1180" s="3" t="s">
        <v>1510</v>
      </c>
      <c r="C1180" s="3" t="s">
        <v>2717</v>
      </c>
      <c r="D1180" s="3" t="s">
        <v>2889</v>
      </c>
    </row>
    <row r="1181" customHeight="1" spans="1:4">
      <c r="A1181" s="3">
        <v>1180</v>
      </c>
      <c r="B1181" s="3" t="s">
        <v>1511</v>
      </c>
      <c r="C1181" s="3" t="s">
        <v>1721</v>
      </c>
      <c r="D1181" s="3" t="s">
        <v>2889</v>
      </c>
    </row>
    <row r="1182" customHeight="1" spans="1:4">
      <c r="A1182" s="3">
        <v>1181</v>
      </c>
      <c r="B1182" s="3" t="s">
        <v>1512</v>
      </c>
      <c r="C1182" s="3" t="s">
        <v>1721</v>
      </c>
      <c r="D1182" s="3" t="s">
        <v>2889</v>
      </c>
    </row>
    <row r="1183" customHeight="1" spans="1:4">
      <c r="A1183" s="3">
        <v>1182</v>
      </c>
      <c r="B1183" s="3" t="s">
        <v>1513</v>
      </c>
      <c r="C1183" s="3" t="s">
        <v>2717</v>
      </c>
      <c r="D1183" s="3" t="s">
        <v>2889</v>
      </c>
    </row>
    <row r="1184" customHeight="1" spans="1:4">
      <c r="A1184" s="3">
        <v>1183</v>
      </c>
      <c r="B1184" s="3" t="s">
        <v>1514</v>
      </c>
      <c r="C1184" s="3" t="s">
        <v>1721</v>
      </c>
      <c r="D1184" s="3" t="s">
        <v>2889</v>
      </c>
    </row>
    <row r="1185" customHeight="1" spans="1:4">
      <c r="A1185" s="3">
        <v>1184</v>
      </c>
      <c r="B1185" s="3" t="s">
        <v>1515</v>
      </c>
      <c r="C1185" s="3" t="s">
        <v>2717</v>
      </c>
      <c r="D1185" s="3" t="s">
        <v>2889</v>
      </c>
    </row>
    <row r="1186" customHeight="1" spans="1:4">
      <c r="A1186" s="3">
        <v>1185</v>
      </c>
      <c r="B1186" s="3" t="s">
        <v>1516</v>
      </c>
      <c r="C1186" s="3" t="s">
        <v>2716</v>
      </c>
      <c r="D1186" s="3" t="s">
        <v>2889</v>
      </c>
    </row>
    <row r="1187" customHeight="1" spans="1:4">
      <c r="A1187" s="3">
        <v>1186</v>
      </c>
      <c r="B1187" s="3" t="s">
        <v>1517</v>
      </c>
      <c r="C1187" s="3" t="s">
        <v>2717</v>
      </c>
      <c r="D1187" s="3" t="s">
        <v>2889</v>
      </c>
    </row>
    <row r="1188" customHeight="1" spans="1:4">
      <c r="A1188" s="3">
        <v>1187</v>
      </c>
      <c r="B1188" s="3" t="s">
        <v>1518</v>
      </c>
      <c r="C1188" s="3" t="s">
        <v>2717</v>
      </c>
      <c r="D1188" s="3" t="s">
        <v>2889</v>
      </c>
    </row>
    <row r="1189" customHeight="1" spans="1:4">
      <c r="A1189" s="3">
        <v>1188</v>
      </c>
      <c r="B1189" s="3" t="s">
        <v>1519</v>
      </c>
      <c r="C1189" s="3" t="s">
        <v>1721</v>
      </c>
      <c r="D1189" s="3" t="s">
        <v>2889</v>
      </c>
    </row>
    <row r="1190" customHeight="1" spans="1:4">
      <c r="A1190" s="3">
        <v>1189</v>
      </c>
      <c r="B1190" s="3" t="s">
        <v>1520</v>
      </c>
      <c r="C1190" s="3" t="s">
        <v>1721</v>
      </c>
      <c r="D1190" s="3" t="s">
        <v>2889</v>
      </c>
    </row>
    <row r="1191" customHeight="1" spans="1:4">
      <c r="A1191" s="3">
        <v>1190</v>
      </c>
      <c r="B1191" s="3" t="s">
        <v>1521</v>
      </c>
      <c r="C1191" s="3" t="s">
        <v>2717</v>
      </c>
      <c r="D1191" s="3" t="s">
        <v>2889</v>
      </c>
    </row>
    <row r="1192" customHeight="1" spans="1:4">
      <c r="A1192" s="3">
        <v>1191</v>
      </c>
      <c r="B1192" s="3" t="s">
        <v>1522</v>
      </c>
      <c r="C1192" s="3" t="s">
        <v>1721</v>
      </c>
      <c r="D1192" s="3" t="s">
        <v>2908</v>
      </c>
    </row>
    <row r="1193" customHeight="1" spans="1:4">
      <c r="A1193" s="3">
        <v>1192</v>
      </c>
      <c r="B1193" s="3" t="s">
        <v>1523</v>
      </c>
      <c r="C1193" s="3" t="s">
        <v>1721</v>
      </c>
      <c r="D1193" s="3" t="s">
        <v>2889</v>
      </c>
    </row>
    <row r="1194" customHeight="1" spans="1:4">
      <c r="A1194" s="3">
        <v>1193</v>
      </c>
      <c r="B1194" s="3" t="s">
        <v>1524</v>
      </c>
      <c r="C1194" s="3" t="s">
        <v>1721</v>
      </c>
      <c r="D1194" s="3" t="s">
        <v>2889</v>
      </c>
    </row>
    <row r="1195" customHeight="1" spans="1:4">
      <c r="A1195" s="3">
        <v>1194</v>
      </c>
      <c r="B1195" s="3" t="s">
        <v>1525</v>
      </c>
      <c r="C1195" s="3" t="s">
        <v>1721</v>
      </c>
      <c r="D1195" s="3" t="s">
        <v>2889</v>
      </c>
    </row>
    <row r="1196" customHeight="1" spans="1:4">
      <c r="A1196" s="3">
        <v>1195</v>
      </c>
      <c r="B1196" s="3" t="s">
        <v>1526</v>
      </c>
      <c r="C1196" s="3" t="s">
        <v>2717</v>
      </c>
      <c r="D1196" s="3" t="s">
        <v>2889</v>
      </c>
    </row>
    <row r="1197" customHeight="1" spans="1:4">
      <c r="A1197" s="3">
        <v>1196</v>
      </c>
      <c r="B1197" s="3" t="s">
        <v>1527</v>
      </c>
      <c r="C1197" s="3" t="s">
        <v>1721</v>
      </c>
      <c r="D1197" s="3" t="s">
        <v>2889</v>
      </c>
    </row>
    <row r="1198" customHeight="1" spans="1:4">
      <c r="A1198" s="3">
        <v>1197</v>
      </c>
      <c r="B1198" s="3" t="s">
        <v>1528</v>
      </c>
      <c r="C1198" s="3" t="s">
        <v>1721</v>
      </c>
      <c r="D1198" s="3" t="s">
        <v>2889</v>
      </c>
    </row>
    <row r="1199" customHeight="1" spans="1:4">
      <c r="A1199" s="3">
        <v>1198</v>
      </c>
      <c r="B1199" s="3" t="s">
        <v>1529</v>
      </c>
      <c r="C1199" s="3" t="s">
        <v>2717</v>
      </c>
      <c r="D1199" s="3" t="s">
        <v>2889</v>
      </c>
    </row>
    <row r="1200" customHeight="1" spans="1:4">
      <c r="A1200" s="3">
        <v>1199</v>
      </c>
      <c r="B1200" s="3" t="s">
        <v>1530</v>
      </c>
      <c r="C1200" s="3" t="s">
        <v>1721</v>
      </c>
      <c r="D1200" s="3" t="s">
        <v>2889</v>
      </c>
    </row>
    <row r="1201" customHeight="1" spans="1:4">
      <c r="A1201" s="3">
        <v>1200</v>
      </c>
      <c r="B1201" s="3" t="s">
        <v>1531</v>
      </c>
      <c r="C1201" s="3" t="s">
        <v>2717</v>
      </c>
      <c r="D1201" s="3" t="s">
        <v>2896</v>
      </c>
    </row>
    <row r="1202" customHeight="1" spans="1:4">
      <c r="A1202" s="3">
        <v>1201</v>
      </c>
      <c r="B1202" s="3" t="s">
        <v>1532</v>
      </c>
      <c r="C1202" s="3" t="s">
        <v>2717</v>
      </c>
      <c r="D1202" s="3" t="s">
        <v>2889</v>
      </c>
    </row>
    <row r="1203" customHeight="1" spans="1:4">
      <c r="A1203" s="3">
        <v>1202</v>
      </c>
      <c r="B1203" s="3" t="s">
        <v>1533</v>
      </c>
      <c r="C1203" s="3" t="s">
        <v>1721</v>
      </c>
      <c r="D1203" s="3" t="s">
        <v>2889</v>
      </c>
    </row>
    <row r="1204" customHeight="1" spans="1:4">
      <c r="A1204" s="3">
        <v>1203</v>
      </c>
      <c r="B1204" s="3" t="s">
        <v>1534</v>
      </c>
      <c r="C1204" s="3" t="s">
        <v>1721</v>
      </c>
      <c r="D1204" s="3" t="s">
        <v>2889</v>
      </c>
    </row>
    <row r="1205" customHeight="1" spans="1:4">
      <c r="A1205" s="3">
        <v>1204</v>
      </c>
      <c r="B1205" s="3" t="s">
        <v>1535</v>
      </c>
      <c r="C1205" s="3" t="s">
        <v>1721</v>
      </c>
      <c r="D1205" s="3" t="s">
        <v>2889</v>
      </c>
    </row>
    <row r="1206" customHeight="1" spans="1:4">
      <c r="A1206" s="3">
        <v>1205</v>
      </c>
      <c r="B1206" s="3" t="s">
        <v>1536</v>
      </c>
      <c r="C1206" s="3" t="s">
        <v>1721</v>
      </c>
      <c r="D1206" s="3" t="s">
        <v>2896</v>
      </c>
    </row>
    <row r="1207" customHeight="1" spans="1:4">
      <c r="A1207" s="3">
        <v>1206</v>
      </c>
      <c r="B1207" s="3" t="s">
        <v>1537</v>
      </c>
      <c r="C1207" s="3" t="s">
        <v>1721</v>
      </c>
      <c r="D1207" s="3" t="s">
        <v>2889</v>
      </c>
    </row>
    <row r="1208" customHeight="1" spans="1:4">
      <c r="A1208" s="3">
        <v>1207</v>
      </c>
      <c r="B1208" s="3" t="s">
        <v>1538</v>
      </c>
      <c r="C1208" s="3" t="s">
        <v>1721</v>
      </c>
      <c r="D1208" s="3" t="s">
        <v>2889</v>
      </c>
    </row>
    <row r="1209" customHeight="1" spans="1:4">
      <c r="A1209" s="3">
        <v>1208</v>
      </c>
      <c r="B1209" s="3" t="s">
        <v>1539</v>
      </c>
      <c r="C1209" s="3" t="s">
        <v>1721</v>
      </c>
      <c r="D1209" s="3" t="s">
        <v>2911</v>
      </c>
    </row>
    <row r="1210" customHeight="1" spans="1:4">
      <c r="A1210" s="3">
        <v>1209</v>
      </c>
      <c r="B1210" s="3" t="s">
        <v>1540</v>
      </c>
      <c r="C1210" s="3" t="s">
        <v>2717</v>
      </c>
      <c r="D1210" s="3" t="s">
        <v>2889</v>
      </c>
    </row>
    <row r="1211" customHeight="1" spans="1:4">
      <c r="A1211" s="3">
        <v>1210</v>
      </c>
      <c r="B1211" s="3" t="s">
        <v>1541</v>
      </c>
      <c r="C1211" s="3" t="s">
        <v>1721</v>
      </c>
      <c r="D1211" s="3" t="s">
        <v>2889</v>
      </c>
    </row>
    <row r="1212" customHeight="1" spans="1:4">
      <c r="A1212" s="3">
        <v>1211</v>
      </c>
      <c r="B1212" s="3" t="s">
        <v>1542</v>
      </c>
      <c r="C1212" s="3" t="s">
        <v>1721</v>
      </c>
      <c r="D1212" s="3" t="s">
        <v>2896</v>
      </c>
    </row>
    <row r="1213" customHeight="1" spans="1:4">
      <c r="A1213" s="3">
        <v>1212</v>
      </c>
      <c r="B1213" s="3" t="s">
        <v>1543</v>
      </c>
      <c r="C1213" s="3" t="s">
        <v>2716</v>
      </c>
      <c r="D1213" s="3" t="s">
        <v>2889</v>
      </c>
    </row>
    <row r="1214" customHeight="1" spans="1:4">
      <c r="A1214" s="3">
        <v>1213</v>
      </c>
      <c r="B1214" s="3" t="s">
        <v>1544</v>
      </c>
      <c r="C1214" s="3" t="s">
        <v>2716</v>
      </c>
      <c r="D1214" s="3" t="s">
        <v>2889</v>
      </c>
    </row>
    <row r="1215" customHeight="1" spans="1:4">
      <c r="A1215" s="3">
        <v>1214</v>
      </c>
      <c r="B1215" s="3" t="s">
        <v>1545</v>
      </c>
      <c r="C1215" s="3" t="s">
        <v>2716</v>
      </c>
      <c r="D1215" s="3" t="s">
        <v>2889</v>
      </c>
    </row>
    <row r="1216" customHeight="1" spans="1:4">
      <c r="A1216" s="3">
        <v>1215</v>
      </c>
      <c r="B1216" s="3" t="s">
        <v>1546</v>
      </c>
      <c r="C1216" s="3" t="s">
        <v>2716</v>
      </c>
      <c r="D1216" s="3" t="s">
        <v>2889</v>
      </c>
    </row>
    <row r="1217" customHeight="1" spans="1:4">
      <c r="A1217" s="3">
        <v>1216</v>
      </c>
      <c r="B1217" s="3" t="s">
        <v>1547</v>
      </c>
      <c r="C1217" s="3" t="s">
        <v>1721</v>
      </c>
      <c r="D1217" s="3" t="s">
        <v>2889</v>
      </c>
    </row>
    <row r="1218" customHeight="1" spans="1:4">
      <c r="A1218" s="3">
        <v>1217</v>
      </c>
      <c r="B1218" s="3" t="s">
        <v>1548</v>
      </c>
      <c r="C1218" s="3" t="s">
        <v>2717</v>
      </c>
      <c r="D1218" s="3" t="s">
        <v>2889</v>
      </c>
    </row>
    <row r="1219" customHeight="1" spans="1:4">
      <c r="A1219" s="3">
        <v>1218</v>
      </c>
      <c r="B1219" s="3" t="s">
        <v>1549</v>
      </c>
      <c r="C1219" s="3" t="s">
        <v>2717</v>
      </c>
      <c r="D1219" s="3" t="s">
        <v>2889</v>
      </c>
    </row>
    <row r="1220" customHeight="1" spans="1:4">
      <c r="A1220" s="3">
        <v>1219</v>
      </c>
      <c r="B1220" s="3" t="s">
        <v>1550</v>
      </c>
      <c r="C1220" s="3" t="s">
        <v>2717</v>
      </c>
      <c r="D1220" s="3" t="s">
        <v>2889</v>
      </c>
    </row>
    <row r="1221" customHeight="1" spans="1:4">
      <c r="A1221" s="3">
        <v>1220</v>
      </c>
      <c r="B1221" s="3" t="s">
        <v>1551</v>
      </c>
      <c r="C1221" s="3" t="s">
        <v>2717</v>
      </c>
      <c r="D1221" s="3" t="s">
        <v>2889</v>
      </c>
    </row>
    <row r="1222" customHeight="1" spans="1:4">
      <c r="A1222" s="3">
        <v>1221</v>
      </c>
      <c r="B1222" s="3" t="s">
        <v>1552</v>
      </c>
      <c r="C1222" s="3" t="s">
        <v>2717</v>
      </c>
      <c r="D1222" s="3" t="s">
        <v>2889</v>
      </c>
    </row>
    <row r="1223" customHeight="1" spans="1:4">
      <c r="A1223" s="3">
        <v>1222</v>
      </c>
      <c r="B1223" s="3" t="s">
        <v>1553</v>
      </c>
      <c r="C1223" s="3" t="s">
        <v>2716</v>
      </c>
      <c r="D1223" s="3" t="s">
        <v>2889</v>
      </c>
    </row>
    <row r="1224" customHeight="1" spans="1:4">
      <c r="A1224" s="3">
        <v>1223</v>
      </c>
      <c r="B1224" s="3" t="s">
        <v>1554</v>
      </c>
      <c r="C1224" s="3" t="s">
        <v>2716</v>
      </c>
      <c r="D1224" s="3" t="s">
        <v>2908</v>
      </c>
    </row>
    <row r="1225" customHeight="1" spans="1:4">
      <c r="A1225" s="3">
        <v>1224</v>
      </c>
      <c r="B1225" s="3" t="s">
        <v>1555</v>
      </c>
      <c r="C1225" s="3" t="s">
        <v>1721</v>
      </c>
      <c r="D1225" s="3" t="s">
        <v>2896</v>
      </c>
    </row>
    <row r="1226" customHeight="1" spans="1:4">
      <c r="A1226" s="3">
        <v>1225</v>
      </c>
      <c r="B1226" s="3" t="s">
        <v>1556</v>
      </c>
      <c r="C1226" s="3" t="s">
        <v>2717</v>
      </c>
      <c r="D1226" s="3" t="s">
        <v>2889</v>
      </c>
    </row>
    <row r="1227" customHeight="1" spans="1:4">
      <c r="A1227" s="3">
        <v>1226</v>
      </c>
      <c r="B1227" s="3" t="s">
        <v>1557</v>
      </c>
      <c r="C1227" s="3" t="s">
        <v>2716</v>
      </c>
      <c r="D1227" s="3" t="s">
        <v>2889</v>
      </c>
    </row>
    <row r="1228" customHeight="1" spans="1:4">
      <c r="A1228" s="3">
        <v>1227</v>
      </c>
      <c r="B1228" s="3" t="s">
        <v>1558</v>
      </c>
      <c r="C1228" s="3" t="s">
        <v>2716</v>
      </c>
      <c r="D1228" s="3" t="s">
        <v>2889</v>
      </c>
    </row>
    <row r="1229" customHeight="1" spans="1:4">
      <c r="A1229" s="3">
        <v>1228</v>
      </c>
      <c r="B1229" s="3" t="s">
        <v>1559</v>
      </c>
      <c r="C1229" s="3" t="s">
        <v>2716</v>
      </c>
      <c r="D1229" s="3" t="s">
        <v>2889</v>
      </c>
    </row>
    <row r="1230" customHeight="1" spans="1:4">
      <c r="A1230" s="3">
        <v>1229</v>
      </c>
      <c r="B1230" s="3" t="s">
        <v>1560</v>
      </c>
      <c r="C1230" s="3" t="s">
        <v>1721</v>
      </c>
      <c r="D1230" s="3" t="s">
        <v>2911</v>
      </c>
    </row>
    <row r="1231" customHeight="1" spans="1:4">
      <c r="A1231" s="3">
        <v>1230</v>
      </c>
      <c r="B1231" s="3" t="s">
        <v>1561</v>
      </c>
      <c r="C1231" s="3" t="s">
        <v>2717</v>
      </c>
      <c r="D1231" s="3" t="s">
        <v>2889</v>
      </c>
    </row>
    <row r="1232" customHeight="1" spans="1:4">
      <c r="A1232" s="3">
        <v>1231</v>
      </c>
      <c r="B1232" s="3" t="s">
        <v>1562</v>
      </c>
      <c r="C1232" s="3" t="s">
        <v>2717</v>
      </c>
      <c r="D1232" s="3" t="s">
        <v>2893</v>
      </c>
    </row>
    <row r="1233" customHeight="1" spans="1:4">
      <c r="A1233" s="3">
        <v>1232</v>
      </c>
      <c r="B1233" s="3" t="s">
        <v>1563</v>
      </c>
      <c r="C1233" s="3" t="s">
        <v>1721</v>
      </c>
      <c r="D1233" s="3" t="s">
        <v>2893</v>
      </c>
    </row>
    <row r="1234" customHeight="1" spans="1:4">
      <c r="A1234" s="3">
        <v>1233</v>
      </c>
      <c r="B1234" s="3" t="s">
        <v>1564</v>
      </c>
      <c r="C1234" s="3" t="s">
        <v>2716</v>
      </c>
      <c r="D1234" s="3" t="s">
        <v>2889</v>
      </c>
    </row>
    <row r="1235" customHeight="1" spans="1:4">
      <c r="A1235" s="3">
        <v>1234</v>
      </c>
      <c r="B1235" s="3" t="s">
        <v>1565</v>
      </c>
      <c r="C1235" s="3" t="s">
        <v>2716</v>
      </c>
      <c r="D1235" s="3" t="s">
        <v>2889</v>
      </c>
    </row>
    <row r="1236" customHeight="1" spans="1:4">
      <c r="A1236" s="3">
        <v>1235</v>
      </c>
      <c r="B1236" s="3" t="s">
        <v>1566</v>
      </c>
      <c r="C1236" s="3" t="s">
        <v>2717</v>
      </c>
      <c r="D1236" s="3" t="s">
        <v>2889</v>
      </c>
    </row>
    <row r="1237" customHeight="1" spans="1:4">
      <c r="A1237" s="3">
        <v>1236</v>
      </c>
      <c r="B1237" s="3" t="s">
        <v>1567</v>
      </c>
      <c r="C1237" s="3" t="s">
        <v>1721</v>
      </c>
      <c r="D1237" s="3" t="s">
        <v>2889</v>
      </c>
    </row>
    <row r="1238" customHeight="1" spans="1:4">
      <c r="A1238" s="3">
        <v>1237</v>
      </c>
      <c r="B1238" s="3" t="s">
        <v>1568</v>
      </c>
      <c r="C1238" s="3" t="s">
        <v>2717</v>
      </c>
      <c r="D1238" s="3" t="s">
        <v>2889</v>
      </c>
    </row>
    <row r="1239" customHeight="1" spans="1:4">
      <c r="A1239" s="3">
        <v>1238</v>
      </c>
      <c r="B1239" s="3" t="s">
        <v>1569</v>
      </c>
      <c r="C1239" s="3" t="s">
        <v>1721</v>
      </c>
      <c r="D1239" s="3" t="s">
        <v>2921</v>
      </c>
    </row>
    <row r="1240" customHeight="1" spans="1:4">
      <c r="A1240" s="3">
        <v>1239</v>
      </c>
      <c r="B1240" s="3" t="s">
        <v>1570</v>
      </c>
      <c r="C1240" s="3" t="s">
        <v>2717</v>
      </c>
      <c r="D1240" s="3" t="s">
        <v>2889</v>
      </c>
    </row>
    <row r="1241" customHeight="1" spans="1:4">
      <c r="A1241" s="3">
        <v>1240</v>
      </c>
      <c r="B1241" s="3" t="s">
        <v>1571</v>
      </c>
      <c r="C1241" s="3" t="s">
        <v>2716</v>
      </c>
      <c r="D1241" s="3" t="s">
        <v>2889</v>
      </c>
    </row>
    <row r="1242" customHeight="1" spans="1:4">
      <c r="A1242" s="3">
        <v>1241</v>
      </c>
      <c r="B1242" s="3" t="s">
        <v>1572</v>
      </c>
      <c r="C1242" s="3" t="s">
        <v>1721</v>
      </c>
      <c r="D1242" s="3" t="s">
        <v>2889</v>
      </c>
    </row>
    <row r="1243" customHeight="1" spans="1:4">
      <c r="A1243" s="3">
        <v>1242</v>
      </c>
      <c r="B1243" s="3" t="s">
        <v>1573</v>
      </c>
      <c r="C1243" s="3" t="s">
        <v>2717</v>
      </c>
      <c r="D1243" s="3" t="s">
        <v>2889</v>
      </c>
    </row>
    <row r="1244" customHeight="1" spans="1:4">
      <c r="A1244" s="3">
        <v>1243</v>
      </c>
      <c r="B1244" s="3" t="s">
        <v>1574</v>
      </c>
      <c r="C1244" s="3" t="s">
        <v>2716</v>
      </c>
      <c r="D1244" s="3" t="s">
        <v>2911</v>
      </c>
    </row>
    <row r="1245" customHeight="1" spans="1:4">
      <c r="A1245" s="3">
        <v>1244</v>
      </c>
      <c r="B1245" s="3" t="s">
        <v>1575</v>
      </c>
      <c r="C1245" s="3" t="s">
        <v>2717</v>
      </c>
      <c r="D1245" s="3" t="s">
        <v>2889</v>
      </c>
    </row>
    <row r="1246" customHeight="1" spans="1:4">
      <c r="A1246" s="3">
        <v>1245</v>
      </c>
      <c r="B1246" s="3" t="s">
        <v>1576</v>
      </c>
      <c r="C1246" s="3" t="s">
        <v>2717</v>
      </c>
      <c r="D1246" s="3" t="s">
        <v>2889</v>
      </c>
    </row>
    <row r="1247" customHeight="1" spans="1:4">
      <c r="A1247" s="3">
        <v>1246</v>
      </c>
      <c r="B1247" s="3" t="s">
        <v>1577</v>
      </c>
      <c r="C1247" s="3" t="s">
        <v>2717</v>
      </c>
      <c r="D1247" s="3" t="s">
        <v>2889</v>
      </c>
    </row>
    <row r="1248" customHeight="1" spans="1:4">
      <c r="A1248" s="3">
        <v>1247</v>
      </c>
      <c r="B1248" s="3" t="s">
        <v>1578</v>
      </c>
      <c r="C1248" s="3" t="s">
        <v>2716</v>
      </c>
      <c r="D1248" s="3" t="s">
        <v>2889</v>
      </c>
    </row>
    <row r="1249" customHeight="1" spans="1:4">
      <c r="A1249" s="3">
        <v>1248</v>
      </c>
      <c r="B1249" s="3" t="s">
        <v>1579</v>
      </c>
      <c r="C1249" s="3" t="s">
        <v>1721</v>
      </c>
      <c r="D1249" s="3" t="s">
        <v>2889</v>
      </c>
    </row>
    <row r="1250" customHeight="1" spans="1:4">
      <c r="A1250" s="3">
        <v>1249</v>
      </c>
      <c r="B1250" s="3" t="s">
        <v>1580</v>
      </c>
      <c r="C1250" s="3" t="s">
        <v>2717</v>
      </c>
      <c r="D1250" s="3" t="s">
        <v>2889</v>
      </c>
    </row>
    <row r="1251" customHeight="1" spans="1:4">
      <c r="A1251" s="3">
        <v>1250</v>
      </c>
      <c r="B1251" s="3" t="s">
        <v>1581</v>
      </c>
      <c r="C1251" s="3" t="s">
        <v>1721</v>
      </c>
      <c r="D1251" s="3" t="s">
        <v>2889</v>
      </c>
    </row>
    <row r="1252" customHeight="1" spans="1:4">
      <c r="A1252" s="3">
        <v>1251</v>
      </c>
      <c r="B1252" s="3" t="s">
        <v>1582</v>
      </c>
      <c r="C1252" s="3" t="s">
        <v>2716</v>
      </c>
      <c r="D1252" s="3" t="s">
        <v>2889</v>
      </c>
    </row>
    <row r="1253" customHeight="1" spans="1:4">
      <c r="A1253" s="3">
        <v>1252</v>
      </c>
      <c r="B1253" s="3" t="s">
        <v>1583</v>
      </c>
      <c r="C1253" s="3" t="s">
        <v>2716</v>
      </c>
      <c r="D1253" s="3" t="s">
        <v>2921</v>
      </c>
    </row>
    <row r="1254" customHeight="1" spans="1:4">
      <c r="A1254" s="3">
        <v>1253</v>
      </c>
      <c r="B1254" s="3" t="s">
        <v>1584</v>
      </c>
      <c r="C1254" s="3" t="s">
        <v>2716</v>
      </c>
      <c r="D1254" s="3" t="s">
        <v>2969</v>
      </c>
    </row>
    <row r="1255" customHeight="1" spans="1:4">
      <c r="A1255" s="3">
        <v>1254</v>
      </c>
      <c r="B1255" s="3" t="s">
        <v>1585</v>
      </c>
      <c r="C1255" s="3" t="s">
        <v>2716</v>
      </c>
      <c r="D1255" s="3" t="s">
        <v>2893</v>
      </c>
    </row>
    <row r="1256" customHeight="1" spans="1:4">
      <c r="A1256" s="3">
        <v>1255</v>
      </c>
      <c r="B1256" s="3" t="s">
        <v>1586</v>
      </c>
      <c r="C1256" s="3" t="s">
        <v>2717</v>
      </c>
      <c r="D1256" s="3" t="s">
        <v>2889</v>
      </c>
    </row>
    <row r="1257" customHeight="1" spans="1:4">
      <c r="A1257" s="3">
        <v>1256</v>
      </c>
      <c r="B1257" s="3" t="s">
        <v>1587</v>
      </c>
      <c r="C1257" s="3" t="s">
        <v>2716</v>
      </c>
      <c r="D1257" s="3" t="s">
        <v>2908</v>
      </c>
    </row>
    <row r="1258" customHeight="1" spans="1:4">
      <c r="A1258" s="3">
        <v>1257</v>
      </c>
      <c r="B1258" s="3" t="s">
        <v>1588</v>
      </c>
      <c r="C1258" s="3" t="s">
        <v>2716</v>
      </c>
      <c r="D1258" s="3" t="s">
        <v>2908</v>
      </c>
    </row>
    <row r="1259" customHeight="1" spans="1:4">
      <c r="A1259" s="3">
        <v>1258</v>
      </c>
      <c r="B1259" s="3" t="s">
        <v>1589</v>
      </c>
      <c r="C1259" s="3" t="s">
        <v>2717</v>
      </c>
      <c r="D1259" s="3" t="s">
        <v>2889</v>
      </c>
    </row>
    <row r="1260" customHeight="1" spans="1:4">
      <c r="A1260" s="3">
        <v>1259</v>
      </c>
      <c r="B1260" s="3" t="s">
        <v>1590</v>
      </c>
      <c r="C1260" s="3" t="s">
        <v>1721</v>
      </c>
      <c r="D1260" s="3" t="s">
        <v>2889</v>
      </c>
    </row>
    <row r="1261" customHeight="1" spans="1:4">
      <c r="A1261" s="3">
        <v>1260</v>
      </c>
      <c r="B1261" s="3" t="s">
        <v>1591</v>
      </c>
      <c r="C1261" s="3" t="s">
        <v>1721</v>
      </c>
      <c r="D1261" s="3" t="s">
        <v>2921</v>
      </c>
    </row>
    <row r="1262" customHeight="1" spans="1:4">
      <c r="A1262" s="3">
        <v>1261</v>
      </c>
      <c r="B1262" s="3" t="s">
        <v>1592</v>
      </c>
      <c r="C1262" s="3" t="s">
        <v>1721</v>
      </c>
      <c r="D1262" s="3" t="s">
        <v>2908</v>
      </c>
    </row>
    <row r="1263" customHeight="1" spans="1:4">
      <c r="A1263" s="3">
        <v>1262</v>
      </c>
      <c r="B1263" s="3" t="s">
        <v>1593</v>
      </c>
      <c r="C1263" s="3" t="s">
        <v>2716</v>
      </c>
      <c r="D1263" s="3" t="s">
        <v>2889</v>
      </c>
    </row>
    <row r="1264" customHeight="1" spans="1:4">
      <c r="A1264" s="3">
        <v>1263</v>
      </c>
      <c r="B1264" s="3" t="s">
        <v>1594</v>
      </c>
      <c r="C1264" s="3" t="s">
        <v>2717</v>
      </c>
      <c r="D1264" s="3" t="s">
        <v>2889</v>
      </c>
    </row>
    <row r="1265" customHeight="1" spans="1:4">
      <c r="A1265" s="3">
        <v>1264</v>
      </c>
      <c r="B1265" s="3" t="s">
        <v>1595</v>
      </c>
      <c r="C1265" s="3" t="s">
        <v>2717</v>
      </c>
      <c r="D1265" s="3" t="s">
        <v>2908</v>
      </c>
    </row>
    <row r="1266" customHeight="1" spans="1:4">
      <c r="A1266" s="3">
        <v>1265</v>
      </c>
      <c r="B1266" s="3" t="s">
        <v>1596</v>
      </c>
      <c r="C1266" s="3" t="s">
        <v>2716</v>
      </c>
      <c r="D1266" s="3" t="s">
        <v>2908</v>
      </c>
    </row>
    <row r="1267" customHeight="1" spans="1:4">
      <c r="A1267" s="3">
        <v>1266</v>
      </c>
      <c r="B1267" s="3" t="s">
        <v>1597</v>
      </c>
      <c r="C1267" s="3" t="s">
        <v>2716</v>
      </c>
      <c r="D1267" s="3" t="s">
        <v>2908</v>
      </c>
    </row>
    <row r="1268" customHeight="1" spans="1:4">
      <c r="A1268" s="3">
        <v>1267</v>
      </c>
      <c r="B1268" s="3" t="s">
        <v>1598</v>
      </c>
      <c r="C1268" s="3" t="s">
        <v>2716</v>
      </c>
      <c r="D1268" s="3" t="s">
        <v>2908</v>
      </c>
    </row>
    <row r="1269" customHeight="1" spans="1:4">
      <c r="A1269" s="3">
        <v>1268</v>
      </c>
      <c r="B1269" s="3" t="s">
        <v>1599</v>
      </c>
      <c r="C1269" s="3" t="s">
        <v>2717</v>
      </c>
      <c r="D1269" s="3" t="s">
        <v>2889</v>
      </c>
    </row>
    <row r="1270" customHeight="1" spans="1:4">
      <c r="A1270" s="3">
        <v>1269</v>
      </c>
      <c r="B1270" s="3" t="s">
        <v>1600</v>
      </c>
      <c r="C1270" s="3" t="s">
        <v>2717</v>
      </c>
      <c r="D1270" s="3" t="s">
        <v>2889</v>
      </c>
    </row>
    <row r="1271" customHeight="1" spans="1:4">
      <c r="A1271" s="3">
        <v>1270</v>
      </c>
      <c r="B1271" s="3" t="s">
        <v>1601</v>
      </c>
      <c r="C1271" s="3" t="s">
        <v>2717</v>
      </c>
      <c r="D1271" s="3" t="s">
        <v>2921</v>
      </c>
    </row>
    <row r="1272" customHeight="1" spans="1:4">
      <c r="A1272" s="3">
        <v>1271</v>
      </c>
      <c r="B1272" s="3" t="s">
        <v>1602</v>
      </c>
      <c r="C1272" s="3" t="s">
        <v>2717</v>
      </c>
      <c r="D1272" s="3" t="s">
        <v>2889</v>
      </c>
    </row>
    <row r="1273" customHeight="1" spans="1:4">
      <c r="A1273" s="3">
        <v>1272</v>
      </c>
      <c r="B1273" s="3" t="s">
        <v>1603</v>
      </c>
      <c r="C1273" s="3" t="s">
        <v>2716</v>
      </c>
      <c r="D1273" s="3" t="s">
        <v>2889</v>
      </c>
    </row>
    <row r="1274" customHeight="1" spans="1:4">
      <c r="A1274" s="3">
        <v>1273</v>
      </c>
      <c r="B1274" s="3" t="s">
        <v>1604</v>
      </c>
      <c r="C1274" s="3" t="s">
        <v>2716</v>
      </c>
      <c r="D1274" s="3" t="s">
        <v>2889</v>
      </c>
    </row>
    <row r="1275" customHeight="1" spans="1:4">
      <c r="A1275" s="3">
        <v>1274</v>
      </c>
      <c r="B1275" s="3" t="s">
        <v>1605</v>
      </c>
      <c r="C1275" s="3" t="s">
        <v>2716</v>
      </c>
      <c r="D1275" s="3" t="s">
        <v>2908</v>
      </c>
    </row>
    <row r="1276" customHeight="1" spans="1:4">
      <c r="A1276" s="3">
        <v>1275</v>
      </c>
      <c r="B1276" s="3" t="s">
        <v>1606</v>
      </c>
      <c r="C1276" s="3" t="s">
        <v>2716</v>
      </c>
      <c r="D1276" s="3" t="s">
        <v>2921</v>
      </c>
    </row>
    <row r="1277" customHeight="1" spans="1:4">
      <c r="A1277" s="3">
        <v>1276</v>
      </c>
      <c r="B1277" s="3" t="s">
        <v>1607</v>
      </c>
      <c r="C1277" s="3" t="s">
        <v>2716</v>
      </c>
      <c r="D1277" s="3" t="s">
        <v>2908</v>
      </c>
    </row>
    <row r="1278" customHeight="1" spans="1:4">
      <c r="A1278" s="3">
        <v>1277</v>
      </c>
      <c r="B1278" s="3" t="s">
        <v>1608</v>
      </c>
      <c r="C1278" s="3" t="s">
        <v>1721</v>
      </c>
      <c r="D1278" s="3" t="s">
        <v>2908</v>
      </c>
    </row>
    <row r="1279" customHeight="1" spans="1:4">
      <c r="A1279" s="3">
        <v>1278</v>
      </c>
      <c r="B1279" s="3" t="s">
        <v>1609</v>
      </c>
      <c r="C1279" s="3" t="s">
        <v>2716</v>
      </c>
      <c r="D1279" s="3" t="s">
        <v>2908</v>
      </c>
    </row>
    <row r="1280" customHeight="1" spans="1:4">
      <c r="A1280" s="3">
        <v>1279</v>
      </c>
      <c r="B1280" s="3" t="s">
        <v>1610</v>
      </c>
      <c r="C1280" s="3" t="s">
        <v>2717</v>
      </c>
      <c r="D1280" s="3" t="s">
        <v>2908</v>
      </c>
    </row>
    <row r="1281" customHeight="1" spans="1:4">
      <c r="A1281" s="3">
        <v>1280</v>
      </c>
      <c r="B1281" s="3" t="s">
        <v>1611</v>
      </c>
      <c r="C1281" s="3" t="s">
        <v>2716</v>
      </c>
      <c r="D1281" s="3" t="s">
        <v>2908</v>
      </c>
    </row>
    <row r="1282" customHeight="1" spans="1:4">
      <c r="A1282" s="3">
        <v>1281</v>
      </c>
      <c r="B1282" s="3" t="s">
        <v>1612</v>
      </c>
      <c r="C1282" s="3" t="s">
        <v>1721</v>
      </c>
      <c r="D1282" s="3" t="s">
        <v>2908</v>
      </c>
    </row>
    <row r="1283" customHeight="1" spans="1:4">
      <c r="A1283" s="3">
        <v>1282</v>
      </c>
      <c r="B1283" s="3" t="s">
        <v>1613</v>
      </c>
      <c r="C1283" s="3" t="s">
        <v>2716</v>
      </c>
      <c r="D1283" s="3" t="s">
        <v>2896</v>
      </c>
    </row>
    <row r="1284" customHeight="1" spans="1:4">
      <c r="A1284" s="3">
        <v>1283</v>
      </c>
      <c r="B1284" s="3" t="s">
        <v>1614</v>
      </c>
      <c r="C1284" s="3" t="s">
        <v>1721</v>
      </c>
      <c r="D1284" s="3" t="s">
        <v>2889</v>
      </c>
    </row>
    <row r="1285" customHeight="1" spans="1:4">
      <c r="A1285" s="3">
        <v>1284</v>
      </c>
      <c r="B1285" s="3" t="s">
        <v>1615</v>
      </c>
      <c r="C1285" s="3" t="s">
        <v>1721</v>
      </c>
      <c r="D1285" s="3" t="s">
        <v>2889</v>
      </c>
    </row>
    <row r="1286" customHeight="1" spans="1:4">
      <c r="A1286" s="3">
        <v>1285</v>
      </c>
      <c r="B1286" s="3" t="s">
        <v>1616</v>
      </c>
      <c r="C1286" s="3" t="s">
        <v>2717</v>
      </c>
      <c r="D1286" s="3" t="s">
        <v>2896</v>
      </c>
    </row>
    <row r="1287" customHeight="1" spans="1:4">
      <c r="A1287" s="3">
        <v>1286</v>
      </c>
      <c r="B1287" s="3" t="s">
        <v>1617</v>
      </c>
      <c r="C1287" s="3" t="s">
        <v>2716</v>
      </c>
      <c r="D1287" s="3" t="s">
        <v>2889</v>
      </c>
    </row>
    <row r="1288" customHeight="1" spans="1:4">
      <c r="A1288" s="3">
        <v>1287</v>
      </c>
      <c r="B1288" s="3" t="s">
        <v>1618</v>
      </c>
      <c r="C1288" s="3" t="s">
        <v>2716</v>
      </c>
      <c r="D1288" s="3" t="s">
        <v>2889</v>
      </c>
    </row>
    <row r="1289" customHeight="1" spans="1:4">
      <c r="A1289" s="3">
        <v>1288</v>
      </c>
      <c r="B1289" s="3" t="s">
        <v>1619</v>
      </c>
      <c r="C1289" s="3" t="s">
        <v>2716</v>
      </c>
      <c r="D1289" s="3" t="s">
        <v>2893</v>
      </c>
    </row>
    <row r="1290" customHeight="1" spans="1:4">
      <c r="A1290" s="3">
        <v>1289</v>
      </c>
      <c r="B1290" s="3" t="s">
        <v>1620</v>
      </c>
      <c r="C1290" s="3" t="s">
        <v>1721</v>
      </c>
      <c r="D1290" s="3" t="s">
        <v>2969</v>
      </c>
    </row>
    <row r="1291" customHeight="1" spans="1:4">
      <c r="A1291" s="3">
        <v>1290</v>
      </c>
      <c r="B1291" s="3" t="s">
        <v>1621</v>
      </c>
      <c r="C1291" s="3" t="s">
        <v>2716</v>
      </c>
      <c r="D1291" s="3" t="s">
        <v>2921</v>
      </c>
    </row>
    <row r="1292" customHeight="1" spans="1:4">
      <c r="A1292" s="3">
        <v>1291</v>
      </c>
      <c r="B1292" s="3" t="s">
        <v>1622</v>
      </c>
      <c r="C1292" s="3" t="s">
        <v>2716</v>
      </c>
      <c r="D1292" s="3" t="s">
        <v>2921</v>
      </c>
    </row>
    <row r="1293" customHeight="1" spans="1:4">
      <c r="A1293" s="3">
        <v>1292</v>
      </c>
      <c r="B1293" s="3" t="s">
        <v>1623</v>
      </c>
      <c r="C1293" s="3" t="s">
        <v>2716</v>
      </c>
      <c r="D1293" s="3" t="s">
        <v>2908</v>
      </c>
    </row>
    <row r="1294" customHeight="1" spans="1:4">
      <c r="A1294" s="3">
        <v>1293</v>
      </c>
      <c r="B1294" s="3" t="s">
        <v>1624</v>
      </c>
      <c r="C1294" s="3" t="s">
        <v>2716</v>
      </c>
      <c r="D1294" s="3" t="s">
        <v>2921</v>
      </c>
    </row>
    <row r="1295" customHeight="1" spans="1:4">
      <c r="A1295" s="3">
        <v>1294</v>
      </c>
      <c r="B1295" s="3" t="s">
        <v>1625</v>
      </c>
      <c r="C1295" s="3" t="s">
        <v>2716</v>
      </c>
      <c r="D1295" s="3" t="s">
        <v>2908</v>
      </c>
    </row>
    <row r="1296" customHeight="1" spans="1:4">
      <c r="A1296" s="3">
        <v>1295</v>
      </c>
      <c r="B1296" s="3" t="s">
        <v>1626</v>
      </c>
      <c r="C1296" s="3" t="s">
        <v>2716</v>
      </c>
      <c r="D1296" s="3" t="s">
        <v>2908</v>
      </c>
    </row>
    <row r="1297" customHeight="1" spans="1:4">
      <c r="A1297" s="3">
        <v>1296</v>
      </c>
      <c r="B1297" s="3" t="s">
        <v>1627</v>
      </c>
      <c r="C1297" s="3" t="s">
        <v>2716</v>
      </c>
      <c r="D1297" s="3" t="s">
        <v>2908</v>
      </c>
    </row>
    <row r="1298" customHeight="1" spans="1:4">
      <c r="A1298" s="3">
        <v>1297</v>
      </c>
      <c r="B1298" s="3" t="s">
        <v>1628</v>
      </c>
      <c r="C1298" s="3" t="s">
        <v>2716</v>
      </c>
      <c r="D1298" s="3" t="s">
        <v>2908</v>
      </c>
    </row>
    <row r="1299" customHeight="1" spans="1:4">
      <c r="A1299" s="3">
        <v>1298</v>
      </c>
      <c r="B1299" s="3" t="s">
        <v>1629</v>
      </c>
      <c r="C1299" s="3" t="s">
        <v>2716</v>
      </c>
      <c r="D1299" s="3" t="s">
        <v>2908</v>
      </c>
    </row>
    <row r="1300" customHeight="1" spans="1:4">
      <c r="A1300" s="3">
        <v>1299</v>
      </c>
      <c r="B1300" s="3" t="s">
        <v>1630</v>
      </c>
      <c r="C1300" s="3" t="s">
        <v>2717</v>
      </c>
      <c r="D1300" s="3" t="s">
        <v>2908</v>
      </c>
    </row>
    <row r="1301" customHeight="1" spans="1:4">
      <c r="A1301" s="3">
        <v>1300</v>
      </c>
      <c r="B1301" s="3" t="s">
        <v>1631</v>
      </c>
      <c r="C1301" s="3" t="s">
        <v>2717</v>
      </c>
      <c r="D1301" s="3" t="s">
        <v>2896</v>
      </c>
    </row>
    <row r="1302" customHeight="1" spans="1:4">
      <c r="A1302" s="3">
        <v>1301</v>
      </c>
      <c r="B1302" s="3" t="s">
        <v>1632</v>
      </c>
      <c r="C1302" s="3" t="s">
        <v>2717</v>
      </c>
      <c r="D1302" s="3" t="s">
        <v>2889</v>
      </c>
    </row>
    <row r="1303" customHeight="1" spans="1:4">
      <c r="A1303" s="3">
        <v>1302</v>
      </c>
      <c r="B1303" s="3" t="s">
        <v>1633</v>
      </c>
      <c r="C1303" s="3" t="s">
        <v>1721</v>
      </c>
      <c r="D1303" s="3" t="s">
        <v>2889</v>
      </c>
    </row>
    <row r="1304" customHeight="1" spans="1:4">
      <c r="A1304" s="3">
        <v>1303</v>
      </c>
      <c r="B1304" s="3" t="s">
        <v>1634</v>
      </c>
      <c r="C1304" s="3" t="s">
        <v>2716</v>
      </c>
      <c r="D1304" s="3" t="s">
        <v>2889</v>
      </c>
    </row>
    <row r="1305" customHeight="1" spans="1:4">
      <c r="A1305" s="3">
        <v>1304</v>
      </c>
      <c r="B1305" s="3" t="s">
        <v>1635</v>
      </c>
      <c r="C1305" s="3" t="s">
        <v>2716</v>
      </c>
      <c r="D1305" s="3" t="s">
        <v>2893</v>
      </c>
    </row>
    <row r="1306" customHeight="1" spans="1:4">
      <c r="A1306" s="3">
        <v>1305</v>
      </c>
      <c r="B1306" s="3" t="s">
        <v>1636</v>
      </c>
      <c r="C1306" s="3" t="s">
        <v>2716</v>
      </c>
      <c r="D1306" s="3" t="s">
        <v>2889</v>
      </c>
    </row>
    <row r="1307" customHeight="1" spans="1:4">
      <c r="A1307" s="3">
        <v>1306</v>
      </c>
      <c r="B1307" s="3" t="s">
        <v>1637</v>
      </c>
      <c r="C1307" s="3" t="s">
        <v>2716</v>
      </c>
      <c r="D1307" s="3" t="s">
        <v>2889</v>
      </c>
    </row>
    <row r="1308" customHeight="1" spans="1:4">
      <c r="A1308" s="3">
        <v>1307</v>
      </c>
      <c r="B1308" s="3" t="s">
        <v>1638</v>
      </c>
      <c r="C1308" s="3" t="s">
        <v>2717</v>
      </c>
      <c r="D1308" s="3" t="s">
        <v>2908</v>
      </c>
    </row>
    <row r="1309" customHeight="1" spans="1:4">
      <c r="A1309" s="3">
        <v>1308</v>
      </c>
      <c r="B1309" s="3" t="s">
        <v>1639</v>
      </c>
      <c r="C1309" s="3" t="s">
        <v>2717</v>
      </c>
      <c r="D1309" s="3" t="s">
        <v>2889</v>
      </c>
    </row>
    <row r="1310" customHeight="1" spans="1:4">
      <c r="A1310" s="3">
        <v>1309</v>
      </c>
      <c r="B1310" s="3" t="s">
        <v>1640</v>
      </c>
      <c r="C1310" s="3" t="s">
        <v>2717</v>
      </c>
      <c r="D1310" s="3" t="s">
        <v>2908</v>
      </c>
    </row>
    <row r="1311" customHeight="1" spans="1:4">
      <c r="A1311" s="3">
        <v>1310</v>
      </c>
      <c r="B1311" s="3" t="s">
        <v>1641</v>
      </c>
      <c r="C1311" s="3" t="s">
        <v>2716</v>
      </c>
      <c r="D1311" s="3" t="s">
        <v>2889</v>
      </c>
    </row>
    <row r="1312" customHeight="1" spans="1:4">
      <c r="A1312" s="3">
        <v>1311</v>
      </c>
      <c r="B1312" s="3" t="s">
        <v>1642</v>
      </c>
      <c r="C1312" s="3" t="s">
        <v>2716</v>
      </c>
      <c r="D1312" s="3" t="s">
        <v>2893</v>
      </c>
    </row>
    <row r="1313" customHeight="1" spans="1:4">
      <c r="A1313" s="3">
        <v>1312</v>
      </c>
      <c r="B1313" s="3" t="s">
        <v>1643</v>
      </c>
      <c r="C1313" s="3" t="s">
        <v>2716</v>
      </c>
      <c r="D1313" s="3" t="s">
        <v>2889</v>
      </c>
    </row>
    <row r="1314" customHeight="1" spans="1:4">
      <c r="A1314" s="3">
        <v>1313</v>
      </c>
      <c r="B1314" s="3" t="s">
        <v>1644</v>
      </c>
      <c r="C1314" s="3" t="s">
        <v>1721</v>
      </c>
      <c r="D1314" s="3" t="s">
        <v>2889</v>
      </c>
    </row>
    <row r="1315" customHeight="1" spans="1:4">
      <c r="A1315" s="3">
        <v>1314</v>
      </c>
      <c r="B1315" s="3" t="s">
        <v>1645</v>
      </c>
      <c r="C1315" s="3" t="s">
        <v>2716</v>
      </c>
      <c r="D1315" s="3" t="s">
        <v>2921</v>
      </c>
    </row>
    <row r="1316" customHeight="1" spans="1:4">
      <c r="A1316" s="3">
        <v>1315</v>
      </c>
      <c r="B1316" s="3" t="s">
        <v>1646</v>
      </c>
      <c r="C1316" s="3" t="s">
        <v>1721</v>
      </c>
      <c r="D1316" s="3" t="s">
        <v>2889</v>
      </c>
    </row>
    <row r="1317" customHeight="1" spans="1:4">
      <c r="A1317" s="3">
        <v>1316</v>
      </c>
      <c r="B1317" s="3" t="s">
        <v>1647</v>
      </c>
      <c r="C1317" s="3" t="s">
        <v>2716</v>
      </c>
      <c r="D1317" s="3" t="s">
        <v>2889</v>
      </c>
    </row>
    <row r="1318" customHeight="1" spans="1:4">
      <c r="A1318" s="3">
        <v>1317</v>
      </c>
      <c r="B1318" s="3" t="s">
        <v>1648</v>
      </c>
      <c r="C1318" s="3" t="s">
        <v>2716</v>
      </c>
      <c r="D1318" s="3" t="s">
        <v>2908</v>
      </c>
    </row>
    <row r="1319" customHeight="1" spans="1:4">
      <c r="A1319" s="3">
        <v>1318</v>
      </c>
      <c r="B1319" s="3" t="s">
        <v>1649</v>
      </c>
      <c r="C1319" s="3" t="s">
        <v>2716</v>
      </c>
      <c r="D1319" s="3" t="s">
        <v>2921</v>
      </c>
    </row>
    <row r="1320" customHeight="1" spans="1:4">
      <c r="A1320" s="3">
        <v>1319</v>
      </c>
      <c r="B1320" s="3" t="s">
        <v>1650</v>
      </c>
      <c r="C1320" s="3" t="s">
        <v>2716</v>
      </c>
      <c r="D1320" s="3" t="s">
        <v>2969</v>
      </c>
    </row>
    <row r="1321" customHeight="1" spans="1:4">
      <c r="A1321" s="3">
        <v>1320</v>
      </c>
      <c r="B1321" s="3" t="s">
        <v>1651</v>
      </c>
      <c r="C1321" s="3" t="s">
        <v>2717</v>
      </c>
      <c r="D1321" s="3" t="s">
        <v>2908</v>
      </c>
    </row>
    <row r="1322" customHeight="1" spans="1:4">
      <c r="A1322" s="3">
        <v>1321</v>
      </c>
      <c r="B1322" s="3" t="s">
        <v>1652</v>
      </c>
      <c r="C1322" s="3" t="s">
        <v>1721</v>
      </c>
      <c r="D1322" s="3" t="s">
        <v>2908</v>
      </c>
    </row>
    <row r="1323" customHeight="1" spans="1:4">
      <c r="A1323" s="3">
        <v>1322</v>
      </c>
      <c r="B1323" s="3" t="s">
        <v>1653</v>
      </c>
      <c r="C1323" s="3" t="s">
        <v>1721</v>
      </c>
      <c r="D1323" s="3" t="s">
        <v>2908</v>
      </c>
    </row>
    <row r="1324" customHeight="1" spans="1:4">
      <c r="A1324" s="3">
        <v>1323</v>
      </c>
      <c r="B1324" s="3" t="s">
        <v>1654</v>
      </c>
      <c r="C1324" s="3" t="s">
        <v>1721</v>
      </c>
      <c r="D1324" s="3" t="s">
        <v>2908</v>
      </c>
    </row>
    <row r="1325" customHeight="1" spans="1:4">
      <c r="A1325" s="3">
        <v>1324</v>
      </c>
      <c r="B1325" s="3" t="s">
        <v>1655</v>
      </c>
      <c r="C1325" s="3" t="s">
        <v>2716</v>
      </c>
      <c r="D1325" s="3" t="s">
        <v>2908</v>
      </c>
    </row>
    <row r="1326" customHeight="1" spans="1:4">
      <c r="A1326" s="3">
        <v>1325</v>
      </c>
      <c r="B1326" s="3" t="s">
        <v>1656</v>
      </c>
      <c r="C1326" s="3" t="s">
        <v>2717</v>
      </c>
      <c r="D1326" s="3" t="s">
        <v>2908</v>
      </c>
    </row>
    <row r="1327" customHeight="1" spans="1:4">
      <c r="A1327" s="3">
        <v>1326</v>
      </c>
      <c r="B1327" s="3" t="s">
        <v>1657</v>
      </c>
      <c r="C1327" s="3" t="s">
        <v>2716</v>
      </c>
      <c r="D1327" s="3" t="s">
        <v>2908</v>
      </c>
    </row>
    <row r="1328" customHeight="1" spans="1:4">
      <c r="A1328" s="3">
        <v>1327</v>
      </c>
      <c r="B1328" s="3" t="s">
        <v>1658</v>
      </c>
      <c r="C1328" s="3" t="s">
        <v>2716</v>
      </c>
      <c r="D1328" s="3" t="s">
        <v>2921</v>
      </c>
    </row>
    <row r="1329" customHeight="1" spans="1:4">
      <c r="A1329" s="3">
        <v>1328</v>
      </c>
      <c r="B1329" s="3" t="s">
        <v>1659</v>
      </c>
      <c r="C1329" s="3" t="s">
        <v>2717</v>
      </c>
      <c r="D1329" s="3" t="s">
        <v>2889</v>
      </c>
    </row>
    <row r="1330" customHeight="1" spans="1:4">
      <c r="A1330" s="3">
        <v>1329</v>
      </c>
      <c r="B1330" s="3" t="s">
        <v>1660</v>
      </c>
      <c r="C1330" s="3" t="s">
        <v>2716</v>
      </c>
      <c r="D1330" s="3" t="s">
        <v>2921</v>
      </c>
    </row>
    <row r="1331" customHeight="1" spans="1:4">
      <c r="A1331" s="3">
        <v>1330</v>
      </c>
      <c r="B1331" s="3" t="s">
        <v>1661</v>
      </c>
      <c r="C1331" s="3" t="s">
        <v>1721</v>
      </c>
      <c r="D1331" s="3" t="s">
        <v>2908</v>
      </c>
    </row>
    <row r="1332" customHeight="1" spans="1:4">
      <c r="A1332" s="3">
        <v>1331</v>
      </c>
      <c r="B1332" s="3" t="s">
        <v>1662</v>
      </c>
      <c r="C1332" s="3" t="s">
        <v>1721</v>
      </c>
      <c r="D1332" s="3" t="s">
        <v>2893</v>
      </c>
    </row>
    <row r="1333" customHeight="1" spans="1:4">
      <c r="A1333" s="3">
        <v>1332</v>
      </c>
      <c r="B1333" s="3" t="s">
        <v>1663</v>
      </c>
      <c r="C1333" s="3" t="s">
        <v>2716</v>
      </c>
      <c r="D1333" s="3" t="s">
        <v>2889</v>
      </c>
    </row>
    <row r="1334" customHeight="1" spans="1:4">
      <c r="A1334" s="3">
        <v>1333</v>
      </c>
      <c r="B1334" s="3" t="s">
        <v>1664</v>
      </c>
      <c r="C1334" s="3" t="s">
        <v>2717</v>
      </c>
      <c r="D1334" s="3" t="s">
        <v>2893</v>
      </c>
    </row>
    <row r="1335" customHeight="1" spans="1:4">
      <c r="A1335" s="3">
        <v>1334</v>
      </c>
      <c r="B1335" s="3" t="s">
        <v>1665</v>
      </c>
      <c r="C1335" s="3" t="s">
        <v>2716</v>
      </c>
      <c r="D1335" s="3" t="s">
        <v>2908</v>
      </c>
    </row>
    <row r="1336" customHeight="1" spans="1:4">
      <c r="A1336" s="3">
        <v>1335</v>
      </c>
      <c r="B1336" s="3" t="s">
        <v>1666</v>
      </c>
      <c r="C1336" s="3" t="s">
        <v>2716</v>
      </c>
      <c r="D1336" s="3" t="s">
        <v>2889</v>
      </c>
    </row>
    <row r="1337" customHeight="1" spans="1:4">
      <c r="A1337" s="3">
        <v>1336</v>
      </c>
      <c r="B1337" s="3" t="s">
        <v>1667</v>
      </c>
      <c r="C1337" s="3" t="s">
        <v>1721</v>
      </c>
      <c r="D1337" s="3" t="s">
        <v>2908</v>
      </c>
    </row>
    <row r="1338" customHeight="1" spans="1:4">
      <c r="A1338" s="3">
        <v>1337</v>
      </c>
      <c r="B1338" s="3" t="s">
        <v>1668</v>
      </c>
      <c r="C1338" s="3" t="s">
        <v>2716</v>
      </c>
      <c r="D1338" s="3" t="s">
        <v>2896</v>
      </c>
    </row>
    <row r="1339" customHeight="1" spans="1:4">
      <c r="A1339" s="3">
        <v>1338</v>
      </c>
      <c r="B1339" s="3" t="s">
        <v>1669</v>
      </c>
      <c r="C1339" s="3" t="s">
        <v>1721</v>
      </c>
      <c r="D1339" s="3" t="s">
        <v>2889</v>
      </c>
    </row>
    <row r="1340" customHeight="1" spans="1:4">
      <c r="A1340" s="3">
        <v>1339</v>
      </c>
      <c r="B1340" s="3" t="s">
        <v>1670</v>
      </c>
      <c r="C1340" s="3" t="s">
        <v>1721</v>
      </c>
      <c r="D1340" s="3" t="s">
        <v>2889</v>
      </c>
    </row>
    <row r="1341" customHeight="1" spans="1:4">
      <c r="A1341" s="3">
        <v>1340</v>
      </c>
      <c r="B1341" s="3" t="s">
        <v>1671</v>
      </c>
      <c r="C1341" s="3" t="s">
        <v>2716</v>
      </c>
      <c r="D1341" s="3" t="s">
        <v>2889</v>
      </c>
    </row>
    <row r="1342" customHeight="1" spans="1:4">
      <c r="A1342" s="3">
        <v>1341</v>
      </c>
      <c r="B1342" s="3" t="s">
        <v>1672</v>
      </c>
      <c r="C1342" s="3" t="s">
        <v>1721</v>
      </c>
      <c r="D1342" s="3" t="s">
        <v>2889</v>
      </c>
    </row>
    <row r="1343" customHeight="1" spans="1:4">
      <c r="A1343" s="3">
        <v>1342</v>
      </c>
      <c r="B1343" s="3" t="s">
        <v>1673</v>
      </c>
      <c r="C1343" s="3" t="s">
        <v>1721</v>
      </c>
      <c r="D1343" s="3" t="s">
        <v>2889</v>
      </c>
    </row>
    <row r="1344" customHeight="1" spans="1:4">
      <c r="A1344" s="3">
        <v>1343</v>
      </c>
      <c r="B1344" s="3" t="s">
        <v>1674</v>
      </c>
      <c r="C1344" s="3" t="s">
        <v>1721</v>
      </c>
      <c r="D1344" s="3" t="s">
        <v>2889</v>
      </c>
    </row>
    <row r="1345" customHeight="1" spans="1:4">
      <c r="A1345" s="3">
        <v>1344</v>
      </c>
      <c r="B1345" s="3" t="s">
        <v>1675</v>
      </c>
      <c r="C1345" s="3" t="s">
        <v>1721</v>
      </c>
      <c r="D1345" s="3" t="s">
        <v>2889</v>
      </c>
    </row>
    <row r="1346" customHeight="1" spans="1:4">
      <c r="A1346" s="3">
        <v>1345</v>
      </c>
      <c r="B1346" s="3" t="s">
        <v>1676</v>
      </c>
      <c r="C1346" s="3" t="s">
        <v>2717</v>
      </c>
      <c r="D1346" s="3" t="s">
        <v>2896</v>
      </c>
    </row>
    <row r="1347" customHeight="1" spans="1:4">
      <c r="A1347" s="3">
        <v>1346</v>
      </c>
      <c r="B1347" s="3" t="s">
        <v>1677</v>
      </c>
      <c r="C1347" s="3" t="s">
        <v>2716</v>
      </c>
      <c r="D1347" s="3" t="s">
        <v>2889</v>
      </c>
    </row>
    <row r="1348" customHeight="1" spans="1:4">
      <c r="A1348" s="3">
        <v>1347</v>
      </c>
      <c r="B1348" s="3" t="s">
        <v>1678</v>
      </c>
      <c r="C1348" s="3" t="s">
        <v>2716</v>
      </c>
      <c r="D1348" s="3" t="s">
        <v>2889</v>
      </c>
    </row>
    <row r="1349" customHeight="1" spans="1:4">
      <c r="A1349" s="3">
        <v>1348</v>
      </c>
      <c r="B1349" s="3" t="s">
        <v>1679</v>
      </c>
      <c r="C1349" s="3" t="s">
        <v>2716</v>
      </c>
      <c r="D1349" s="3" t="s">
        <v>2921</v>
      </c>
    </row>
    <row r="1350" customHeight="1" spans="1:4">
      <c r="A1350" s="3">
        <v>1349</v>
      </c>
      <c r="B1350" s="3" t="s">
        <v>1680</v>
      </c>
      <c r="C1350" s="3" t="s">
        <v>2716</v>
      </c>
      <c r="D1350" s="3" t="s">
        <v>2889</v>
      </c>
    </row>
    <row r="1351" customHeight="1" spans="1:4">
      <c r="A1351" s="3">
        <v>1350</v>
      </c>
      <c r="B1351" s="3" t="s">
        <v>1681</v>
      </c>
      <c r="C1351" s="3" t="s">
        <v>2716</v>
      </c>
      <c r="D1351" s="3" t="s">
        <v>2889</v>
      </c>
    </row>
    <row r="1352" customHeight="1" spans="1:4">
      <c r="A1352" s="3">
        <v>1351</v>
      </c>
      <c r="B1352" s="3" t="s">
        <v>1682</v>
      </c>
      <c r="C1352" s="3" t="s">
        <v>2716</v>
      </c>
      <c r="D1352" s="3" t="s">
        <v>2889</v>
      </c>
    </row>
    <row r="1353" customHeight="1" spans="1:4">
      <c r="A1353" s="3">
        <v>1352</v>
      </c>
      <c r="B1353" s="3" t="s">
        <v>1683</v>
      </c>
      <c r="C1353" s="3" t="s">
        <v>1721</v>
      </c>
      <c r="D1353" s="3" t="s">
        <v>2889</v>
      </c>
    </row>
    <row r="1354" customHeight="1" spans="1:4">
      <c r="A1354" s="3">
        <v>1353</v>
      </c>
      <c r="B1354" s="3" t="s">
        <v>1684</v>
      </c>
      <c r="C1354" s="3" t="s">
        <v>1721</v>
      </c>
      <c r="D1354" s="3" t="s">
        <v>2889</v>
      </c>
    </row>
    <row r="1355" customHeight="1" spans="1:4">
      <c r="A1355" s="3">
        <v>1354</v>
      </c>
      <c r="B1355" s="3" t="s">
        <v>1685</v>
      </c>
      <c r="C1355" s="3" t="s">
        <v>2717</v>
      </c>
      <c r="D1355" s="3" t="s">
        <v>2889</v>
      </c>
    </row>
    <row r="1356" customHeight="1" spans="1:4">
      <c r="A1356" s="3">
        <v>1355</v>
      </c>
      <c r="B1356" s="3" t="s">
        <v>1686</v>
      </c>
      <c r="C1356" s="3" t="s">
        <v>1721</v>
      </c>
      <c r="D1356" s="3" t="s">
        <v>2889</v>
      </c>
    </row>
    <row r="1357" customHeight="1" spans="1:4">
      <c r="A1357" s="3">
        <v>1356</v>
      </c>
      <c r="B1357" s="3" t="s">
        <v>1687</v>
      </c>
      <c r="C1357" s="3" t="s">
        <v>1721</v>
      </c>
      <c r="D1357" s="3" t="s">
        <v>2889</v>
      </c>
    </row>
    <row r="1358" customHeight="1" spans="1:4">
      <c r="A1358" s="3">
        <v>1357</v>
      </c>
      <c r="B1358" s="3" t="s">
        <v>1688</v>
      </c>
      <c r="C1358" s="3" t="s">
        <v>2716</v>
      </c>
      <c r="D1358" s="3" t="s">
        <v>2889</v>
      </c>
    </row>
    <row r="1359" customHeight="1" spans="1:4">
      <c r="A1359" s="3">
        <v>1358</v>
      </c>
      <c r="B1359" s="3" t="s">
        <v>1689</v>
      </c>
      <c r="C1359" s="3" t="s">
        <v>2716</v>
      </c>
      <c r="D1359" s="3" t="s">
        <v>2889</v>
      </c>
    </row>
    <row r="1360" customHeight="1" spans="1:4">
      <c r="A1360" s="3">
        <v>1359</v>
      </c>
      <c r="B1360" s="3" t="s">
        <v>1690</v>
      </c>
      <c r="C1360" s="3" t="s">
        <v>2716</v>
      </c>
      <c r="D1360" s="3" t="s">
        <v>2921</v>
      </c>
    </row>
    <row r="1361" customHeight="1" spans="1:4">
      <c r="A1361" s="3">
        <v>1360</v>
      </c>
      <c r="B1361" s="3" t="s">
        <v>1691</v>
      </c>
      <c r="C1361" s="3" t="s">
        <v>1721</v>
      </c>
      <c r="D1361" s="3" t="s">
        <v>2896</v>
      </c>
    </row>
    <row r="1362" customHeight="1" spans="1:4">
      <c r="A1362" s="3">
        <v>1361</v>
      </c>
      <c r="B1362" s="3" t="s">
        <v>1692</v>
      </c>
      <c r="C1362" s="3" t="s">
        <v>1721</v>
      </c>
      <c r="D1362" s="3" t="s">
        <v>2896</v>
      </c>
    </row>
    <row r="1363" customHeight="1" spans="1:4">
      <c r="A1363" s="3">
        <v>1362</v>
      </c>
      <c r="B1363" s="3" t="s">
        <v>1693</v>
      </c>
      <c r="C1363" s="3" t="s">
        <v>2716</v>
      </c>
      <c r="D1363" s="3" t="s">
        <v>2889</v>
      </c>
    </row>
    <row r="1364" customHeight="1" spans="1:4">
      <c r="A1364" s="3">
        <v>1363</v>
      </c>
      <c r="B1364" s="3" t="s">
        <v>1694</v>
      </c>
      <c r="C1364" s="3" t="s">
        <v>1721</v>
      </c>
      <c r="D1364" s="3" t="s">
        <v>2889</v>
      </c>
    </row>
    <row r="1365" customHeight="1" spans="1:4">
      <c r="A1365" s="3">
        <v>1364</v>
      </c>
      <c r="B1365" s="3" t="s">
        <v>1695</v>
      </c>
      <c r="C1365" s="3" t="s">
        <v>2716</v>
      </c>
      <c r="D1365" s="3" t="s">
        <v>2889</v>
      </c>
    </row>
    <row r="1366" customHeight="1" spans="1:4">
      <c r="A1366" s="3">
        <v>1365</v>
      </c>
      <c r="B1366" s="3" t="s">
        <v>1696</v>
      </c>
      <c r="C1366" s="3" t="s">
        <v>2716</v>
      </c>
      <c r="D1366" s="3" t="s">
        <v>2889</v>
      </c>
    </row>
    <row r="1367" customHeight="1" spans="1:4">
      <c r="A1367" s="3">
        <v>1366</v>
      </c>
      <c r="B1367" s="3" t="s">
        <v>1697</v>
      </c>
      <c r="C1367" s="3" t="s">
        <v>2717</v>
      </c>
      <c r="D1367" s="3" t="s">
        <v>2889</v>
      </c>
    </row>
    <row r="1368" customHeight="1" spans="1:4">
      <c r="A1368" s="3">
        <v>1367</v>
      </c>
      <c r="B1368" s="3" t="s">
        <v>1698</v>
      </c>
      <c r="C1368" s="3" t="s">
        <v>1721</v>
      </c>
      <c r="D1368" s="3" t="s">
        <v>2969</v>
      </c>
    </row>
    <row r="1369" customHeight="1" spans="1:4">
      <c r="A1369" s="3">
        <v>1368</v>
      </c>
      <c r="B1369" s="3" t="s">
        <v>1699</v>
      </c>
      <c r="C1369" s="3" t="s">
        <v>2716</v>
      </c>
      <c r="D1369" s="3" t="s">
        <v>2921</v>
      </c>
    </row>
    <row r="1370" customHeight="1" spans="1:4">
      <c r="A1370" s="3">
        <v>1369</v>
      </c>
      <c r="B1370" s="3" t="s">
        <v>1700</v>
      </c>
      <c r="C1370" s="3" t="s">
        <v>2716</v>
      </c>
      <c r="D1370" s="3" t="s">
        <v>2893</v>
      </c>
    </row>
    <row r="1371" customHeight="1" spans="1:4">
      <c r="A1371" s="3">
        <v>1370</v>
      </c>
      <c r="B1371" s="3" t="s">
        <v>1701</v>
      </c>
      <c r="C1371" s="3" t="s">
        <v>1721</v>
      </c>
      <c r="D1371" s="3" t="s">
        <v>2893</v>
      </c>
    </row>
    <row r="1372" customHeight="1" spans="1:4">
      <c r="A1372" s="3">
        <v>1371</v>
      </c>
      <c r="B1372" s="3" t="s">
        <v>1702</v>
      </c>
      <c r="C1372" s="3" t="s">
        <v>1721</v>
      </c>
      <c r="D1372" s="3" t="s">
        <v>2893</v>
      </c>
    </row>
    <row r="1373" customHeight="1" spans="1:4">
      <c r="A1373" s="3">
        <v>1372</v>
      </c>
      <c r="B1373" s="3" t="s">
        <v>1703</v>
      </c>
      <c r="C1373" s="3" t="s">
        <v>1721</v>
      </c>
      <c r="D1373" s="3" t="s">
        <v>2893</v>
      </c>
    </row>
    <row r="1374" customHeight="1" spans="1:4">
      <c r="A1374" s="3">
        <v>1373</v>
      </c>
      <c r="B1374" s="3" t="s">
        <v>1704</v>
      </c>
      <c r="C1374" s="3" t="s">
        <v>1721</v>
      </c>
      <c r="D1374" s="3" t="s">
        <v>2889</v>
      </c>
    </row>
    <row r="1375" customHeight="1" spans="1:4">
      <c r="A1375" s="3">
        <v>1374</v>
      </c>
      <c r="B1375" s="3" t="s">
        <v>1705</v>
      </c>
      <c r="C1375" s="3" t="s">
        <v>2716</v>
      </c>
      <c r="D1375" s="3" t="s">
        <v>2889</v>
      </c>
    </row>
    <row r="1376" customHeight="1" spans="1:4">
      <c r="A1376" s="3">
        <v>1375</v>
      </c>
      <c r="B1376" s="3" t="s">
        <v>1706</v>
      </c>
      <c r="C1376" s="3" t="s">
        <v>2717</v>
      </c>
      <c r="D1376" s="3" t="s">
        <v>2889</v>
      </c>
    </row>
    <row r="1377" customHeight="1" spans="1:4">
      <c r="A1377" s="3">
        <v>1376</v>
      </c>
      <c r="B1377" s="3" t="s">
        <v>1707</v>
      </c>
      <c r="C1377" s="3" t="s">
        <v>2716</v>
      </c>
      <c r="D1377" s="3" t="s">
        <v>2908</v>
      </c>
    </row>
    <row r="1378" customHeight="1" spans="1:4">
      <c r="A1378" s="3">
        <v>1377</v>
      </c>
      <c r="B1378" s="3" t="s">
        <v>1708</v>
      </c>
      <c r="C1378" s="3" t="s">
        <v>1721</v>
      </c>
      <c r="D1378" s="3" t="s">
        <v>2908</v>
      </c>
    </row>
    <row r="1379" customHeight="1" spans="1:4">
      <c r="A1379" s="3">
        <v>1378</v>
      </c>
      <c r="B1379" s="3" t="s">
        <v>1709</v>
      </c>
      <c r="C1379" s="3" t="s">
        <v>1721</v>
      </c>
      <c r="D1379" s="3" t="s">
        <v>2889</v>
      </c>
    </row>
    <row r="1380" customHeight="1" spans="1:4">
      <c r="A1380" s="3">
        <v>1379</v>
      </c>
      <c r="B1380" s="3" t="s">
        <v>1710</v>
      </c>
      <c r="C1380" s="3" t="s">
        <v>1721</v>
      </c>
      <c r="D1380" s="3" t="s">
        <v>2889</v>
      </c>
    </row>
    <row r="1381" customHeight="1" spans="1:4">
      <c r="A1381" s="3">
        <v>1380</v>
      </c>
      <c r="B1381" s="3" t="s">
        <v>1711</v>
      </c>
      <c r="C1381" s="3" t="s">
        <v>2717</v>
      </c>
      <c r="D1381" s="3" t="s">
        <v>2889</v>
      </c>
    </row>
    <row r="1382" customHeight="1" spans="1:4">
      <c r="A1382" s="3">
        <v>1381</v>
      </c>
      <c r="B1382" s="3" t="s">
        <v>1712</v>
      </c>
      <c r="C1382" s="3" t="s">
        <v>1721</v>
      </c>
      <c r="D1382" s="3" t="s">
        <v>2893</v>
      </c>
    </row>
    <row r="1383" customHeight="1" spans="1:4">
      <c r="A1383" s="3">
        <v>1382</v>
      </c>
      <c r="B1383" s="3" t="s">
        <v>1713</v>
      </c>
      <c r="C1383" s="3" t="s">
        <v>1721</v>
      </c>
      <c r="D1383" s="3" t="s">
        <v>2921</v>
      </c>
    </row>
    <row r="1384" customHeight="1" spans="1:4">
      <c r="A1384" s="3">
        <v>1383</v>
      </c>
      <c r="B1384" s="3" t="s">
        <v>1714</v>
      </c>
      <c r="C1384" s="3" t="s">
        <v>2716</v>
      </c>
      <c r="D1384" s="3" t="s">
        <v>2908</v>
      </c>
    </row>
    <row r="1385" customHeight="1" spans="1:4">
      <c r="A1385" s="3">
        <v>1384</v>
      </c>
      <c r="B1385" s="3" t="s">
        <v>1715</v>
      </c>
      <c r="C1385" s="3" t="s">
        <v>2716</v>
      </c>
      <c r="D1385" s="3" t="s">
        <v>2889</v>
      </c>
    </row>
    <row r="1386" customHeight="1" spans="1:4">
      <c r="A1386" s="3">
        <v>1385</v>
      </c>
      <c r="B1386" s="3" t="s">
        <v>1716</v>
      </c>
      <c r="C1386" s="3" t="s">
        <v>2716</v>
      </c>
      <c r="D1386" s="3" t="s">
        <v>2889</v>
      </c>
    </row>
    <row r="1387" customHeight="1" spans="1:4">
      <c r="A1387" s="3">
        <v>1386</v>
      </c>
      <c r="B1387" s="3" t="s">
        <v>1717</v>
      </c>
      <c r="C1387" s="3" t="s">
        <v>2716</v>
      </c>
      <c r="D1387" s="3" t="s">
        <v>2889</v>
      </c>
    </row>
    <row r="1388" customHeight="1" spans="1:4">
      <c r="A1388" s="3">
        <v>1387</v>
      </c>
      <c r="B1388" s="3" t="s">
        <v>1718</v>
      </c>
      <c r="C1388" s="3" t="s">
        <v>1721</v>
      </c>
      <c r="D1388" s="3" t="s">
        <v>2889</v>
      </c>
    </row>
    <row r="1389" customHeight="1" spans="1:4">
      <c r="A1389" s="3">
        <v>1388</v>
      </c>
      <c r="B1389" s="3" t="s">
        <v>1719</v>
      </c>
      <c r="C1389" s="3" t="s">
        <v>2717</v>
      </c>
      <c r="D1389" s="3" t="s">
        <v>2889</v>
      </c>
    </row>
    <row r="1390" customHeight="1" spans="1:4">
      <c r="A1390" s="3">
        <v>1389</v>
      </c>
      <c r="B1390" s="3" t="s">
        <v>1720</v>
      </c>
      <c r="C1390" s="3" t="s">
        <v>2716</v>
      </c>
      <c r="D1390" s="3" t="s">
        <v>2889</v>
      </c>
    </row>
    <row r="1391" customHeight="1" spans="1:4">
      <c r="A1391" s="3">
        <v>1390</v>
      </c>
      <c r="B1391" s="3" t="s">
        <v>1721</v>
      </c>
      <c r="C1391" s="3" t="s">
        <v>1721</v>
      </c>
      <c r="D1391" s="3" t="s">
        <v>2889</v>
      </c>
    </row>
    <row r="1392" customHeight="1" spans="1:4">
      <c r="A1392" s="3">
        <v>1391</v>
      </c>
      <c r="B1392" s="3" t="s">
        <v>1722</v>
      </c>
      <c r="C1392" s="3" t="s">
        <v>1721</v>
      </c>
      <c r="D1392" s="3" t="s">
        <v>2889</v>
      </c>
    </row>
    <row r="1393" customHeight="1" spans="1:4">
      <c r="A1393" s="3">
        <v>1392</v>
      </c>
      <c r="B1393" s="3" t="s">
        <v>1723</v>
      </c>
      <c r="C1393" s="3" t="s">
        <v>2717</v>
      </c>
      <c r="D1393" s="3" t="s">
        <v>2889</v>
      </c>
    </row>
    <row r="1394" customHeight="1" spans="1:4">
      <c r="A1394" s="3">
        <v>1393</v>
      </c>
      <c r="B1394" s="3" t="s">
        <v>1724</v>
      </c>
      <c r="C1394" s="3" t="s">
        <v>2717</v>
      </c>
      <c r="D1394" s="3" t="s">
        <v>2889</v>
      </c>
    </row>
    <row r="1395" customHeight="1" spans="1:4">
      <c r="A1395" s="3">
        <v>1394</v>
      </c>
      <c r="B1395" s="3" t="s">
        <v>1725</v>
      </c>
      <c r="C1395" s="3" t="s">
        <v>2716</v>
      </c>
      <c r="D1395" s="3" t="s">
        <v>2889</v>
      </c>
    </row>
    <row r="1396" customHeight="1" spans="1:4">
      <c r="A1396" s="3">
        <v>1395</v>
      </c>
      <c r="B1396" s="3" t="s">
        <v>1726</v>
      </c>
      <c r="C1396" s="3" t="s">
        <v>1721</v>
      </c>
      <c r="D1396" s="3" t="s">
        <v>2889</v>
      </c>
    </row>
    <row r="1397" customHeight="1" spans="1:4">
      <c r="A1397" s="3">
        <v>1396</v>
      </c>
      <c r="B1397" s="3" t="s">
        <v>1727</v>
      </c>
      <c r="C1397" s="3" t="s">
        <v>2716</v>
      </c>
      <c r="D1397" s="3" t="s">
        <v>2889</v>
      </c>
    </row>
    <row r="1398" customHeight="1" spans="1:4">
      <c r="A1398" s="3">
        <v>1397</v>
      </c>
      <c r="B1398" s="3" t="s">
        <v>1728</v>
      </c>
      <c r="C1398" s="3" t="s">
        <v>2716</v>
      </c>
      <c r="D1398" s="3" t="s">
        <v>2889</v>
      </c>
    </row>
    <row r="1399" customHeight="1" spans="1:4">
      <c r="A1399" s="3">
        <v>1398</v>
      </c>
      <c r="B1399" s="3" t="s">
        <v>1729</v>
      </c>
      <c r="C1399" s="3" t="s">
        <v>2717</v>
      </c>
      <c r="D1399" s="3" t="s">
        <v>2889</v>
      </c>
    </row>
    <row r="1400" customHeight="1" spans="1:4">
      <c r="A1400" s="3">
        <v>1399</v>
      </c>
      <c r="B1400" s="3" t="s">
        <v>1730</v>
      </c>
      <c r="C1400" s="3" t="s">
        <v>2716</v>
      </c>
      <c r="D1400" s="3" t="s">
        <v>2889</v>
      </c>
    </row>
    <row r="1401" customHeight="1" spans="1:4">
      <c r="A1401" s="3">
        <v>1400</v>
      </c>
      <c r="B1401" s="3" t="s">
        <v>1731</v>
      </c>
      <c r="C1401" s="3" t="s">
        <v>1721</v>
      </c>
      <c r="D1401" s="3" t="s">
        <v>2896</v>
      </c>
    </row>
    <row r="1402" customHeight="1" spans="1:4">
      <c r="A1402" s="3">
        <v>1401</v>
      </c>
      <c r="B1402" s="3" t="s">
        <v>1732</v>
      </c>
      <c r="C1402" s="3" t="s">
        <v>1721</v>
      </c>
      <c r="D1402" s="3" t="s">
        <v>2908</v>
      </c>
    </row>
    <row r="1403" customHeight="1" spans="1:4">
      <c r="A1403" s="3">
        <v>1402</v>
      </c>
      <c r="B1403" s="3" t="s">
        <v>1733</v>
      </c>
      <c r="C1403" s="3" t="s">
        <v>1721</v>
      </c>
      <c r="D1403" s="3" t="s">
        <v>2908</v>
      </c>
    </row>
    <row r="1404" customHeight="1" spans="1:4">
      <c r="A1404" s="3">
        <v>1403</v>
      </c>
      <c r="B1404" s="3" t="s">
        <v>1734</v>
      </c>
      <c r="C1404" s="3" t="s">
        <v>2717</v>
      </c>
      <c r="D1404" s="3" t="s">
        <v>2969</v>
      </c>
    </row>
    <row r="1405" customHeight="1" spans="1:4">
      <c r="A1405" s="3">
        <v>1404</v>
      </c>
      <c r="B1405" s="3" t="s">
        <v>1735</v>
      </c>
      <c r="C1405" s="3" t="s">
        <v>1721</v>
      </c>
      <c r="D1405" s="3" t="s">
        <v>2908</v>
      </c>
    </row>
    <row r="1406" customHeight="1" spans="1:4">
      <c r="A1406" s="3">
        <v>1405</v>
      </c>
      <c r="B1406" s="3" t="s">
        <v>1736</v>
      </c>
      <c r="C1406" s="3" t="s">
        <v>2717</v>
      </c>
      <c r="D1406" s="3" t="s">
        <v>2908</v>
      </c>
    </row>
    <row r="1407" customHeight="1" spans="1:4">
      <c r="A1407" s="3">
        <v>1406</v>
      </c>
      <c r="B1407" s="3" t="s">
        <v>1737</v>
      </c>
      <c r="C1407" s="3" t="s">
        <v>1721</v>
      </c>
      <c r="D1407" s="3" t="s">
        <v>2969</v>
      </c>
    </row>
    <row r="1408" customHeight="1" spans="1:4">
      <c r="A1408" s="3">
        <v>1407</v>
      </c>
      <c r="B1408" s="3" t="s">
        <v>1738</v>
      </c>
      <c r="C1408" s="3" t="s">
        <v>2716</v>
      </c>
      <c r="D1408" s="3" t="s">
        <v>2908</v>
      </c>
    </row>
    <row r="1409" customHeight="1" spans="1:4">
      <c r="A1409" s="3">
        <v>1408</v>
      </c>
      <c r="B1409" s="3" t="s">
        <v>1739</v>
      </c>
      <c r="C1409" s="3" t="s">
        <v>1721</v>
      </c>
      <c r="D1409" s="3" t="s">
        <v>2921</v>
      </c>
    </row>
    <row r="1410" customHeight="1" spans="1:4">
      <c r="A1410" s="3">
        <v>1409</v>
      </c>
      <c r="B1410" s="3" t="s">
        <v>1740</v>
      </c>
      <c r="C1410" s="3" t="s">
        <v>1721</v>
      </c>
      <c r="D1410" s="3" t="s">
        <v>2908</v>
      </c>
    </row>
    <row r="1411" customHeight="1" spans="1:4">
      <c r="A1411" s="3">
        <v>1410</v>
      </c>
      <c r="B1411" s="3" t="s">
        <v>1741</v>
      </c>
      <c r="C1411" s="3" t="s">
        <v>1721</v>
      </c>
      <c r="D1411" s="3" t="s">
        <v>2908</v>
      </c>
    </row>
    <row r="1412" customHeight="1" spans="1:4">
      <c r="A1412" s="3">
        <v>1411</v>
      </c>
      <c r="B1412" s="3" t="s">
        <v>1742</v>
      </c>
      <c r="C1412" s="3" t="s">
        <v>2716</v>
      </c>
      <c r="D1412" s="3" t="s">
        <v>2889</v>
      </c>
    </row>
    <row r="1413" customHeight="1" spans="1:4">
      <c r="A1413" s="3">
        <v>1412</v>
      </c>
      <c r="B1413" s="3" t="s">
        <v>1743</v>
      </c>
      <c r="C1413" s="3" t="s">
        <v>2716</v>
      </c>
      <c r="D1413" s="3" t="s">
        <v>2889</v>
      </c>
    </row>
    <row r="1414" customHeight="1" spans="1:4">
      <c r="A1414" s="3">
        <v>1413</v>
      </c>
      <c r="B1414" s="3" t="s">
        <v>1744</v>
      </c>
      <c r="C1414" s="3" t="s">
        <v>2716</v>
      </c>
      <c r="D1414" s="3" t="s">
        <v>2889</v>
      </c>
    </row>
    <row r="1415" customHeight="1" spans="1:4">
      <c r="A1415" s="3">
        <v>1414</v>
      </c>
      <c r="B1415" s="3" t="s">
        <v>1745</v>
      </c>
      <c r="C1415" s="3" t="s">
        <v>1721</v>
      </c>
      <c r="D1415" s="3" t="s">
        <v>2908</v>
      </c>
    </row>
    <row r="1416" customHeight="1" spans="1:4">
      <c r="A1416" s="3">
        <v>1415</v>
      </c>
      <c r="B1416" s="3" t="s">
        <v>1746</v>
      </c>
      <c r="C1416" s="3" t="s">
        <v>2717</v>
      </c>
      <c r="D1416" s="3" t="s">
        <v>2889</v>
      </c>
    </row>
    <row r="1417" customHeight="1" spans="1:4">
      <c r="A1417" s="3">
        <v>1416</v>
      </c>
      <c r="B1417" s="3" t="s">
        <v>1747</v>
      </c>
      <c r="C1417" s="3" t="s">
        <v>2717</v>
      </c>
      <c r="D1417" s="3" t="s">
        <v>2889</v>
      </c>
    </row>
    <row r="1418" customHeight="1" spans="1:4">
      <c r="A1418" s="3">
        <v>1417</v>
      </c>
      <c r="B1418" s="3" t="s">
        <v>1748</v>
      </c>
      <c r="C1418" s="3" t="s">
        <v>1721</v>
      </c>
      <c r="D1418" s="3" t="s">
        <v>2889</v>
      </c>
    </row>
    <row r="1419" customHeight="1" spans="1:4">
      <c r="A1419" s="3">
        <v>1418</v>
      </c>
      <c r="B1419" s="3" t="s">
        <v>1749</v>
      </c>
      <c r="C1419" s="3" t="s">
        <v>2716</v>
      </c>
      <c r="D1419" s="3" t="s">
        <v>2889</v>
      </c>
    </row>
    <row r="1420" customHeight="1" spans="1:4">
      <c r="A1420" s="3">
        <v>1419</v>
      </c>
      <c r="B1420" s="3" t="s">
        <v>1750</v>
      </c>
      <c r="C1420" s="3" t="s">
        <v>1721</v>
      </c>
      <c r="D1420" s="3" t="s">
        <v>2889</v>
      </c>
    </row>
    <row r="1421" customHeight="1" spans="1:4">
      <c r="A1421" s="3">
        <v>1420</v>
      </c>
      <c r="B1421" s="3" t="s">
        <v>1751</v>
      </c>
      <c r="C1421" s="3" t="s">
        <v>1721</v>
      </c>
      <c r="D1421" s="3" t="s">
        <v>2889</v>
      </c>
    </row>
    <row r="1422" customHeight="1" spans="1:4">
      <c r="A1422" s="3">
        <v>1421</v>
      </c>
      <c r="B1422" s="3" t="s">
        <v>1752</v>
      </c>
      <c r="C1422" s="3" t="s">
        <v>1721</v>
      </c>
      <c r="D1422" s="3" t="s">
        <v>2889</v>
      </c>
    </row>
    <row r="1423" customHeight="1" spans="1:4">
      <c r="A1423" s="3">
        <v>1422</v>
      </c>
      <c r="B1423" s="3" t="s">
        <v>1753</v>
      </c>
      <c r="C1423" s="3" t="s">
        <v>1721</v>
      </c>
      <c r="D1423" s="3" t="s">
        <v>2889</v>
      </c>
    </row>
    <row r="1424" customHeight="1" spans="1:4">
      <c r="A1424" s="3">
        <v>1423</v>
      </c>
      <c r="B1424" s="3" t="s">
        <v>1754</v>
      </c>
      <c r="C1424" s="3" t="s">
        <v>1721</v>
      </c>
      <c r="D1424" s="3" t="s">
        <v>2889</v>
      </c>
    </row>
    <row r="1425" customHeight="1" spans="1:4">
      <c r="A1425" s="3">
        <v>1424</v>
      </c>
      <c r="B1425" s="3" t="s">
        <v>1755</v>
      </c>
      <c r="C1425" s="3" t="s">
        <v>2716</v>
      </c>
      <c r="D1425" s="3" t="s">
        <v>2921</v>
      </c>
    </row>
    <row r="1426" customHeight="1" spans="1:4">
      <c r="A1426" s="3">
        <v>1425</v>
      </c>
      <c r="B1426" s="3" t="s">
        <v>271</v>
      </c>
      <c r="C1426" s="3" t="s">
        <v>2716</v>
      </c>
      <c r="D1426" s="3" t="s">
        <v>2889</v>
      </c>
    </row>
    <row r="1427" customHeight="1" spans="1:4">
      <c r="A1427" s="3">
        <v>1426</v>
      </c>
      <c r="B1427" s="3" t="s">
        <v>1756</v>
      </c>
      <c r="C1427" s="3" t="s">
        <v>2717</v>
      </c>
      <c r="D1427" s="3" t="s">
        <v>2896</v>
      </c>
    </row>
    <row r="1428" customHeight="1" spans="1:4">
      <c r="A1428" s="3">
        <v>1427</v>
      </c>
      <c r="B1428" s="3" t="s">
        <v>277</v>
      </c>
      <c r="C1428" s="3" t="s">
        <v>2716</v>
      </c>
      <c r="D1428" s="3" t="s">
        <v>2889</v>
      </c>
    </row>
    <row r="1429" customHeight="1" spans="1:4">
      <c r="A1429" s="3">
        <v>1428</v>
      </c>
      <c r="B1429" s="3" t="s">
        <v>1757</v>
      </c>
      <c r="C1429" s="3" t="s">
        <v>2716</v>
      </c>
      <c r="D1429" s="3" t="s">
        <v>2889</v>
      </c>
    </row>
    <row r="1430" customHeight="1" spans="1:4">
      <c r="A1430" s="3">
        <v>1429</v>
      </c>
      <c r="B1430" s="3" t="s">
        <v>1758</v>
      </c>
      <c r="C1430" s="3" t="s">
        <v>2716</v>
      </c>
      <c r="D1430" s="3" t="s">
        <v>2889</v>
      </c>
    </row>
    <row r="1431" customHeight="1" spans="1:4">
      <c r="A1431" s="3">
        <v>1430</v>
      </c>
      <c r="B1431" s="3" t="s">
        <v>1759</v>
      </c>
      <c r="C1431" s="3" t="s">
        <v>2716</v>
      </c>
      <c r="D1431" s="3" t="s">
        <v>2889</v>
      </c>
    </row>
    <row r="1432" customHeight="1" spans="1:4">
      <c r="A1432" s="3">
        <v>1431</v>
      </c>
      <c r="B1432" s="3" t="s">
        <v>1760</v>
      </c>
      <c r="C1432" s="3" t="s">
        <v>2716</v>
      </c>
      <c r="D1432" s="3" t="s">
        <v>2889</v>
      </c>
    </row>
    <row r="1433" customHeight="1" spans="1:4">
      <c r="A1433" s="3">
        <v>1432</v>
      </c>
      <c r="B1433" s="3" t="s">
        <v>1761</v>
      </c>
      <c r="C1433" s="3" t="s">
        <v>2716</v>
      </c>
      <c r="D1433" s="3" t="s">
        <v>2889</v>
      </c>
    </row>
    <row r="1434" customHeight="1" spans="1:4">
      <c r="A1434" s="3">
        <v>1433</v>
      </c>
      <c r="B1434" s="3" t="s">
        <v>1762</v>
      </c>
      <c r="C1434" s="3" t="s">
        <v>2716</v>
      </c>
      <c r="D1434" s="3" t="s">
        <v>2889</v>
      </c>
    </row>
    <row r="1435" customHeight="1" spans="1:4">
      <c r="A1435" s="3">
        <v>1434</v>
      </c>
      <c r="B1435" s="3" t="s">
        <v>284</v>
      </c>
      <c r="C1435" s="3" t="s">
        <v>1721</v>
      </c>
      <c r="D1435" s="3" t="s">
        <v>2889</v>
      </c>
    </row>
    <row r="1436" customHeight="1" spans="1:4">
      <c r="A1436" s="3">
        <v>1435</v>
      </c>
      <c r="B1436" s="3" t="s">
        <v>1763</v>
      </c>
      <c r="C1436" s="3" t="s">
        <v>1721</v>
      </c>
      <c r="D1436" s="3" t="s">
        <v>2889</v>
      </c>
    </row>
    <row r="1437" customHeight="1" spans="1:4">
      <c r="A1437" s="3">
        <v>1436</v>
      </c>
      <c r="B1437" s="3" t="s">
        <v>1764</v>
      </c>
      <c r="C1437" s="3" t="s">
        <v>1721</v>
      </c>
      <c r="D1437" s="3" t="s">
        <v>2889</v>
      </c>
    </row>
    <row r="1438" customHeight="1" spans="1:4">
      <c r="A1438" s="3">
        <v>1437</v>
      </c>
      <c r="B1438" s="3" t="s">
        <v>1765</v>
      </c>
      <c r="C1438" s="3" t="s">
        <v>2716</v>
      </c>
      <c r="D1438" s="3" t="s">
        <v>2908</v>
      </c>
    </row>
    <row r="1439" customHeight="1" spans="1:4">
      <c r="A1439" s="3">
        <v>1438</v>
      </c>
      <c r="B1439" s="3" t="s">
        <v>1766</v>
      </c>
      <c r="C1439" s="3" t="s">
        <v>2716</v>
      </c>
      <c r="D1439" s="3" t="s">
        <v>2908</v>
      </c>
    </row>
    <row r="1440" customHeight="1" spans="1:4">
      <c r="A1440" s="3">
        <v>1439</v>
      </c>
      <c r="B1440" s="3" t="s">
        <v>1767</v>
      </c>
      <c r="C1440" s="3" t="s">
        <v>2716</v>
      </c>
      <c r="D1440" s="3" t="s">
        <v>2908</v>
      </c>
    </row>
    <row r="1441" customHeight="1" spans="1:4">
      <c r="A1441" s="3">
        <v>1440</v>
      </c>
      <c r="B1441" s="3" t="s">
        <v>1768</v>
      </c>
      <c r="C1441" s="3" t="s">
        <v>2716</v>
      </c>
      <c r="D1441" s="3" t="s">
        <v>2908</v>
      </c>
    </row>
    <row r="1442" customHeight="1" spans="1:4">
      <c r="A1442" s="3">
        <v>1441</v>
      </c>
      <c r="B1442" s="3" t="s">
        <v>1769</v>
      </c>
      <c r="C1442" s="3" t="s">
        <v>2716</v>
      </c>
      <c r="D1442" s="3" t="s">
        <v>2908</v>
      </c>
    </row>
    <row r="1443" customHeight="1" spans="1:4">
      <c r="A1443" s="3">
        <v>1442</v>
      </c>
      <c r="B1443" s="3" t="s">
        <v>1770</v>
      </c>
      <c r="C1443" s="3" t="s">
        <v>1721</v>
      </c>
      <c r="D1443" s="3" t="s">
        <v>2908</v>
      </c>
    </row>
    <row r="1444" customHeight="1" spans="1:4">
      <c r="A1444" s="3">
        <v>1443</v>
      </c>
      <c r="B1444" s="3" t="s">
        <v>1771</v>
      </c>
      <c r="C1444" s="3" t="s">
        <v>1721</v>
      </c>
      <c r="D1444" s="3" t="s">
        <v>2908</v>
      </c>
    </row>
    <row r="1445" customHeight="1" spans="1:4">
      <c r="A1445" s="3">
        <v>1444</v>
      </c>
      <c r="B1445" s="3" t="s">
        <v>1772</v>
      </c>
      <c r="C1445" s="3" t="s">
        <v>1721</v>
      </c>
      <c r="D1445" s="3" t="s">
        <v>2908</v>
      </c>
    </row>
    <row r="1446" customHeight="1" spans="1:4">
      <c r="A1446" s="3">
        <v>1445</v>
      </c>
      <c r="B1446" s="3" t="s">
        <v>1773</v>
      </c>
      <c r="C1446" s="3" t="s">
        <v>2716</v>
      </c>
      <c r="D1446" s="3" t="s">
        <v>2908</v>
      </c>
    </row>
    <row r="1447" customHeight="1" spans="1:4">
      <c r="A1447" s="3">
        <v>1446</v>
      </c>
      <c r="B1447" s="3" t="s">
        <v>1774</v>
      </c>
      <c r="C1447" s="3" t="s">
        <v>2716</v>
      </c>
      <c r="D1447" s="3" t="s">
        <v>2908</v>
      </c>
    </row>
    <row r="1448" customHeight="1" spans="1:4">
      <c r="A1448" s="3">
        <v>1447</v>
      </c>
      <c r="B1448" s="3" t="s">
        <v>1775</v>
      </c>
      <c r="C1448" s="3" t="s">
        <v>2716</v>
      </c>
      <c r="D1448" s="3" t="s">
        <v>2908</v>
      </c>
    </row>
    <row r="1449" customHeight="1" spans="1:4">
      <c r="A1449" s="3">
        <v>1448</v>
      </c>
      <c r="B1449" s="3" t="s">
        <v>1776</v>
      </c>
      <c r="C1449" s="3" t="s">
        <v>1721</v>
      </c>
      <c r="D1449" s="3" t="s">
        <v>2908</v>
      </c>
    </row>
    <row r="1450" customHeight="1" spans="1:4">
      <c r="A1450" s="3">
        <v>1449</v>
      </c>
      <c r="B1450" s="3" t="s">
        <v>1777</v>
      </c>
      <c r="C1450" s="3" t="s">
        <v>1721</v>
      </c>
      <c r="D1450" s="3" t="s">
        <v>2908</v>
      </c>
    </row>
    <row r="1451" customHeight="1" spans="1:4">
      <c r="A1451" s="3">
        <v>1450</v>
      </c>
      <c r="B1451" s="3" t="s">
        <v>1778</v>
      </c>
      <c r="C1451" s="3" t="s">
        <v>1721</v>
      </c>
      <c r="D1451" s="3" t="s">
        <v>2908</v>
      </c>
    </row>
    <row r="1452" customHeight="1" spans="1:4">
      <c r="A1452" s="3">
        <v>1451</v>
      </c>
      <c r="B1452" s="3" t="s">
        <v>1779</v>
      </c>
      <c r="C1452" s="3" t="s">
        <v>1721</v>
      </c>
      <c r="D1452" s="3" t="s">
        <v>2908</v>
      </c>
    </row>
    <row r="1453" customHeight="1" spans="1:4">
      <c r="A1453" s="3">
        <v>1452</v>
      </c>
      <c r="B1453" s="3" t="s">
        <v>1780</v>
      </c>
      <c r="C1453" s="3" t="s">
        <v>1721</v>
      </c>
      <c r="D1453" s="3" t="s">
        <v>2908</v>
      </c>
    </row>
    <row r="1454" customHeight="1" spans="1:4">
      <c r="A1454" s="3">
        <v>1453</v>
      </c>
      <c r="B1454" s="3" t="s">
        <v>1781</v>
      </c>
      <c r="C1454" s="3" t="s">
        <v>1721</v>
      </c>
      <c r="D1454" s="3" t="s">
        <v>2908</v>
      </c>
    </row>
    <row r="1455" customHeight="1" spans="1:4">
      <c r="A1455" s="3">
        <v>1454</v>
      </c>
      <c r="B1455" s="3" t="s">
        <v>1782</v>
      </c>
      <c r="C1455" s="3" t="s">
        <v>1721</v>
      </c>
      <c r="D1455" s="3" t="s">
        <v>2908</v>
      </c>
    </row>
    <row r="1456" customHeight="1" spans="1:4">
      <c r="A1456" s="3">
        <v>1455</v>
      </c>
      <c r="B1456" s="3" t="s">
        <v>1783</v>
      </c>
      <c r="C1456" s="3" t="s">
        <v>2716</v>
      </c>
      <c r="D1456" s="3" t="s">
        <v>2921</v>
      </c>
    </row>
    <row r="1457" customHeight="1" spans="1:4">
      <c r="A1457" s="3">
        <v>1456</v>
      </c>
      <c r="B1457" s="3" t="s">
        <v>1784</v>
      </c>
      <c r="C1457" s="3" t="s">
        <v>1721</v>
      </c>
      <c r="D1457" s="3" t="s">
        <v>2908</v>
      </c>
    </row>
    <row r="1458" customHeight="1" spans="1:4">
      <c r="A1458" s="3">
        <v>1457</v>
      </c>
      <c r="B1458" s="3" t="s">
        <v>1785</v>
      </c>
      <c r="C1458" s="3" t="s">
        <v>1721</v>
      </c>
      <c r="D1458" s="3" t="s">
        <v>2908</v>
      </c>
    </row>
    <row r="1459" customHeight="1" spans="1:4">
      <c r="A1459" s="3">
        <v>1458</v>
      </c>
      <c r="B1459" s="3" t="s">
        <v>1786</v>
      </c>
      <c r="C1459" s="3" t="s">
        <v>1721</v>
      </c>
      <c r="D1459" s="3" t="s">
        <v>2908</v>
      </c>
    </row>
    <row r="1460" customHeight="1" spans="1:4">
      <c r="A1460" s="3">
        <v>1459</v>
      </c>
      <c r="B1460" s="3" t="s">
        <v>1787</v>
      </c>
      <c r="C1460" s="3" t="s">
        <v>1721</v>
      </c>
      <c r="D1460" s="3" t="s">
        <v>2908</v>
      </c>
    </row>
    <row r="1461" customHeight="1" spans="1:4">
      <c r="A1461" s="3">
        <v>1460</v>
      </c>
      <c r="B1461" s="3" t="s">
        <v>1788</v>
      </c>
      <c r="C1461" s="3" t="s">
        <v>1721</v>
      </c>
      <c r="D1461" s="3" t="s">
        <v>2908</v>
      </c>
    </row>
    <row r="1462" customHeight="1" spans="1:4">
      <c r="A1462" s="3">
        <v>1461</v>
      </c>
      <c r="B1462" s="3" t="s">
        <v>1789</v>
      </c>
      <c r="C1462" s="3" t="s">
        <v>1721</v>
      </c>
      <c r="D1462" s="3" t="s">
        <v>2896</v>
      </c>
    </row>
    <row r="1463" customHeight="1" spans="1:4">
      <c r="A1463" s="3">
        <v>1462</v>
      </c>
      <c r="B1463" s="3" t="s">
        <v>1790</v>
      </c>
      <c r="C1463" s="3" t="s">
        <v>2716</v>
      </c>
      <c r="D1463" s="3" t="s">
        <v>2908</v>
      </c>
    </row>
    <row r="1464" customHeight="1" spans="1:4">
      <c r="A1464" s="3">
        <v>1463</v>
      </c>
      <c r="B1464" s="3" t="s">
        <v>1791</v>
      </c>
      <c r="C1464" s="3" t="s">
        <v>1721</v>
      </c>
      <c r="D1464" s="3" t="s">
        <v>2908</v>
      </c>
    </row>
    <row r="1465" customHeight="1" spans="1:4">
      <c r="A1465" s="3">
        <v>1464</v>
      </c>
      <c r="B1465" s="3" t="s">
        <v>1792</v>
      </c>
      <c r="C1465" s="3" t="s">
        <v>2716</v>
      </c>
      <c r="D1465" s="3" t="s">
        <v>2908</v>
      </c>
    </row>
    <row r="1466" customHeight="1" spans="1:4">
      <c r="A1466" s="3">
        <v>1465</v>
      </c>
      <c r="B1466" s="3" t="s">
        <v>1793</v>
      </c>
      <c r="C1466" s="3" t="s">
        <v>1721</v>
      </c>
      <c r="D1466" s="3" t="s">
        <v>2908</v>
      </c>
    </row>
    <row r="1467" customHeight="1" spans="1:4">
      <c r="A1467" s="3">
        <v>1466</v>
      </c>
      <c r="B1467" s="3" t="s">
        <v>1794</v>
      </c>
      <c r="C1467" s="3" t="s">
        <v>2716</v>
      </c>
      <c r="D1467" s="3" t="s">
        <v>2896</v>
      </c>
    </row>
    <row r="1468" customHeight="1" spans="1:4">
      <c r="A1468" s="3">
        <v>1467</v>
      </c>
      <c r="B1468" s="3" t="s">
        <v>1795</v>
      </c>
      <c r="C1468" s="3" t="s">
        <v>1721</v>
      </c>
      <c r="D1468" s="3" t="s">
        <v>2889</v>
      </c>
    </row>
    <row r="1469" customHeight="1" spans="1:4">
      <c r="A1469" s="3">
        <v>1468</v>
      </c>
      <c r="B1469" s="3" t="s">
        <v>1796</v>
      </c>
      <c r="C1469" s="3" t="s">
        <v>1721</v>
      </c>
      <c r="D1469" s="3" t="s">
        <v>2908</v>
      </c>
    </row>
    <row r="1470" customHeight="1" spans="1:4">
      <c r="A1470" s="3">
        <v>1469</v>
      </c>
      <c r="B1470" s="3" t="s">
        <v>1797</v>
      </c>
      <c r="C1470" s="3" t="s">
        <v>1721</v>
      </c>
      <c r="D1470" s="3" t="s">
        <v>2896</v>
      </c>
    </row>
    <row r="1471" customHeight="1" spans="1:4">
      <c r="A1471" s="3">
        <v>1470</v>
      </c>
      <c r="B1471" s="3" t="s">
        <v>1798</v>
      </c>
      <c r="C1471" s="3" t="s">
        <v>1721</v>
      </c>
      <c r="D1471" s="3" t="s">
        <v>2893</v>
      </c>
    </row>
    <row r="1472" customHeight="1" spans="1:4">
      <c r="A1472" s="3">
        <v>1471</v>
      </c>
      <c r="B1472" s="3" t="s">
        <v>1799</v>
      </c>
      <c r="C1472" s="3" t="s">
        <v>1721</v>
      </c>
      <c r="D1472" s="3" t="s">
        <v>2908</v>
      </c>
    </row>
    <row r="1473" customHeight="1" spans="1:4">
      <c r="A1473" s="3">
        <v>1472</v>
      </c>
      <c r="B1473" s="3" t="s">
        <v>1800</v>
      </c>
      <c r="C1473" s="3" t="s">
        <v>1721</v>
      </c>
      <c r="D1473" s="3" t="s">
        <v>2889</v>
      </c>
    </row>
    <row r="1474" customHeight="1" spans="1:4">
      <c r="A1474" s="3">
        <v>1473</v>
      </c>
      <c r="B1474" s="3" t="s">
        <v>1801</v>
      </c>
      <c r="C1474" s="3" t="s">
        <v>1721</v>
      </c>
      <c r="D1474" s="3" t="s">
        <v>2896</v>
      </c>
    </row>
    <row r="1475" customHeight="1" spans="1:4">
      <c r="A1475" s="3">
        <v>1474</v>
      </c>
      <c r="B1475" s="3" t="s">
        <v>1802</v>
      </c>
      <c r="C1475" s="3" t="s">
        <v>2716</v>
      </c>
      <c r="D1475" s="3" t="s">
        <v>2889</v>
      </c>
    </row>
    <row r="1476" customHeight="1" spans="1:4">
      <c r="A1476" s="3">
        <v>1475</v>
      </c>
      <c r="B1476" s="3" t="s">
        <v>1803</v>
      </c>
      <c r="C1476" s="3" t="s">
        <v>2716</v>
      </c>
      <c r="D1476" s="3" t="s">
        <v>2889</v>
      </c>
    </row>
    <row r="1477" customHeight="1" spans="1:4">
      <c r="A1477" s="3">
        <v>1476</v>
      </c>
      <c r="B1477" s="3" t="s">
        <v>1804</v>
      </c>
      <c r="C1477" s="3" t="s">
        <v>1721</v>
      </c>
      <c r="D1477" s="3" t="s">
        <v>2889</v>
      </c>
    </row>
    <row r="1478" customHeight="1" spans="1:4">
      <c r="A1478" s="3">
        <v>1477</v>
      </c>
      <c r="B1478" s="3" t="s">
        <v>1805</v>
      </c>
      <c r="C1478" s="3" t="s">
        <v>1721</v>
      </c>
      <c r="D1478" s="3" t="s">
        <v>2896</v>
      </c>
    </row>
    <row r="1479" customHeight="1" spans="1:4">
      <c r="A1479" s="3">
        <v>1478</v>
      </c>
      <c r="B1479" s="3" t="s">
        <v>1806</v>
      </c>
      <c r="C1479" s="3" t="s">
        <v>1721</v>
      </c>
      <c r="D1479" s="3" t="s">
        <v>2896</v>
      </c>
    </row>
    <row r="1480" customHeight="1" spans="1:4">
      <c r="A1480" s="3">
        <v>1479</v>
      </c>
      <c r="B1480" s="3" t="s">
        <v>1807</v>
      </c>
      <c r="C1480" s="3" t="s">
        <v>2716</v>
      </c>
      <c r="D1480" s="3" t="s">
        <v>2889</v>
      </c>
    </row>
    <row r="1481" customHeight="1" spans="1:4">
      <c r="A1481" s="3">
        <v>1480</v>
      </c>
      <c r="B1481" s="3" t="s">
        <v>1808</v>
      </c>
      <c r="C1481" s="3" t="s">
        <v>2716</v>
      </c>
      <c r="D1481" s="3" t="s">
        <v>2908</v>
      </c>
    </row>
    <row r="1482" customHeight="1" spans="1:4">
      <c r="A1482" s="3">
        <v>1481</v>
      </c>
      <c r="B1482" s="3" t="s">
        <v>1809</v>
      </c>
      <c r="C1482" s="3" t="s">
        <v>1721</v>
      </c>
      <c r="D1482" s="3" t="s">
        <v>2908</v>
      </c>
    </row>
    <row r="1483" customHeight="1" spans="1:4">
      <c r="A1483" s="3">
        <v>1482</v>
      </c>
      <c r="B1483" s="3" t="s">
        <v>1810</v>
      </c>
      <c r="C1483" s="3" t="s">
        <v>2716</v>
      </c>
      <c r="D1483" s="3" t="s">
        <v>2908</v>
      </c>
    </row>
    <row r="1484" customHeight="1" spans="1:4">
      <c r="A1484" s="3">
        <v>1483</v>
      </c>
      <c r="B1484" s="3" t="s">
        <v>1811</v>
      </c>
      <c r="C1484" s="3" t="s">
        <v>1721</v>
      </c>
      <c r="D1484" s="3" t="s">
        <v>2908</v>
      </c>
    </row>
    <row r="1485" customHeight="1" spans="1:4">
      <c r="A1485" s="3">
        <v>1484</v>
      </c>
      <c r="B1485" s="3" t="s">
        <v>1812</v>
      </c>
      <c r="C1485" s="3" t="s">
        <v>1721</v>
      </c>
      <c r="D1485" s="3" t="s">
        <v>2908</v>
      </c>
    </row>
    <row r="1486" customHeight="1" spans="1:4">
      <c r="A1486" s="3">
        <v>1485</v>
      </c>
      <c r="B1486" s="3" t="s">
        <v>1813</v>
      </c>
      <c r="C1486" s="3" t="s">
        <v>1721</v>
      </c>
      <c r="D1486" s="3" t="s">
        <v>2908</v>
      </c>
    </row>
    <row r="1487" customHeight="1" spans="1:4">
      <c r="A1487" s="3">
        <v>1486</v>
      </c>
      <c r="B1487" s="3" t="s">
        <v>1814</v>
      </c>
      <c r="C1487" s="3" t="s">
        <v>1721</v>
      </c>
      <c r="D1487" s="3" t="s">
        <v>2908</v>
      </c>
    </row>
    <row r="1488" customHeight="1" spans="1:4">
      <c r="A1488" s="3">
        <v>1487</v>
      </c>
      <c r="B1488" s="3" t="s">
        <v>1815</v>
      </c>
      <c r="C1488" s="3" t="s">
        <v>2717</v>
      </c>
      <c r="D1488" s="3" t="s">
        <v>2889</v>
      </c>
    </row>
    <row r="1489" customHeight="1" spans="1:4">
      <c r="A1489" s="3">
        <v>1488</v>
      </c>
      <c r="B1489" s="3" t="s">
        <v>1816</v>
      </c>
      <c r="C1489" s="3" t="s">
        <v>1721</v>
      </c>
      <c r="D1489" s="3" t="s">
        <v>2889</v>
      </c>
    </row>
    <row r="1490" customHeight="1" spans="1:4">
      <c r="A1490" s="3">
        <v>1489</v>
      </c>
      <c r="B1490" s="3" t="s">
        <v>1817</v>
      </c>
      <c r="C1490" s="3" t="s">
        <v>1721</v>
      </c>
      <c r="D1490" s="3" t="s">
        <v>2908</v>
      </c>
    </row>
    <row r="1491" customHeight="1" spans="1:4">
      <c r="A1491" s="3">
        <v>1490</v>
      </c>
      <c r="B1491" s="3" t="s">
        <v>1818</v>
      </c>
      <c r="C1491" s="3" t="s">
        <v>1721</v>
      </c>
      <c r="D1491" s="3" t="s">
        <v>2889</v>
      </c>
    </row>
    <row r="1492" customHeight="1" spans="1:4">
      <c r="A1492" s="3">
        <v>1491</v>
      </c>
      <c r="B1492" s="3" t="s">
        <v>1819</v>
      </c>
      <c r="C1492" s="3" t="s">
        <v>2716</v>
      </c>
      <c r="D1492" s="3" t="s">
        <v>2889</v>
      </c>
    </row>
    <row r="1493" customHeight="1" spans="1:4">
      <c r="A1493" s="3">
        <v>1492</v>
      </c>
      <c r="B1493" s="3" t="s">
        <v>1820</v>
      </c>
      <c r="C1493" s="3" t="s">
        <v>1721</v>
      </c>
      <c r="D1493" s="3" t="s">
        <v>2889</v>
      </c>
    </row>
    <row r="1494" customHeight="1" spans="1:4">
      <c r="A1494" s="3">
        <v>1493</v>
      </c>
      <c r="B1494" s="3" t="s">
        <v>1821</v>
      </c>
      <c r="C1494" s="3" t="s">
        <v>2717</v>
      </c>
      <c r="D1494" s="3" t="s">
        <v>2889</v>
      </c>
    </row>
    <row r="1495" customHeight="1" spans="1:4">
      <c r="A1495" s="3">
        <v>1494</v>
      </c>
      <c r="B1495" s="3" t="s">
        <v>1822</v>
      </c>
      <c r="C1495" s="3" t="s">
        <v>1721</v>
      </c>
      <c r="D1495" s="3" t="s">
        <v>2908</v>
      </c>
    </row>
    <row r="1496" customHeight="1" spans="1:4">
      <c r="A1496" s="3">
        <v>1495</v>
      </c>
      <c r="B1496" s="3" t="s">
        <v>1823</v>
      </c>
      <c r="C1496" s="3" t="s">
        <v>2716</v>
      </c>
      <c r="D1496" s="3" t="s">
        <v>2889</v>
      </c>
    </row>
    <row r="1497" customHeight="1" spans="1:4">
      <c r="A1497" s="3">
        <v>1496</v>
      </c>
      <c r="B1497" s="3" t="s">
        <v>1824</v>
      </c>
      <c r="C1497" s="3" t="s">
        <v>2716</v>
      </c>
      <c r="D1497" s="3" t="s">
        <v>2889</v>
      </c>
    </row>
    <row r="1498" customHeight="1" spans="1:4">
      <c r="A1498" s="3">
        <v>1497</v>
      </c>
      <c r="B1498" s="3" t="s">
        <v>1825</v>
      </c>
      <c r="C1498" s="3" t="s">
        <v>2717</v>
      </c>
      <c r="D1498" s="3" t="s">
        <v>2889</v>
      </c>
    </row>
    <row r="1499" customHeight="1" spans="1:4">
      <c r="A1499" s="3">
        <v>1498</v>
      </c>
      <c r="B1499" s="3" t="s">
        <v>1826</v>
      </c>
      <c r="C1499" s="3" t="s">
        <v>2717</v>
      </c>
      <c r="D1499" s="3" t="s">
        <v>2889</v>
      </c>
    </row>
    <row r="1500" customHeight="1" spans="1:4">
      <c r="A1500" s="3">
        <v>1499</v>
      </c>
      <c r="B1500" s="3" t="s">
        <v>1827</v>
      </c>
      <c r="C1500" s="3" t="s">
        <v>2716</v>
      </c>
      <c r="D1500" s="3" t="s">
        <v>2889</v>
      </c>
    </row>
    <row r="1501" customHeight="1" spans="1:4">
      <c r="A1501" s="3">
        <v>1500</v>
      </c>
      <c r="B1501" s="3" t="s">
        <v>1828</v>
      </c>
      <c r="C1501" s="3" t="s">
        <v>1721</v>
      </c>
      <c r="D1501" s="3" t="s">
        <v>2889</v>
      </c>
    </row>
    <row r="1502" customHeight="1" spans="1:4">
      <c r="A1502" s="3">
        <v>1501</v>
      </c>
      <c r="B1502" s="3" t="s">
        <v>1829</v>
      </c>
      <c r="C1502" s="3" t="s">
        <v>1721</v>
      </c>
      <c r="D1502" s="3" t="s">
        <v>2896</v>
      </c>
    </row>
    <row r="1503" customHeight="1" spans="1:4">
      <c r="A1503" s="3">
        <v>1502</v>
      </c>
      <c r="B1503" s="3" t="s">
        <v>1830</v>
      </c>
      <c r="C1503" s="3" t="s">
        <v>1721</v>
      </c>
      <c r="D1503" s="3" t="s">
        <v>2889</v>
      </c>
    </row>
    <row r="1504" customHeight="1" spans="1:4">
      <c r="A1504" s="3">
        <v>1503</v>
      </c>
      <c r="B1504" s="3" t="s">
        <v>1831</v>
      </c>
      <c r="C1504" s="3" t="s">
        <v>2717</v>
      </c>
      <c r="D1504" s="3" t="s">
        <v>2911</v>
      </c>
    </row>
    <row r="1505" customHeight="1" spans="1:4">
      <c r="A1505" s="3">
        <v>1504</v>
      </c>
      <c r="B1505" s="3" t="s">
        <v>1832</v>
      </c>
      <c r="C1505" s="3" t="s">
        <v>1721</v>
      </c>
      <c r="D1505" s="3" t="s">
        <v>2889</v>
      </c>
    </row>
    <row r="1506" customHeight="1" spans="1:4">
      <c r="A1506" s="3">
        <v>1505</v>
      </c>
      <c r="B1506" s="3" t="s">
        <v>1833</v>
      </c>
      <c r="C1506" s="3" t="s">
        <v>1721</v>
      </c>
      <c r="D1506" s="3" t="s">
        <v>2889</v>
      </c>
    </row>
    <row r="1507" customHeight="1" spans="1:4">
      <c r="A1507" s="3">
        <v>1506</v>
      </c>
      <c r="B1507" s="3" t="s">
        <v>1834</v>
      </c>
      <c r="C1507" s="3" t="s">
        <v>2717</v>
      </c>
      <c r="D1507" s="3" t="s">
        <v>2889</v>
      </c>
    </row>
    <row r="1508" customHeight="1" spans="1:4">
      <c r="A1508" s="3">
        <v>1507</v>
      </c>
      <c r="B1508" s="3" t="s">
        <v>1835</v>
      </c>
      <c r="C1508" s="3" t="s">
        <v>2717</v>
      </c>
      <c r="D1508" s="3" t="s">
        <v>2889</v>
      </c>
    </row>
    <row r="1509" customHeight="1" spans="1:4">
      <c r="A1509" s="3">
        <v>1508</v>
      </c>
      <c r="B1509" s="3" t="s">
        <v>1836</v>
      </c>
      <c r="C1509" s="3" t="s">
        <v>2717</v>
      </c>
      <c r="D1509" s="3" t="s">
        <v>2889</v>
      </c>
    </row>
    <row r="1510" customHeight="1" spans="1:4">
      <c r="A1510" s="3">
        <v>1509</v>
      </c>
      <c r="B1510" s="3" t="s">
        <v>1837</v>
      </c>
      <c r="C1510" s="3" t="s">
        <v>2716</v>
      </c>
      <c r="D1510" s="3" t="s">
        <v>2889</v>
      </c>
    </row>
    <row r="1511" customHeight="1" spans="1:4">
      <c r="A1511" s="3">
        <v>1510</v>
      </c>
      <c r="B1511" s="3" t="s">
        <v>1838</v>
      </c>
      <c r="C1511" s="3" t="s">
        <v>1721</v>
      </c>
      <c r="D1511" s="3" t="s">
        <v>2889</v>
      </c>
    </row>
    <row r="1512" customHeight="1" spans="1:4">
      <c r="A1512" s="3">
        <v>1511</v>
      </c>
      <c r="B1512" s="3" t="s">
        <v>1839</v>
      </c>
      <c r="C1512" s="3" t="s">
        <v>2717</v>
      </c>
      <c r="D1512" s="3" t="s">
        <v>2889</v>
      </c>
    </row>
    <row r="1513" customHeight="1" spans="1:4">
      <c r="A1513" s="3">
        <v>1512</v>
      </c>
      <c r="B1513" s="3" t="s">
        <v>1840</v>
      </c>
      <c r="C1513" s="3" t="s">
        <v>2717</v>
      </c>
      <c r="D1513" s="3" t="s">
        <v>2889</v>
      </c>
    </row>
    <row r="1514" customHeight="1" spans="1:4">
      <c r="A1514" s="3">
        <v>1513</v>
      </c>
      <c r="B1514" s="3" t="s">
        <v>1841</v>
      </c>
      <c r="C1514" s="3" t="s">
        <v>2716</v>
      </c>
      <c r="D1514" s="3" t="s">
        <v>2889</v>
      </c>
    </row>
    <row r="1515" customHeight="1" spans="1:4">
      <c r="A1515" s="3">
        <v>1514</v>
      </c>
      <c r="B1515" s="3" t="s">
        <v>1842</v>
      </c>
      <c r="C1515" s="3" t="s">
        <v>2717</v>
      </c>
      <c r="D1515" s="3" t="s">
        <v>2889</v>
      </c>
    </row>
    <row r="1516" customHeight="1" spans="1:4">
      <c r="A1516" s="3">
        <v>1515</v>
      </c>
      <c r="B1516" s="3" t="s">
        <v>1843</v>
      </c>
      <c r="C1516" s="3" t="s">
        <v>2717</v>
      </c>
      <c r="D1516" s="3" t="s">
        <v>2889</v>
      </c>
    </row>
    <row r="1517" customHeight="1" spans="1:4">
      <c r="A1517" s="3">
        <v>1516</v>
      </c>
      <c r="B1517" s="3" t="s">
        <v>1844</v>
      </c>
      <c r="C1517" s="3" t="s">
        <v>2716</v>
      </c>
      <c r="D1517" s="3" t="s">
        <v>2889</v>
      </c>
    </row>
    <row r="1518" customHeight="1" spans="1:4">
      <c r="A1518" s="3">
        <v>1517</v>
      </c>
      <c r="B1518" s="3" t="s">
        <v>1845</v>
      </c>
      <c r="C1518" s="3" t="s">
        <v>2717</v>
      </c>
      <c r="D1518" s="3" t="s">
        <v>2889</v>
      </c>
    </row>
    <row r="1519" customHeight="1" spans="1:4">
      <c r="A1519" s="3">
        <v>1518</v>
      </c>
      <c r="B1519" s="3" t="s">
        <v>1846</v>
      </c>
      <c r="C1519" s="3" t="s">
        <v>2717</v>
      </c>
      <c r="D1519" s="3" t="s">
        <v>2889</v>
      </c>
    </row>
    <row r="1520" customHeight="1" spans="1:4">
      <c r="A1520" s="3">
        <v>1519</v>
      </c>
      <c r="B1520" s="3" t="s">
        <v>1847</v>
      </c>
      <c r="C1520" s="3" t="s">
        <v>2716</v>
      </c>
      <c r="D1520" s="3" t="s">
        <v>2889</v>
      </c>
    </row>
    <row r="1521" customHeight="1" spans="1:4">
      <c r="A1521" s="3">
        <v>1520</v>
      </c>
      <c r="B1521" s="3" t="s">
        <v>1848</v>
      </c>
      <c r="C1521" s="3" t="s">
        <v>2716</v>
      </c>
      <c r="D1521" s="3" t="s">
        <v>2889</v>
      </c>
    </row>
    <row r="1522" customHeight="1" spans="1:4">
      <c r="A1522" s="3">
        <v>1521</v>
      </c>
      <c r="B1522" s="3" t="s">
        <v>1849</v>
      </c>
      <c r="C1522" s="3" t="s">
        <v>2716</v>
      </c>
      <c r="D1522" s="3" t="s">
        <v>2889</v>
      </c>
    </row>
    <row r="1523" customHeight="1" spans="1:4">
      <c r="A1523" s="3">
        <v>1522</v>
      </c>
      <c r="B1523" s="3" t="s">
        <v>1850</v>
      </c>
      <c r="C1523" s="3" t="s">
        <v>2717</v>
      </c>
      <c r="D1523" s="3" t="s">
        <v>2908</v>
      </c>
    </row>
    <row r="1524" customHeight="1" spans="1:4">
      <c r="A1524" s="3">
        <v>1523</v>
      </c>
      <c r="B1524" s="3" t="s">
        <v>1851</v>
      </c>
      <c r="C1524" s="3" t="s">
        <v>1721</v>
      </c>
      <c r="D1524" s="3" t="s">
        <v>2908</v>
      </c>
    </row>
    <row r="1525" customHeight="1" spans="1:4">
      <c r="A1525" s="3">
        <v>1524</v>
      </c>
      <c r="B1525" s="3" t="s">
        <v>1852</v>
      </c>
      <c r="C1525" s="3" t="s">
        <v>1721</v>
      </c>
      <c r="D1525" s="3" t="s">
        <v>2908</v>
      </c>
    </row>
    <row r="1526" customHeight="1" spans="1:4">
      <c r="A1526" s="3">
        <v>1525</v>
      </c>
      <c r="B1526" s="3" t="s">
        <v>1853</v>
      </c>
      <c r="C1526" s="3" t="s">
        <v>1721</v>
      </c>
      <c r="D1526" s="3" t="s">
        <v>2908</v>
      </c>
    </row>
    <row r="1527" customHeight="1" spans="1:4">
      <c r="A1527" s="3">
        <v>1526</v>
      </c>
      <c r="B1527" s="3" t="s">
        <v>1854</v>
      </c>
      <c r="C1527" s="3" t="s">
        <v>1721</v>
      </c>
      <c r="D1527" s="3" t="s">
        <v>2896</v>
      </c>
    </row>
    <row r="1528" customHeight="1" spans="1:4">
      <c r="A1528" s="3">
        <v>1527</v>
      </c>
      <c r="B1528" s="3" t="s">
        <v>1855</v>
      </c>
      <c r="C1528" s="3" t="s">
        <v>1721</v>
      </c>
      <c r="D1528" s="3" t="s">
        <v>2908</v>
      </c>
    </row>
    <row r="1529" customHeight="1" spans="1:4">
      <c r="A1529" s="3">
        <v>1528</v>
      </c>
      <c r="B1529" s="3" t="s">
        <v>1856</v>
      </c>
      <c r="C1529" s="3" t="s">
        <v>2716</v>
      </c>
      <c r="D1529" s="3" t="s">
        <v>2908</v>
      </c>
    </row>
    <row r="1530" customHeight="1" spans="1:4">
      <c r="A1530" s="3">
        <v>1529</v>
      </c>
      <c r="B1530" s="3" t="s">
        <v>1857</v>
      </c>
      <c r="C1530" s="3" t="s">
        <v>2716</v>
      </c>
      <c r="D1530" s="3" t="s">
        <v>2908</v>
      </c>
    </row>
    <row r="1531" customHeight="1" spans="1:4">
      <c r="A1531" s="3">
        <v>1530</v>
      </c>
      <c r="B1531" s="3" t="s">
        <v>1858</v>
      </c>
      <c r="C1531" s="3" t="s">
        <v>2716</v>
      </c>
      <c r="D1531" s="3" t="s">
        <v>2908</v>
      </c>
    </row>
    <row r="1532" customHeight="1" spans="1:4">
      <c r="A1532" s="3">
        <v>1531</v>
      </c>
      <c r="B1532" s="3" t="s">
        <v>1859</v>
      </c>
      <c r="C1532" s="3" t="s">
        <v>1721</v>
      </c>
      <c r="D1532" s="3" t="s">
        <v>2908</v>
      </c>
    </row>
    <row r="1533" customHeight="1" spans="1:4">
      <c r="A1533" s="3">
        <v>1532</v>
      </c>
      <c r="B1533" s="3" t="s">
        <v>1860</v>
      </c>
      <c r="C1533" s="3" t="s">
        <v>2716</v>
      </c>
      <c r="D1533" s="3" t="s">
        <v>2921</v>
      </c>
    </row>
    <row r="1534" customHeight="1" spans="1:4">
      <c r="A1534" s="3">
        <v>1533</v>
      </c>
      <c r="B1534" s="3" t="s">
        <v>1861</v>
      </c>
      <c r="C1534" s="3" t="s">
        <v>2716</v>
      </c>
      <c r="D1534" s="3" t="s">
        <v>2908</v>
      </c>
    </row>
    <row r="1535" customHeight="1" spans="1:4">
      <c r="A1535" s="3">
        <v>1534</v>
      </c>
      <c r="B1535" s="3" t="s">
        <v>1862</v>
      </c>
      <c r="C1535" s="3" t="s">
        <v>2716</v>
      </c>
      <c r="D1535" s="3" t="s">
        <v>2908</v>
      </c>
    </row>
    <row r="1536" customHeight="1" spans="1:4">
      <c r="A1536" s="3">
        <v>1535</v>
      </c>
      <c r="B1536" s="3" t="s">
        <v>1863</v>
      </c>
      <c r="C1536" s="3" t="s">
        <v>2716</v>
      </c>
      <c r="D1536" s="3" t="s">
        <v>2908</v>
      </c>
    </row>
    <row r="1537" customHeight="1" spans="1:4">
      <c r="A1537" s="3">
        <v>1536</v>
      </c>
      <c r="B1537" s="3" t="s">
        <v>1864</v>
      </c>
      <c r="C1537" s="3" t="s">
        <v>2717</v>
      </c>
      <c r="D1537" s="3" t="s">
        <v>2908</v>
      </c>
    </row>
    <row r="1538" customHeight="1" spans="1:4">
      <c r="A1538" s="3">
        <v>1537</v>
      </c>
      <c r="B1538" s="3" t="s">
        <v>1865</v>
      </c>
      <c r="C1538" s="3" t="s">
        <v>2716</v>
      </c>
      <c r="D1538" s="3" t="s">
        <v>2908</v>
      </c>
    </row>
    <row r="1539" customHeight="1" spans="1:4">
      <c r="A1539" s="3">
        <v>1538</v>
      </c>
      <c r="B1539" s="3" t="s">
        <v>1866</v>
      </c>
      <c r="C1539" s="3" t="s">
        <v>1721</v>
      </c>
      <c r="D1539" s="3" t="s">
        <v>2908</v>
      </c>
    </row>
    <row r="1540" customHeight="1" spans="1:4">
      <c r="A1540" s="3">
        <v>1539</v>
      </c>
      <c r="B1540" s="3" t="s">
        <v>1867</v>
      </c>
      <c r="C1540" s="3" t="s">
        <v>2716</v>
      </c>
      <c r="D1540" s="3" t="s">
        <v>2893</v>
      </c>
    </row>
    <row r="1541" customHeight="1" spans="1:4">
      <c r="A1541" s="3">
        <v>1540</v>
      </c>
      <c r="B1541" s="3" t="s">
        <v>1869</v>
      </c>
      <c r="C1541" s="3" t="s">
        <v>1721</v>
      </c>
      <c r="D1541" s="3" t="s">
        <v>2908</v>
      </c>
    </row>
    <row r="1542" customHeight="1" spans="1:4">
      <c r="A1542" s="3">
        <v>1541</v>
      </c>
      <c r="B1542" s="3" t="s">
        <v>291</v>
      </c>
      <c r="C1542" s="3" t="s">
        <v>2717</v>
      </c>
      <c r="D1542" s="3" t="s">
        <v>2893</v>
      </c>
    </row>
    <row r="1543" customHeight="1" spans="1:4">
      <c r="A1543" s="3">
        <v>1542</v>
      </c>
      <c r="B1543" s="3" t="s">
        <v>1872</v>
      </c>
      <c r="C1543" s="3" t="s">
        <v>2716</v>
      </c>
      <c r="D1543" s="3" t="s">
        <v>2893</v>
      </c>
    </row>
    <row r="1544" customHeight="1" spans="1:4">
      <c r="A1544" s="3">
        <v>1543</v>
      </c>
      <c r="B1544" s="3" t="s">
        <v>1874</v>
      </c>
      <c r="C1544" s="3" t="s">
        <v>2717</v>
      </c>
      <c r="D1544" s="3" t="s">
        <v>2893</v>
      </c>
    </row>
    <row r="1545" customHeight="1" spans="1:4">
      <c r="A1545" s="3">
        <v>1544</v>
      </c>
      <c r="B1545" s="3" t="s">
        <v>1876</v>
      </c>
      <c r="C1545" s="3" t="s">
        <v>1721</v>
      </c>
      <c r="D1545" s="3" t="s">
        <v>2889</v>
      </c>
    </row>
    <row r="1546" customHeight="1" spans="1:4">
      <c r="A1546" s="3"/>
      <c r="B1546" s="3"/>
      <c r="C1546" s="3"/>
      <c r="D1546" s="3"/>
    </row>
    <row r="1547" customHeight="1" spans="1:4">
      <c r="A1547" s="3"/>
      <c r="B1547" s="3"/>
      <c r="C1547" s="3"/>
      <c r="D1547" s="3"/>
    </row>
    <row r="1548" customHeight="1" spans="1:4">
      <c r="A1548" s="3"/>
      <c r="B1548" s="3"/>
      <c r="C1548" s="3"/>
      <c r="D1548" s="3"/>
    </row>
    <row r="1549" customHeight="1" spans="1:4">
      <c r="A1549" s="3"/>
      <c r="B1549" s="3"/>
      <c r="C1549" s="3"/>
      <c r="D1549" s="3"/>
    </row>
    <row r="1550" customHeight="1" spans="1:4">
      <c r="A1550" s="3"/>
      <c r="B1550" s="3"/>
      <c r="C1550" s="3"/>
      <c r="D1550" s="3"/>
    </row>
    <row r="1551" customHeight="1" spans="1:4">
      <c r="A1551" s="3"/>
      <c r="B1551" s="3"/>
      <c r="C1551" s="3"/>
      <c r="D1551" s="3"/>
    </row>
    <row r="1552" customHeight="1" spans="1:4">
      <c r="A1552" s="3"/>
      <c r="B1552" s="3"/>
      <c r="C1552" s="3"/>
      <c r="D1552" s="3"/>
    </row>
    <row r="1553" customHeight="1" spans="1:4">
      <c r="A1553" s="3"/>
      <c r="B1553" s="3"/>
      <c r="C1553" s="3"/>
      <c r="D1553" s="3"/>
    </row>
    <row r="1554" customHeight="1" spans="1:4">
      <c r="A1554" s="3"/>
      <c r="B1554" s="3"/>
      <c r="C1554" s="3"/>
      <c r="D1554" s="3"/>
    </row>
    <row r="1555" customHeight="1" spans="1:4">
      <c r="A1555" s="3"/>
      <c r="B1555" s="3"/>
      <c r="C1555" s="3"/>
      <c r="D1555" s="3"/>
    </row>
    <row r="1556" customHeight="1" spans="1:4">
      <c r="A1556" s="3"/>
      <c r="B1556" s="3"/>
      <c r="C1556" s="3"/>
      <c r="D1556" s="3"/>
    </row>
    <row r="1557" customHeight="1" spans="1:4">
      <c r="A1557" s="3"/>
      <c r="B1557" s="3"/>
      <c r="C1557" s="3"/>
      <c r="D1557" s="3"/>
    </row>
    <row r="1558" customHeight="1" spans="1:4">
      <c r="A1558" s="3"/>
      <c r="B1558" s="3"/>
      <c r="C1558" s="3"/>
      <c r="D1558" s="3"/>
    </row>
    <row r="1559" customHeight="1" spans="1:4">
      <c r="A1559" s="3"/>
      <c r="B1559" s="3"/>
      <c r="C1559" s="3"/>
      <c r="D1559" s="3"/>
    </row>
    <row r="1560" customHeight="1" spans="1:4">
      <c r="A1560" s="3"/>
      <c r="B1560" s="3"/>
      <c r="C1560" s="3"/>
      <c r="D1560" s="3"/>
    </row>
    <row r="1561" customHeight="1" spans="1:4">
      <c r="A1561" s="3"/>
      <c r="B1561" s="3"/>
      <c r="C1561" s="3"/>
      <c r="D1561" s="3"/>
    </row>
    <row r="1562" customHeight="1" spans="1:4">
      <c r="A1562" s="3"/>
      <c r="B1562" s="3"/>
      <c r="C1562" s="3"/>
      <c r="D1562" s="3"/>
    </row>
    <row r="1563" customHeight="1" spans="1:4">
      <c r="A1563" s="3"/>
      <c r="B1563" s="3"/>
      <c r="C1563" s="3"/>
      <c r="D1563" s="3"/>
    </row>
    <row r="1564" customHeight="1" spans="1:4">
      <c r="A1564" s="3"/>
      <c r="B1564" s="3"/>
      <c r="C1564" s="3"/>
      <c r="D1564" s="3"/>
    </row>
    <row r="1565" customHeight="1" spans="1:4">
      <c r="A1565" s="3"/>
      <c r="B1565" s="3"/>
      <c r="C1565" s="3"/>
      <c r="D1565" s="3"/>
    </row>
    <row r="1566" customHeight="1" spans="1:4">
      <c r="A1566" s="3"/>
      <c r="B1566" s="3"/>
      <c r="C1566" s="3"/>
      <c r="D1566" s="3"/>
    </row>
    <row r="1567" customHeight="1" spans="1:4">
      <c r="A1567" s="3"/>
      <c r="B1567" s="3"/>
      <c r="C1567" s="3"/>
      <c r="D1567" s="3"/>
    </row>
    <row r="1568" customHeight="1" spans="1:4">
      <c r="A1568" s="3"/>
      <c r="B1568" s="3"/>
      <c r="C1568" s="3"/>
      <c r="D1568" s="3"/>
    </row>
    <row r="1569" customHeight="1" spans="1:4">
      <c r="A1569" s="3"/>
      <c r="B1569" s="3"/>
      <c r="C1569" s="3"/>
      <c r="D1569" s="3"/>
    </row>
    <row r="1570" customHeight="1" spans="1:4">
      <c r="A1570" s="3"/>
      <c r="B1570" s="3"/>
      <c r="C1570" s="3"/>
      <c r="D1570" s="3"/>
    </row>
    <row r="1571" customHeight="1" spans="1:4">
      <c r="A1571" s="3"/>
      <c r="B1571" s="3"/>
      <c r="C1571" s="3"/>
      <c r="D1571" s="3"/>
    </row>
    <row r="1572" customHeight="1" spans="1:4">
      <c r="A1572" s="3"/>
      <c r="B1572" s="3"/>
      <c r="C1572" s="3"/>
      <c r="D1572" s="3"/>
    </row>
    <row r="1573" customHeight="1" spans="1:4">
      <c r="A1573" s="3"/>
      <c r="B1573" s="3"/>
      <c r="C1573" s="3"/>
      <c r="D1573" s="3"/>
    </row>
    <row r="1574" customHeight="1" spans="1:4">
      <c r="A1574" s="3"/>
      <c r="B1574" s="3"/>
      <c r="C1574" s="3"/>
      <c r="D1574" s="3"/>
    </row>
    <row r="1575" customHeight="1" spans="1:4">
      <c r="A1575" s="3"/>
      <c r="B1575" s="3"/>
      <c r="C1575" s="3"/>
      <c r="D1575" s="3"/>
    </row>
    <row r="1576" customHeight="1" spans="1:4">
      <c r="A1576" s="3"/>
      <c r="B1576" s="3"/>
      <c r="C1576" s="3"/>
      <c r="D1576" s="3"/>
    </row>
    <row r="1577" customHeight="1" spans="1:4">
      <c r="A1577" s="3"/>
      <c r="B1577" s="3"/>
      <c r="C1577" s="3"/>
      <c r="D1577" s="3"/>
    </row>
    <row r="1578" customHeight="1" spans="1:4">
      <c r="A1578" s="3"/>
      <c r="B1578" s="3"/>
      <c r="C1578" s="3"/>
      <c r="D1578" s="3"/>
    </row>
    <row r="1579" customHeight="1" spans="1:4">
      <c r="A1579" s="3"/>
      <c r="B1579" s="3"/>
      <c r="C1579" s="3"/>
      <c r="D1579" s="3"/>
    </row>
    <row r="1580" customHeight="1" spans="1:4">
      <c r="A1580" s="3"/>
      <c r="B1580" s="3"/>
      <c r="C1580" s="3"/>
      <c r="D1580" s="3"/>
    </row>
    <row r="1581" customHeight="1" spans="1:4">
      <c r="A1581" s="3"/>
      <c r="B1581" s="3"/>
      <c r="C1581" s="3"/>
      <c r="D1581" s="3"/>
    </row>
    <row r="1582" customHeight="1" spans="1:4">
      <c r="A1582" s="3"/>
      <c r="B1582" s="3"/>
      <c r="C1582" s="3"/>
      <c r="D1582" s="3"/>
    </row>
    <row r="1583" customHeight="1" spans="1:4">
      <c r="A1583" s="3"/>
      <c r="B1583" s="3"/>
      <c r="C1583" s="3"/>
      <c r="D1583" s="3"/>
    </row>
    <row r="1584" customHeight="1" spans="1:4">
      <c r="A1584" s="3"/>
      <c r="B1584" s="3"/>
      <c r="C1584" s="3"/>
      <c r="D1584" s="3"/>
    </row>
    <row r="1585" customHeight="1" spans="1:4">
      <c r="A1585" s="3"/>
      <c r="B1585" s="3"/>
      <c r="C1585" s="3"/>
      <c r="D1585" s="3"/>
    </row>
    <row r="1586" customHeight="1" spans="1:4">
      <c r="A1586" s="3"/>
      <c r="B1586" s="3"/>
      <c r="C1586" s="3"/>
      <c r="D1586" s="3"/>
    </row>
    <row r="1587" customHeight="1" spans="1:4">
      <c r="A1587" s="3"/>
      <c r="B1587" s="3"/>
      <c r="C1587" s="3"/>
      <c r="D1587" s="3"/>
    </row>
    <row r="1588" customHeight="1" spans="1:4">
      <c r="A1588" s="3"/>
      <c r="B1588" s="3"/>
      <c r="C1588" s="3"/>
      <c r="D1588" s="3"/>
    </row>
    <row r="1589" customHeight="1" spans="1:4">
      <c r="A1589" s="3"/>
      <c r="B1589" s="3"/>
      <c r="C1589" s="3"/>
      <c r="D1589" s="3"/>
    </row>
    <row r="1590" customHeight="1" spans="1:4">
      <c r="A1590" s="3"/>
      <c r="B1590" s="3"/>
      <c r="C1590" s="3"/>
      <c r="D1590" s="3"/>
    </row>
    <row r="1591" customHeight="1" spans="1:4">
      <c r="A1591" s="3"/>
      <c r="B1591" s="3"/>
      <c r="C1591" s="3"/>
      <c r="D1591" s="3"/>
    </row>
    <row r="1592" customHeight="1" spans="1:4">
      <c r="A1592" s="3"/>
      <c r="B1592" s="3"/>
      <c r="C1592" s="3"/>
      <c r="D1592" s="3"/>
    </row>
    <row r="1593" customHeight="1" spans="1:4">
      <c r="A1593" s="3"/>
      <c r="B1593" s="3"/>
      <c r="C1593" s="3"/>
      <c r="D1593" s="3"/>
    </row>
    <row r="1594" customHeight="1" spans="1:4">
      <c r="A1594" s="3"/>
      <c r="B1594" s="3"/>
      <c r="C1594" s="3"/>
      <c r="D1594" s="3"/>
    </row>
    <row r="1595" customHeight="1" spans="1:4">
      <c r="A1595" s="3"/>
      <c r="B1595" s="3"/>
      <c r="C1595" s="3"/>
      <c r="D1595" s="3"/>
    </row>
    <row r="1596" customHeight="1" spans="1:4">
      <c r="A1596" s="3"/>
      <c r="B1596" s="3"/>
      <c r="C1596" s="3"/>
      <c r="D1596" s="3"/>
    </row>
    <row r="1597" customHeight="1" spans="1:4">
      <c r="A1597" s="3"/>
      <c r="B1597" s="3"/>
      <c r="C1597" s="3"/>
      <c r="D1597" s="3"/>
    </row>
    <row r="1598" customHeight="1" spans="1:4">
      <c r="A1598" s="3"/>
      <c r="B1598" s="3"/>
      <c r="C1598" s="3"/>
      <c r="D1598" s="3"/>
    </row>
    <row r="1599" customHeight="1" spans="1:4">
      <c r="A1599" s="3"/>
      <c r="B1599" s="3"/>
      <c r="C1599" s="3"/>
      <c r="D1599" s="3"/>
    </row>
    <row r="1600" customHeight="1" spans="1:4">
      <c r="A1600" s="3"/>
      <c r="B1600" s="3"/>
      <c r="C1600" s="3"/>
      <c r="D1600" s="3"/>
    </row>
    <row r="1601" customHeight="1" spans="1:4">
      <c r="A1601" s="3"/>
      <c r="B1601" s="3"/>
      <c r="C1601" s="3"/>
      <c r="D1601" s="3"/>
    </row>
    <row r="1602" customHeight="1" spans="1:4">
      <c r="A1602" s="3"/>
      <c r="B1602" s="3"/>
      <c r="C1602" s="3"/>
      <c r="D1602" s="3"/>
    </row>
    <row r="1603" customHeight="1" spans="1:4">
      <c r="A1603" s="3"/>
      <c r="B1603" s="3"/>
      <c r="C1603" s="3"/>
      <c r="D1603" s="3"/>
    </row>
    <row r="1604" customHeight="1" spans="1:4">
      <c r="A1604" s="3"/>
      <c r="B1604" s="3"/>
      <c r="C1604" s="3"/>
      <c r="D1604" s="3"/>
    </row>
    <row r="1605" customHeight="1" spans="1:4">
      <c r="A1605" s="3"/>
      <c r="B1605" s="3"/>
      <c r="C1605" s="3"/>
      <c r="D1605" s="3"/>
    </row>
    <row r="1606" customHeight="1" spans="1:4">
      <c r="A1606" s="3"/>
      <c r="B1606" s="3"/>
      <c r="C1606" s="3"/>
      <c r="D1606" s="3"/>
    </row>
    <row r="1607" customHeight="1" spans="1:4">
      <c r="A1607" s="3"/>
      <c r="B1607" s="3"/>
      <c r="C1607" s="3"/>
      <c r="D1607" s="3"/>
    </row>
    <row r="1608" customHeight="1" spans="1:4">
      <c r="A1608" s="3"/>
      <c r="B1608" s="3"/>
      <c r="C1608" s="3"/>
      <c r="D1608" s="3"/>
    </row>
    <row r="1609" customHeight="1" spans="1:4">
      <c r="A1609" s="3"/>
      <c r="B1609" s="3"/>
      <c r="C1609" s="3"/>
      <c r="D1609" s="3"/>
    </row>
    <row r="1610" customHeight="1" spans="1:4">
      <c r="A1610" s="3"/>
      <c r="B1610" s="3"/>
      <c r="C1610" s="3"/>
      <c r="D1610" s="3"/>
    </row>
    <row r="1611" customHeight="1" spans="1:4">
      <c r="A1611" s="3"/>
      <c r="B1611" s="3"/>
      <c r="C1611" s="3"/>
      <c r="D1611" s="3"/>
    </row>
    <row r="1612" customHeight="1" spans="1:4">
      <c r="A1612" s="3"/>
      <c r="B1612" s="3"/>
      <c r="C1612" s="3"/>
      <c r="D1612" s="3"/>
    </row>
    <row r="1613" customHeight="1" spans="1:4">
      <c r="A1613" s="3"/>
      <c r="B1613" s="3"/>
      <c r="C1613" s="3"/>
      <c r="D1613" s="3"/>
    </row>
    <row r="1614" customHeight="1" spans="1:4">
      <c r="A1614" s="3"/>
      <c r="B1614" s="3"/>
      <c r="C1614" s="3"/>
      <c r="D1614" s="3"/>
    </row>
    <row r="1615" customHeight="1" spans="1:4">
      <c r="A1615" s="3"/>
      <c r="B1615" s="3"/>
      <c r="C1615" s="3"/>
      <c r="D1615" s="3"/>
    </row>
    <row r="1616" customHeight="1" spans="1:4">
      <c r="A1616" s="3"/>
      <c r="B1616" s="3"/>
      <c r="C1616" s="3"/>
      <c r="D1616" s="3"/>
    </row>
    <row r="1617" customHeight="1" spans="1:4">
      <c r="A1617" s="3"/>
      <c r="B1617" s="3"/>
      <c r="C1617" s="3"/>
      <c r="D1617" s="3"/>
    </row>
    <row r="1618" customHeight="1" spans="1:4">
      <c r="A1618" s="3"/>
      <c r="B1618" s="3"/>
      <c r="C1618" s="3"/>
      <c r="D1618" s="3"/>
    </row>
    <row r="1619" customHeight="1" spans="1:4">
      <c r="A1619" s="3"/>
      <c r="B1619" s="3"/>
      <c r="C1619" s="3"/>
      <c r="D1619" s="3"/>
    </row>
    <row r="1620" customHeight="1" spans="1:4">
      <c r="A1620" s="3"/>
      <c r="B1620" s="3"/>
      <c r="C1620" s="3"/>
      <c r="D1620" s="3"/>
    </row>
    <row r="1621" customHeight="1" spans="1:4">
      <c r="A1621" s="3"/>
      <c r="B1621" s="3"/>
      <c r="C1621" s="3"/>
      <c r="D1621" s="3"/>
    </row>
    <row r="1622" customHeight="1" spans="1:4">
      <c r="A1622" s="3"/>
      <c r="B1622" s="3"/>
      <c r="C1622" s="3"/>
      <c r="D1622" s="3"/>
    </row>
    <row r="1623" customHeight="1" spans="1:4">
      <c r="A1623" s="3"/>
      <c r="B1623" s="3"/>
      <c r="C1623" s="3"/>
      <c r="D1623" s="3"/>
    </row>
    <row r="1624" customHeight="1" spans="1:4">
      <c r="A1624" s="3"/>
      <c r="B1624" s="3"/>
      <c r="C1624" s="3"/>
      <c r="D1624" s="3"/>
    </row>
    <row r="1625" customHeight="1" spans="1:4">
      <c r="A1625" s="3"/>
      <c r="B1625" s="3"/>
      <c r="C1625" s="3"/>
      <c r="D1625" s="3"/>
    </row>
    <row r="1626" customHeight="1" spans="1:4">
      <c r="A1626" s="3"/>
      <c r="B1626" s="3"/>
      <c r="C1626" s="3"/>
      <c r="D1626" s="3"/>
    </row>
    <row r="1627" customHeight="1" spans="1:4">
      <c r="A1627" s="3"/>
      <c r="B1627" s="3"/>
      <c r="C1627" s="3"/>
      <c r="D1627" s="3"/>
    </row>
    <row r="1628" customHeight="1" spans="1:4">
      <c r="A1628" s="3"/>
      <c r="B1628" s="3"/>
      <c r="C1628" s="3"/>
      <c r="D1628" s="3"/>
    </row>
    <row r="1629" customHeight="1" spans="1:4">
      <c r="A1629" s="3"/>
      <c r="B1629" s="3"/>
      <c r="C1629" s="3"/>
      <c r="D1629" s="3"/>
    </row>
    <row r="1630" customHeight="1" spans="1:4">
      <c r="A1630" s="3"/>
      <c r="B1630" s="3"/>
      <c r="C1630" s="3"/>
      <c r="D1630" s="3"/>
    </row>
    <row r="1631" customHeight="1" spans="1:4">
      <c r="A1631" s="3"/>
      <c r="B1631" s="3"/>
      <c r="C1631" s="3"/>
      <c r="D1631" s="3"/>
    </row>
    <row r="1632" customHeight="1" spans="1:4">
      <c r="A1632" s="3"/>
      <c r="B1632" s="3"/>
      <c r="C1632" s="3"/>
      <c r="D1632" s="3"/>
    </row>
    <row r="1633" customHeight="1" spans="1:4">
      <c r="A1633" s="3"/>
      <c r="B1633" s="3"/>
      <c r="C1633" s="3"/>
      <c r="D1633" s="3"/>
    </row>
    <row r="1634" customHeight="1" spans="1:4">
      <c r="A1634" s="3"/>
      <c r="B1634" s="3"/>
      <c r="C1634" s="3"/>
      <c r="D1634" s="3"/>
    </row>
    <row r="1635" customHeight="1" spans="1:4">
      <c r="A1635" s="3"/>
      <c r="B1635" s="3"/>
      <c r="C1635" s="3"/>
      <c r="D1635" s="3"/>
    </row>
    <row r="1636" customHeight="1" spans="1:4">
      <c r="A1636" s="3"/>
      <c r="B1636" s="3"/>
      <c r="C1636" s="3"/>
      <c r="D1636" s="3"/>
    </row>
    <row r="1637" customHeight="1" spans="1:4">
      <c r="A1637" s="3"/>
      <c r="B1637" s="3"/>
      <c r="C1637" s="3"/>
      <c r="D1637" s="3"/>
    </row>
    <row r="1638" customHeight="1" spans="1:4">
      <c r="A1638" s="3"/>
      <c r="B1638" s="3"/>
      <c r="C1638" s="3"/>
      <c r="D1638" s="3"/>
    </row>
    <row r="1639" customHeight="1" spans="1:4">
      <c r="A1639" s="3"/>
      <c r="B1639" s="3"/>
      <c r="C1639" s="3"/>
      <c r="D1639" s="3"/>
    </row>
    <row r="1640" customHeight="1" spans="1:4">
      <c r="A1640" s="3"/>
      <c r="B1640" s="3"/>
      <c r="C1640" s="3"/>
      <c r="D1640" s="3"/>
    </row>
    <row r="1641" customHeight="1" spans="1:4">
      <c r="A1641" s="3"/>
      <c r="B1641" s="3"/>
      <c r="C1641" s="3"/>
      <c r="D1641" s="3"/>
    </row>
    <row r="1642" customHeight="1" spans="1:4">
      <c r="A1642" s="3"/>
      <c r="B1642" s="3"/>
      <c r="C1642" s="3"/>
      <c r="D1642" s="3"/>
    </row>
    <row r="1643" customHeight="1" spans="1:4">
      <c r="A1643" s="3"/>
      <c r="B1643" s="3"/>
      <c r="C1643" s="3"/>
      <c r="D1643" s="3"/>
    </row>
    <row r="1644" customHeight="1" spans="1:4">
      <c r="A1644" s="3"/>
      <c r="B1644" s="3"/>
      <c r="C1644" s="3"/>
      <c r="D1644" s="3"/>
    </row>
    <row r="1645" customHeight="1" spans="1:4">
      <c r="A1645" s="3"/>
      <c r="B1645" s="3"/>
      <c r="C1645" s="3"/>
      <c r="D1645" s="3"/>
    </row>
    <row r="1646" customHeight="1" spans="1:4">
      <c r="A1646" s="3"/>
      <c r="B1646" s="3"/>
      <c r="C1646" s="3"/>
      <c r="D1646" s="3"/>
    </row>
    <row r="1647" customHeight="1" spans="1:4">
      <c r="A1647" s="3"/>
      <c r="B1647" s="3"/>
      <c r="C1647" s="3"/>
      <c r="D1647" s="3"/>
    </row>
    <row r="1648" customHeight="1" spans="1:4">
      <c r="A1648" s="3"/>
      <c r="B1648" s="3"/>
      <c r="C1648" s="3"/>
      <c r="D1648" s="3"/>
    </row>
    <row r="1649" customHeight="1" spans="1:4">
      <c r="A1649" s="3"/>
      <c r="B1649" s="3"/>
      <c r="C1649" s="3"/>
      <c r="D1649" s="3"/>
    </row>
    <row r="1650" customHeight="1" spans="1:4">
      <c r="A1650" s="3"/>
      <c r="B1650" s="3"/>
      <c r="C1650" s="3"/>
      <c r="D1650" s="3"/>
    </row>
    <row r="1651" customHeight="1" spans="1:4">
      <c r="A1651" s="3"/>
      <c r="B1651" s="3"/>
      <c r="C1651" s="3"/>
      <c r="D1651" s="3"/>
    </row>
    <row r="1652" customHeight="1" spans="1:4">
      <c r="A1652" s="3"/>
      <c r="B1652" s="3"/>
      <c r="C1652" s="3"/>
      <c r="D1652" s="3"/>
    </row>
    <row r="1653" customHeight="1" spans="1:4">
      <c r="A1653" s="3"/>
      <c r="B1653" s="3"/>
      <c r="C1653" s="3"/>
      <c r="D1653" s="3"/>
    </row>
    <row r="1654" customHeight="1" spans="1:4">
      <c r="A1654" s="3"/>
      <c r="B1654" s="3"/>
      <c r="C1654" s="3"/>
      <c r="D1654" s="3"/>
    </row>
    <row r="1655" customHeight="1" spans="1:4">
      <c r="A1655" s="3"/>
      <c r="B1655" s="3"/>
      <c r="C1655" s="3"/>
      <c r="D1655" s="3"/>
    </row>
    <row r="1656" customHeight="1" spans="1:4">
      <c r="A1656" s="3"/>
      <c r="B1656" s="3"/>
      <c r="C1656" s="3"/>
      <c r="D1656" s="3"/>
    </row>
    <row r="1657" customHeight="1" spans="1:4">
      <c r="A1657" s="3"/>
      <c r="B1657" s="3"/>
      <c r="C1657" s="3"/>
      <c r="D1657" s="3"/>
    </row>
    <row r="1658" customHeight="1" spans="1:4">
      <c r="A1658" s="3"/>
      <c r="B1658" s="3"/>
      <c r="C1658" s="3"/>
      <c r="D1658" s="3"/>
    </row>
    <row r="1659" customHeight="1" spans="1:4">
      <c r="A1659" s="3"/>
      <c r="B1659" s="3"/>
      <c r="C1659" s="3"/>
      <c r="D1659" s="3"/>
    </row>
    <row r="1660" customHeight="1" spans="1:4">
      <c r="A1660" s="3"/>
      <c r="B1660" s="3"/>
      <c r="C1660" s="3"/>
      <c r="D1660" s="3"/>
    </row>
    <row r="1661" customHeight="1" spans="1:4">
      <c r="A1661" s="3"/>
      <c r="B1661" s="3"/>
      <c r="C1661" s="3"/>
      <c r="D1661" s="3"/>
    </row>
    <row r="1662" customHeight="1" spans="1:4">
      <c r="A1662" s="3"/>
      <c r="B1662" s="3"/>
      <c r="C1662" s="3"/>
      <c r="D1662" s="3"/>
    </row>
    <row r="1663" customHeight="1" spans="1:4">
      <c r="A1663" s="3"/>
      <c r="B1663" s="3"/>
      <c r="C1663" s="3"/>
      <c r="D1663" s="3"/>
    </row>
    <row r="1664" customHeight="1" spans="1:4">
      <c r="A1664" s="3"/>
      <c r="B1664" s="3"/>
      <c r="C1664" s="3"/>
      <c r="D1664" s="3"/>
    </row>
    <row r="1665" customHeight="1" spans="1:4">
      <c r="A1665" s="3"/>
      <c r="B1665" s="3"/>
      <c r="C1665" s="3"/>
      <c r="D1665" s="3"/>
    </row>
    <row r="1666" customHeight="1" spans="1:4">
      <c r="A1666" s="3"/>
      <c r="B1666" s="3"/>
      <c r="C1666" s="3"/>
      <c r="D1666" s="3"/>
    </row>
    <row r="1667" customHeight="1" spans="1:4">
      <c r="A1667" s="3"/>
      <c r="B1667" s="3"/>
      <c r="C1667" s="3"/>
      <c r="D1667" s="3"/>
    </row>
    <row r="1668" customHeight="1" spans="1:4">
      <c r="A1668" s="3"/>
      <c r="B1668" s="3"/>
      <c r="C1668" s="3"/>
      <c r="D1668" s="3"/>
    </row>
    <row r="1669" customHeight="1" spans="1:4">
      <c r="A1669" s="3"/>
      <c r="B1669" s="3"/>
      <c r="C1669" s="3"/>
      <c r="D1669" s="3"/>
    </row>
    <row r="1670" customHeight="1" spans="1:4">
      <c r="A1670" s="3"/>
      <c r="B1670" s="3"/>
      <c r="C1670" s="3"/>
      <c r="D1670" s="3"/>
    </row>
    <row r="1671" customHeight="1" spans="1:4">
      <c r="A1671" s="3"/>
      <c r="B1671" s="3"/>
      <c r="C1671" s="3"/>
      <c r="D1671" s="3"/>
    </row>
    <row r="1672" customHeight="1" spans="1:4">
      <c r="A1672" s="3"/>
      <c r="B1672" s="3"/>
      <c r="C1672" s="3"/>
      <c r="D1672" s="3"/>
    </row>
    <row r="1673" customHeight="1" spans="1:4">
      <c r="A1673" s="3"/>
      <c r="B1673" s="3"/>
      <c r="C1673" s="3"/>
      <c r="D1673" s="3"/>
    </row>
    <row r="1674" customHeight="1" spans="1:4">
      <c r="A1674" s="3"/>
      <c r="B1674" s="3"/>
      <c r="C1674" s="3"/>
      <c r="D1674" s="3"/>
    </row>
    <row r="1675" customHeight="1" spans="1:4">
      <c r="A1675" s="3"/>
      <c r="B1675" s="3"/>
      <c r="C1675" s="3"/>
      <c r="D1675" s="3"/>
    </row>
    <row r="1676" customHeight="1" spans="1:4">
      <c r="A1676" s="3"/>
      <c r="B1676" s="3"/>
      <c r="C1676" s="3"/>
      <c r="D1676" s="3"/>
    </row>
    <row r="1677" customHeight="1" spans="1:4">
      <c r="A1677" s="3"/>
      <c r="B1677" s="3"/>
      <c r="C1677" s="3"/>
      <c r="D1677" s="3"/>
    </row>
    <row r="1678" customHeight="1" spans="1:4">
      <c r="A1678" s="3"/>
      <c r="B1678" s="3"/>
      <c r="C1678" s="3"/>
      <c r="D1678" s="3"/>
    </row>
    <row r="1679" customHeight="1" spans="1:4">
      <c r="A1679" s="3"/>
      <c r="B1679" s="3"/>
      <c r="C1679" s="3"/>
      <c r="D1679" s="3"/>
    </row>
    <row r="1680" customHeight="1" spans="1:4">
      <c r="A1680" s="3"/>
      <c r="B1680" s="3"/>
      <c r="C1680" s="3"/>
      <c r="D1680" s="3"/>
    </row>
    <row r="1681" customHeight="1" spans="1:4">
      <c r="A1681" s="3"/>
      <c r="B1681" s="3"/>
      <c r="C1681" s="3"/>
      <c r="D1681" s="3"/>
    </row>
    <row r="1682" customHeight="1" spans="1:4">
      <c r="A1682" s="3"/>
      <c r="B1682" s="3"/>
      <c r="C1682" s="3"/>
      <c r="D1682" s="3"/>
    </row>
    <row r="1683" customHeight="1" spans="1:4">
      <c r="A1683" s="3"/>
      <c r="B1683" s="3"/>
      <c r="C1683" s="3"/>
      <c r="D1683" s="3"/>
    </row>
    <row r="1684" customHeight="1" spans="1:4">
      <c r="A1684" s="3"/>
      <c r="B1684" s="3"/>
      <c r="C1684" s="3"/>
      <c r="D1684" s="3"/>
    </row>
    <row r="1685" customHeight="1" spans="1:4">
      <c r="A1685" s="3"/>
      <c r="B1685" s="3"/>
      <c r="C1685" s="3"/>
      <c r="D1685" s="3"/>
    </row>
    <row r="1686" customHeight="1" spans="1:4">
      <c r="A1686" s="3"/>
      <c r="B1686" s="3"/>
      <c r="C1686" s="3"/>
      <c r="D1686" s="3"/>
    </row>
    <row r="1687" customHeight="1" spans="1:4">
      <c r="A1687" s="3"/>
      <c r="B1687" s="3"/>
      <c r="C1687" s="3"/>
      <c r="D1687" s="3"/>
    </row>
    <row r="1688" customHeight="1" spans="1:4">
      <c r="A1688" s="3"/>
      <c r="B1688" s="3"/>
      <c r="C1688" s="3"/>
      <c r="D1688" s="3"/>
    </row>
    <row r="1689" customHeight="1" spans="1:4">
      <c r="A1689" s="3"/>
      <c r="B1689" s="3"/>
      <c r="C1689" s="3"/>
      <c r="D1689" s="3"/>
    </row>
    <row r="1690" customHeight="1" spans="1:4">
      <c r="A1690" s="3"/>
      <c r="B1690" s="3"/>
      <c r="C1690" s="3"/>
      <c r="D1690" s="3"/>
    </row>
    <row r="1691" customHeight="1" spans="1:4">
      <c r="A1691" s="3"/>
      <c r="B1691" s="3"/>
      <c r="C1691" s="3"/>
      <c r="D1691" s="3"/>
    </row>
    <row r="1692" customHeight="1" spans="1:4">
      <c r="A1692" s="3"/>
      <c r="B1692" s="3"/>
      <c r="C1692" s="3"/>
      <c r="D1692" s="3"/>
    </row>
    <row r="1693" customHeight="1" spans="1:4">
      <c r="A1693" s="3"/>
      <c r="B1693" s="3"/>
      <c r="C1693" s="3"/>
      <c r="D1693" s="3"/>
    </row>
    <row r="1694" customHeight="1" spans="1:4">
      <c r="A1694" s="3"/>
      <c r="B1694" s="3"/>
      <c r="C1694" s="3"/>
      <c r="D1694" s="3"/>
    </row>
    <row r="1695" customHeight="1" spans="1:4">
      <c r="A1695" s="3"/>
      <c r="B1695" s="3"/>
      <c r="C1695" s="3"/>
      <c r="D1695" s="3"/>
    </row>
    <row r="1696" customHeight="1" spans="1:4">
      <c r="A1696" s="3"/>
      <c r="B1696" s="3"/>
      <c r="C1696" s="3"/>
      <c r="D1696" s="3"/>
    </row>
    <row r="1697" customHeight="1" spans="1:4">
      <c r="A1697" s="3"/>
      <c r="B1697" s="3"/>
      <c r="C1697" s="3"/>
      <c r="D1697" s="3"/>
    </row>
    <row r="1698" customHeight="1" spans="1:4">
      <c r="A1698" s="3"/>
      <c r="B1698" s="3"/>
      <c r="C1698" s="3"/>
      <c r="D1698" s="3"/>
    </row>
    <row r="1699" customHeight="1" spans="1:4">
      <c r="A1699" s="3"/>
      <c r="B1699" s="3"/>
      <c r="C1699" s="3"/>
      <c r="D1699" s="3"/>
    </row>
    <row r="1700" customHeight="1" spans="1:4">
      <c r="A1700" s="3"/>
      <c r="B1700" s="3"/>
      <c r="C1700" s="3"/>
      <c r="D1700" s="3"/>
    </row>
    <row r="1701" customHeight="1" spans="1:4">
      <c r="A1701" s="3"/>
      <c r="B1701" s="3"/>
      <c r="C1701" s="3"/>
      <c r="D1701" s="3"/>
    </row>
    <row r="1702" customHeight="1" spans="1:4">
      <c r="A1702" s="3"/>
      <c r="B1702" s="3"/>
      <c r="C1702" s="3"/>
      <c r="D1702" s="3"/>
    </row>
    <row r="1703" customHeight="1" spans="1:4">
      <c r="A1703" s="3"/>
      <c r="B1703" s="3"/>
      <c r="C1703" s="3"/>
      <c r="D1703" s="3"/>
    </row>
    <row r="1704" customHeight="1" spans="1:4">
      <c r="A1704" s="3"/>
      <c r="B1704" s="3"/>
      <c r="C1704" s="3"/>
      <c r="D1704" s="3"/>
    </row>
    <row r="1705" customHeight="1" spans="1:4">
      <c r="A1705" s="3"/>
      <c r="B1705" s="3"/>
      <c r="C1705" s="3"/>
      <c r="D1705" s="3"/>
    </row>
    <row r="1706" customHeight="1" spans="1:4">
      <c r="A1706" s="3"/>
      <c r="B1706" s="3"/>
      <c r="C1706" s="3"/>
      <c r="D1706" s="3"/>
    </row>
    <row r="1707" customHeight="1" spans="1:4">
      <c r="A1707" s="3"/>
      <c r="B1707" s="3"/>
      <c r="C1707" s="3"/>
      <c r="D1707" s="3"/>
    </row>
    <row r="1708" customHeight="1" spans="1:4">
      <c r="A1708" s="3"/>
      <c r="B1708" s="3"/>
      <c r="C1708" s="3"/>
      <c r="D1708" s="3"/>
    </row>
    <row r="1709" customHeight="1" spans="1:4">
      <c r="A1709" s="3"/>
      <c r="B1709" s="3"/>
      <c r="C1709" s="3"/>
      <c r="D1709" s="3"/>
    </row>
    <row r="1710" customHeight="1" spans="1:4">
      <c r="A1710" s="3"/>
      <c r="B1710" s="3"/>
      <c r="C1710" s="3"/>
      <c r="D1710" s="3"/>
    </row>
    <row r="1711" customHeight="1" spans="1:4">
      <c r="A1711" s="3"/>
      <c r="B1711" s="3"/>
      <c r="C1711" s="3"/>
      <c r="D1711" s="3"/>
    </row>
    <row r="1712" customHeight="1" spans="1:4">
      <c r="A1712" s="3"/>
      <c r="B1712" s="3"/>
      <c r="C1712" s="3"/>
      <c r="D1712" s="3"/>
    </row>
    <row r="1713" customHeight="1" spans="1:4">
      <c r="A1713" s="3"/>
      <c r="B1713" s="3"/>
      <c r="C1713" s="3"/>
      <c r="D1713" s="3"/>
    </row>
    <row r="1714" customHeight="1" spans="1:4">
      <c r="A1714" s="3"/>
      <c r="B1714" s="3"/>
      <c r="C1714" s="3"/>
      <c r="D1714" s="3"/>
    </row>
    <row r="1715" customHeight="1" spans="1:4">
      <c r="A1715" s="3"/>
      <c r="B1715" s="3"/>
      <c r="C1715" s="3"/>
      <c r="D1715" s="3"/>
    </row>
    <row r="1716" customHeight="1" spans="1:4">
      <c r="A1716" s="3"/>
      <c r="B1716" s="3"/>
      <c r="C1716" s="3"/>
      <c r="D1716" s="3"/>
    </row>
    <row r="1717" customHeight="1" spans="1:4">
      <c r="A1717" s="3"/>
      <c r="B1717" s="3"/>
      <c r="C1717" s="3"/>
      <c r="D1717" s="3"/>
    </row>
    <row r="1718" customHeight="1" spans="1:4">
      <c r="A1718" s="3"/>
      <c r="B1718" s="3"/>
      <c r="C1718" s="3"/>
      <c r="D1718" s="3"/>
    </row>
    <row r="1719" customHeight="1" spans="1:4">
      <c r="A1719" s="3"/>
      <c r="B1719" s="3"/>
      <c r="C1719" s="3"/>
      <c r="D1719" s="3"/>
    </row>
    <row r="1720" customHeight="1" spans="1:4">
      <c r="A1720" s="3"/>
      <c r="B1720" s="3"/>
      <c r="C1720" s="3"/>
      <c r="D1720" s="3"/>
    </row>
    <row r="1721" customHeight="1" spans="1:4">
      <c r="A1721" s="3"/>
      <c r="B1721" s="3"/>
      <c r="C1721" s="3"/>
      <c r="D1721" s="3"/>
    </row>
    <row r="1722" customHeight="1" spans="1:4">
      <c r="A1722" s="3"/>
      <c r="B1722" s="3"/>
      <c r="C1722" s="3"/>
      <c r="D1722" s="3"/>
    </row>
    <row r="1723" customHeight="1" spans="1:4">
      <c r="A1723" s="3"/>
      <c r="B1723" s="3"/>
      <c r="C1723" s="3"/>
      <c r="D1723" s="3"/>
    </row>
    <row r="1724" customHeight="1" spans="1:4">
      <c r="A1724" s="3"/>
      <c r="B1724" s="3"/>
      <c r="C1724" s="3"/>
      <c r="D1724" s="3"/>
    </row>
    <row r="1725" customHeight="1" spans="1:4">
      <c r="A1725" s="3"/>
      <c r="B1725" s="3"/>
      <c r="C1725" s="3"/>
      <c r="D1725" s="3"/>
    </row>
    <row r="1726" customHeight="1" spans="1:4">
      <c r="A1726" s="3"/>
      <c r="B1726" s="3"/>
      <c r="C1726" s="3"/>
      <c r="D1726" s="3"/>
    </row>
    <row r="1727" customHeight="1" spans="1:4">
      <c r="A1727" s="3"/>
      <c r="B1727" s="3"/>
      <c r="C1727" s="3"/>
      <c r="D1727" s="3"/>
    </row>
    <row r="1728" customHeight="1" spans="1:4">
      <c r="A1728" s="3"/>
      <c r="B1728" s="3"/>
      <c r="C1728" s="3"/>
      <c r="D1728" s="3"/>
    </row>
    <row r="1729" customHeight="1" spans="1:4">
      <c r="A1729" s="3"/>
      <c r="B1729" s="3"/>
      <c r="C1729" s="3"/>
      <c r="D1729" s="3"/>
    </row>
    <row r="1730" customHeight="1" spans="1:4">
      <c r="A1730" s="3"/>
      <c r="B1730" s="3"/>
      <c r="C1730" s="3"/>
      <c r="D1730" s="3"/>
    </row>
    <row r="1731" customHeight="1" spans="1:4">
      <c r="A1731" s="3"/>
      <c r="B1731" s="3"/>
      <c r="C1731" s="3"/>
      <c r="D1731" s="3"/>
    </row>
    <row r="1732" customHeight="1" spans="1:4">
      <c r="A1732" s="3"/>
      <c r="B1732" s="3"/>
      <c r="C1732" s="3"/>
      <c r="D1732" s="3"/>
    </row>
    <row r="1733" customHeight="1" spans="1:4">
      <c r="A1733" s="3"/>
      <c r="B1733" s="3"/>
      <c r="C1733" s="3"/>
      <c r="D1733" s="3"/>
    </row>
    <row r="1734" customHeight="1" spans="1:4">
      <c r="A1734" s="3"/>
      <c r="B1734" s="3"/>
      <c r="C1734" s="3"/>
      <c r="D1734" s="3"/>
    </row>
    <row r="1735" customHeight="1" spans="1:4">
      <c r="A1735" s="3"/>
      <c r="B1735" s="3"/>
      <c r="C1735" s="3"/>
      <c r="D1735" s="3"/>
    </row>
    <row r="1736" customHeight="1" spans="1:4">
      <c r="A1736" s="3"/>
      <c r="B1736" s="3"/>
      <c r="C1736" s="3"/>
      <c r="D1736" s="3"/>
    </row>
    <row r="1737" customHeight="1" spans="1:4">
      <c r="A1737" s="3"/>
      <c r="B1737" s="3"/>
      <c r="C1737" s="3"/>
      <c r="D1737" s="3"/>
    </row>
    <row r="1738" customHeight="1" spans="1:4">
      <c r="A1738" s="3"/>
      <c r="B1738" s="3"/>
      <c r="C1738" s="3"/>
      <c r="D1738" s="3"/>
    </row>
    <row r="1739" customHeight="1" spans="1:4">
      <c r="A1739" s="3"/>
      <c r="B1739" s="3"/>
      <c r="C1739" s="3"/>
      <c r="D1739" s="3"/>
    </row>
    <row r="1740" customHeight="1" spans="1:4">
      <c r="A1740" s="3"/>
      <c r="B1740" s="3"/>
      <c r="C1740" s="3"/>
      <c r="D1740" s="3"/>
    </row>
    <row r="1741" customHeight="1" spans="1:4">
      <c r="A1741" s="3"/>
      <c r="B1741" s="3"/>
      <c r="C1741" s="3"/>
      <c r="D1741" s="3"/>
    </row>
    <row r="1742" customHeight="1" spans="1:4">
      <c r="A1742" s="3"/>
      <c r="B1742" s="3"/>
      <c r="C1742" s="3"/>
      <c r="D1742" s="3"/>
    </row>
    <row r="1743" customHeight="1" spans="1:4">
      <c r="A1743" s="3"/>
      <c r="B1743" s="3"/>
      <c r="C1743" s="3"/>
      <c r="D1743" s="3"/>
    </row>
    <row r="1744" customHeight="1" spans="1:4">
      <c r="A1744" s="3"/>
      <c r="B1744" s="3"/>
      <c r="C1744" s="3"/>
      <c r="D1744" s="3"/>
    </row>
    <row r="1745" customHeight="1" spans="1:4">
      <c r="A1745" s="3"/>
      <c r="B1745" s="3"/>
      <c r="C1745" s="3"/>
      <c r="D1745" s="3"/>
    </row>
    <row r="1746" customHeight="1" spans="1:4">
      <c r="A1746" s="3"/>
      <c r="B1746" s="3"/>
      <c r="C1746" s="3"/>
      <c r="D1746" s="3"/>
    </row>
    <row r="1747" customHeight="1" spans="1:4">
      <c r="A1747" s="3"/>
      <c r="B1747" s="3"/>
      <c r="C1747" s="3"/>
      <c r="D1747" s="3"/>
    </row>
    <row r="1748" customHeight="1" spans="1:4">
      <c r="A1748" s="3"/>
      <c r="B1748" s="3"/>
      <c r="C1748" s="3"/>
      <c r="D1748" s="3"/>
    </row>
    <row r="1749" customHeight="1" spans="1:4">
      <c r="A1749" s="3"/>
      <c r="B1749" s="3"/>
      <c r="C1749" s="3"/>
      <c r="D1749" s="3"/>
    </row>
    <row r="1750" customHeight="1" spans="1:4">
      <c r="A1750" s="3"/>
      <c r="B1750" s="3"/>
      <c r="C1750" s="3"/>
      <c r="D1750" s="3"/>
    </row>
    <row r="1751" customHeight="1" spans="1:4">
      <c r="A1751" s="3"/>
      <c r="B1751" s="3"/>
      <c r="C1751" s="3"/>
      <c r="D1751" s="3"/>
    </row>
    <row r="1752" customHeight="1" spans="1:4">
      <c r="A1752" s="3"/>
      <c r="B1752" s="3"/>
      <c r="C1752" s="3"/>
      <c r="D1752" s="3"/>
    </row>
    <row r="1753" customHeight="1" spans="1:4">
      <c r="A1753" s="3"/>
      <c r="B1753" s="3"/>
      <c r="C1753" s="3"/>
      <c r="D1753" s="3"/>
    </row>
    <row r="1754" customHeight="1" spans="1:4">
      <c r="A1754" s="3"/>
      <c r="B1754" s="3"/>
      <c r="C1754" s="3"/>
      <c r="D1754" s="3"/>
    </row>
    <row r="1755" customHeight="1" spans="1:4">
      <c r="A1755" s="3"/>
      <c r="B1755" s="3"/>
      <c r="C1755" s="3"/>
      <c r="D1755" s="3"/>
    </row>
    <row r="1756" customHeight="1" spans="1:4">
      <c r="A1756" s="3"/>
      <c r="B1756" s="3"/>
      <c r="C1756" s="3"/>
      <c r="D1756" s="3"/>
    </row>
    <row r="1757" customHeight="1" spans="1:4">
      <c r="A1757" s="3"/>
      <c r="B1757" s="3"/>
      <c r="C1757" s="3"/>
      <c r="D1757" s="3"/>
    </row>
    <row r="1758" customHeight="1" spans="1:4">
      <c r="A1758" s="3"/>
      <c r="B1758" s="3"/>
      <c r="C1758" s="3"/>
      <c r="D1758" s="3"/>
    </row>
    <row r="1759" customHeight="1" spans="1:4">
      <c r="A1759" s="3"/>
      <c r="B1759" s="3"/>
      <c r="C1759" s="3"/>
      <c r="D1759" s="3"/>
    </row>
    <row r="1760" customHeight="1" spans="1:4">
      <c r="A1760" s="3"/>
      <c r="B1760" s="3"/>
      <c r="C1760" s="3"/>
      <c r="D1760" s="3"/>
    </row>
    <row r="1761" customHeight="1" spans="1:4">
      <c r="A1761" s="3"/>
      <c r="B1761" s="3"/>
      <c r="C1761" s="3"/>
      <c r="D1761" s="3"/>
    </row>
    <row r="1762" customHeight="1" spans="1:4">
      <c r="A1762" s="3"/>
      <c r="B1762" s="3"/>
      <c r="C1762" s="3"/>
      <c r="D1762" s="3"/>
    </row>
    <row r="1763" customHeight="1" spans="1:4">
      <c r="A1763" s="3"/>
      <c r="B1763" s="3"/>
      <c r="C1763" s="3"/>
      <c r="D1763" s="3"/>
    </row>
    <row r="1764" customHeight="1" spans="1:4">
      <c r="A1764" s="3"/>
      <c r="B1764" s="3"/>
      <c r="C1764" s="3"/>
      <c r="D1764" s="3"/>
    </row>
    <row r="1765" customHeight="1" spans="1:4">
      <c r="A1765" s="3"/>
      <c r="B1765" s="3"/>
      <c r="C1765" s="3"/>
      <c r="D1765" s="3"/>
    </row>
    <row r="1766" customHeight="1" spans="1:4">
      <c r="A1766" s="3"/>
      <c r="B1766" s="3"/>
      <c r="C1766" s="3"/>
      <c r="D1766" s="3"/>
    </row>
    <row r="1767" customHeight="1" spans="1:4">
      <c r="A1767" s="3"/>
      <c r="B1767" s="3"/>
      <c r="C1767" s="3"/>
      <c r="D1767" s="3"/>
    </row>
    <row r="1768" customHeight="1" spans="1:4">
      <c r="A1768" s="3"/>
      <c r="B1768" s="3"/>
      <c r="C1768" s="3"/>
      <c r="D1768" s="3"/>
    </row>
    <row r="1769" customHeight="1" spans="1:4">
      <c r="A1769" s="3"/>
      <c r="B1769" s="3"/>
      <c r="C1769" s="3"/>
      <c r="D1769" s="3"/>
    </row>
    <row r="1770" customHeight="1" spans="1:4">
      <c r="A1770" s="3"/>
      <c r="B1770" s="3"/>
      <c r="C1770" s="3"/>
      <c r="D1770" s="3"/>
    </row>
    <row r="1771" customHeight="1" spans="1:4">
      <c r="A1771" s="3"/>
      <c r="B1771" s="3"/>
      <c r="C1771" s="3"/>
      <c r="D1771" s="3"/>
    </row>
    <row r="1772" customHeight="1" spans="1:4">
      <c r="A1772" s="3"/>
      <c r="B1772" s="3"/>
      <c r="C1772" s="3"/>
      <c r="D1772" s="3"/>
    </row>
    <row r="1773" customHeight="1" spans="1:4">
      <c r="A1773" s="3"/>
      <c r="B1773" s="3"/>
      <c r="C1773" s="3"/>
      <c r="D1773" s="3"/>
    </row>
    <row r="1774" customHeight="1" spans="1:4">
      <c r="A1774" s="3"/>
      <c r="B1774" s="3"/>
      <c r="C1774" s="3"/>
      <c r="D1774" s="3"/>
    </row>
    <row r="1775" customHeight="1" spans="1:4">
      <c r="A1775" s="3"/>
      <c r="B1775" s="3"/>
      <c r="C1775" s="3"/>
      <c r="D1775" s="3"/>
    </row>
    <row r="1776" customHeight="1" spans="1:4">
      <c r="A1776" s="3"/>
      <c r="B1776" s="3"/>
      <c r="C1776" s="3"/>
      <c r="D1776" s="3"/>
    </row>
    <row r="1777" customHeight="1" spans="1:4">
      <c r="A1777" s="3"/>
      <c r="B1777" s="3"/>
      <c r="C1777" s="3"/>
      <c r="D1777" s="3"/>
    </row>
    <row r="1778" customHeight="1" spans="1:4">
      <c r="A1778" s="3"/>
      <c r="B1778" s="3"/>
      <c r="C1778" s="3"/>
      <c r="D1778" s="3"/>
    </row>
    <row r="1779" customHeight="1" spans="1:4">
      <c r="A1779" s="3"/>
      <c r="B1779" s="3"/>
      <c r="C1779" s="3"/>
      <c r="D1779" s="3"/>
    </row>
    <row r="1780" customHeight="1" spans="1:4">
      <c r="A1780" s="3"/>
      <c r="B1780" s="3"/>
      <c r="C1780" s="3"/>
      <c r="D1780" s="3"/>
    </row>
    <row r="1781" customHeight="1" spans="1:4">
      <c r="A1781" s="3"/>
      <c r="B1781" s="3"/>
      <c r="C1781" s="3"/>
      <c r="D1781" s="3"/>
    </row>
    <row r="1782" customHeight="1" spans="1:4">
      <c r="A1782" s="3"/>
      <c r="B1782" s="3"/>
      <c r="C1782" s="3"/>
      <c r="D1782" s="3"/>
    </row>
    <row r="1783" customHeight="1" spans="1:4">
      <c r="A1783" s="3"/>
      <c r="B1783" s="3"/>
      <c r="C1783" s="3"/>
      <c r="D1783" s="3"/>
    </row>
    <row r="1784" customHeight="1" spans="1:4">
      <c r="A1784" s="3"/>
      <c r="B1784" s="3"/>
      <c r="C1784" s="3"/>
      <c r="D1784" s="3"/>
    </row>
    <row r="1785" customHeight="1" spans="1:4">
      <c r="A1785" s="3"/>
      <c r="B1785" s="3"/>
      <c r="C1785" s="3"/>
      <c r="D1785" s="3"/>
    </row>
    <row r="1786" customHeight="1" spans="1:4">
      <c r="A1786" s="3"/>
      <c r="B1786" s="3"/>
      <c r="C1786" s="3"/>
      <c r="D1786" s="3"/>
    </row>
    <row r="1787" customHeight="1" spans="1:4">
      <c r="A1787" s="3"/>
      <c r="B1787" s="3"/>
      <c r="C1787" s="3"/>
      <c r="D1787" s="3"/>
    </row>
    <row r="1788" customHeight="1" spans="1:4">
      <c r="A1788" s="3"/>
      <c r="B1788" s="3"/>
      <c r="C1788" s="3"/>
      <c r="D1788" s="3"/>
    </row>
    <row r="1789" customHeight="1" spans="1:4">
      <c r="A1789" s="3"/>
      <c r="B1789" s="3"/>
      <c r="C1789" s="3"/>
      <c r="D1789" s="3"/>
    </row>
    <row r="1790" customHeight="1" spans="1:4">
      <c r="A1790" s="3"/>
      <c r="B1790" s="3"/>
      <c r="C1790" s="3"/>
      <c r="D1790" s="3"/>
    </row>
    <row r="1791" customHeight="1" spans="1:4">
      <c r="A1791" s="3"/>
      <c r="B1791" s="3"/>
      <c r="C1791" s="3"/>
      <c r="D1791" s="3"/>
    </row>
    <row r="1792" customHeight="1" spans="1:4">
      <c r="A1792" s="3"/>
      <c r="B1792" s="3"/>
      <c r="C1792" s="3"/>
      <c r="D1792" s="3"/>
    </row>
    <row r="1793" customHeight="1" spans="1:4">
      <c r="A1793" s="3"/>
      <c r="B1793" s="3"/>
      <c r="C1793" s="3"/>
      <c r="D1793" s="3"/>
    </row>
    <row r="1794" customHeight="1" spans="1:4">
      <c r="A1794" s="3"/>
      <c r="B1794" s="3"/>
      <c r="C1794" s="3"/>
      <c r="D1794" s="3"/>
    </row>
    <row r="1795" customHeight="1" spans="1:4">
      <c r="A1795" s="3"/>
      <c r="B1795" s="3"/>
      <c r="C1795" s="3"/>
      <c r="D1795" s="3"/>
    </row>
    <row r="1796" customHeight="1" spans="1:4">
      <c r="A1796" s="3"/>
      <c r="B1796" s="3"/>
      <c r="C1796" s="3"/>
      <c r="D1796" s="3"/>
    </row>
    <row r="1797" customHeight="1" spans="1:4">
      <c r="A1797" s="3"/>
      <c r="B1797" s="3"/>
      <c r="C1797" s="3"/>
      <c r="D1797" s="3"/>
    </row>
    <row r="1798" customHeight="1" spans="1:4">
      <c r="A1798" s="3"/>
      <c r="B1798" s="3"/>
      <c r="C1798" s="3"/>
      <c r="D1798" s="3"/>
    </row>
    <row r="1799" customHeight="1" spans="1:4">
      <c r="A1799" s="3"/>
      <c r="B1799" s="3"/>
      <c r="C1799" s="3"/>
      <c r="D1799" s="3"/>
    </row>
    <row r="1800" customHeight="1" spans="1:4">
      <c r="A1800" s="3"/>
      <c r="B1800" s="3"/>
      <c r="C1800" s="3"/>
      <c r="D1800" s="3"/>
    </row>
    <row r="1801" customHeight="1" spans="1:4">
      <c r="A1801" s="3"/>
      <c r="B1801" s="3"/>
      <c r="C1801" s="3"/>
      <c r="D1801" s="3"/>
    </row>
    <row r="1802" customHeight="1" spans="1:4">
      <c r="A1802" s="3"/>
      <c r="B1802" s="3"/>
      <c r="C1802" s="3"/>
      <c r="D1802" s="3"/>
    </row>
    <row r="1803" customHeight="1" spans="1:4">
      <c r="A1803" s="3"/>
      <c r="B1803" s="3"/>
      <c r="C1803" s="3"/>
      <c r="D1803" s="3"/>
    </row>
    <row r="1804" customHeight="1" spans="1:4">
      <c r="A1804" s="3"/>
      <c r="B1804" s="3"/>
      <c r="C1804" s="3"/>
      <c r="D1804" s="3"/>
    </row>
    <row r="1805" customHeight="1" spans="1:4">
      <c r="A1805" s="3"/>
      <c r="B1805" s="3"/>
      <c r="C1805" s="3"/>
      <c r="D1805" s="3"/>
    </row>
    <row r="1806" customHeight="1" spans="1:4">
      <c r="A1806" s="3"/>
      <c r="B1806" s="3"/>
      <c r="C1806" s="3"/>
      <c r="D1806" s="3"/>
    </row>
    <row r="1807" customHeight="1" spans="1:4">
      <c r="A1807" s="3"/>
      <c r="B1807" s="3"/>
      <c r="C1807" s="3"/>
      <c r="D1807" s="3"/>
    </row>
    <row r="1808" customHeight="1" spans="1:4">
      <c r="A1808" s="3"/>
      <c r="B1808" s="3"/>
      <c r="C1808" s="3"/>
      <c r="D1808" s="3"/>
    </row>
    <row r="1809" customHeight="1" spans="1:4">
      <c r="A1809" s="3"/>
      <c r="B1809" s="3"/>
      <c r="C1809" s="3"/>
      <c r="D1809" s="3"/>
    </row>
    <row r="1810" customHeight="1" spans="1:4">
      <c r="A1810" s="3"/>
      <c r="B1810" s="3"/>
      <c r="C1810" s="3"/>
      <c r="D1810" s="3"/>
    </row>
    <row r="1811" customHeight="1" spans="1:4">
      <c r="A1811" s="3"/>
      <c r="B1811" s="3"/>
      <c r="C1811" s="3"/>
      <c r="D1811" s="3"/>
    </row>
    <row r="1812" customHeight="1" spans="1:4">
      <c r="A1812" s="3"/>
      <c r="B1812" s="3"/>
      <c r="C1812" s="3"/>
      <c r="D1812" s="3"/>
    </row>
    <row r="1813" customHeight="1" spans="1:4">
      <c r="A1813" s="3"/>
      <c r="B1813" s="3"/>
      <c r="C1813" s="3"/>
      <c r="D1813" s="3"/>
    </row>
    <row r="1814" customHeight="1" spans="1:4">
      <c r="A1814" s="3"/>
      <c r="B1814" s="3"/>
      <c r="C1814" s="3"/>
      <c r="D1814" s="3"/>
    </row>
    <row r="1815" customHeight="1" spans="1:4">
      <c r="A1815" s="3"/>
      <c r="B1815" s="3"/>
      <c r="C1815" s="3"/>
      <c r="D1815" s="3"/>
    </row>
    <row r="1816" customHeight="1" spans="1:4">
      <c r="A1816" s="3"/>
      <c r="B1816" s="3"/>
      <c r="C1816" s="3"/>
      <c r="D1816" s="3"/>
    </row>
    <row r="1817" customHeight="1" spans="1:4">
      <c r="A1817" s="3"/>
      <c r="B1817" s="3"/>
      <c r="C1817" s="3"/>
      <c r="D1817" s="3"/>
    </row>
    <row r="1818" customHeight="1" spans="1:4">
      <c r="A1818" s="3"/>
      <c r="B1818" s="3"/>
      <c r="C1818" s="3"/>
      <c r="D1818" s="3"/>
    </row>
    <row r="1819" customHeight="1" spans="1:4">
      <c r="A1819" s="3"/>
      <c r="B1819" s="3"/>
      <c r="C1819" s="3"/>
      <c r="D1819" s="3"/>
    </row>
    <row r="1820" customHeight="1" spans="1:4">
      <c r="A1820" s="3"/>
      <c r="B1820" s="3"/>
      <c r="C1820" s="3"/>
      <c r="D1820" s="3"/>
    </row>
    <row r="1821" customHeight="1" spans="1:4">
      <c r="A1821" s="3"/>
      <c r="B1821" s="3"/>
      <c r="C1821" s="3"/>
      <c r="D1821" s="3"/>
    </row>
    <row r="1822" customHeight="1" spans="1:4">
      <c r="A1822" s="3"/>
      <c r="B1822" s="3"/>
      <c r="C1822" s="3"/>
      <c r="D1822" s="3"/>
    </row>
    <row r="1823" customHeight="1" spans="1:4">
      <c r="A1823" s="3"/>
      <c r="B1823" s="3"/>
      <c r="C1823" s="3"/>
      <c r="D1823" s="3"/>
    </row>
    <row r="1824" customHeight="1" spans="1:4">
      <c r="A1824" s="3"/>
      <c r="B1824" s="3"/>
      <c r="C1824" s="3"/>
      <c r="D1824" s="3"/>
    </row>
    <row r="1825" customHeight="1" spans="1:4">
      <c r="A1825" s="3"/>
      <c r="B1825" s="3"/>
      <c r="C1825" s="3"/>
      <c r="D1825" s="3"/>
    </row>
    <row r="1826" customHeight="1" spans="1:4">
      <c r="A1826" s="3"/>
      <c r="B1826" s="3"/>
      <c r="C1826" s="3"/>
      <c r="D1826" s="3"/>
    </row>
    <row r="1827" customHeight="1" spans="1:4">
      <c r="A1827" s="3"/>
      <c r="B1827" s="3"/>
      <c r="C1827" s="3"/>
      <c r="D1827" s="3"/>
    </row>
    <row r="1828" customHeight="1" spans="1:4">
      <c r="A1828" s="3"/>
      <c r="B1828" s="3"/>
      <c r="C1828" s="3"/>
      <c r="D1828" s="3"/>
    </row>
    <row r="1829" customHeight="1" spans="1:4">
      <c r="A1829" s="3"/>
      <c r="B1829" s="3"/>
      <c r="C1829" s="3"/>
      <c r="D1829" s="3"/>
    </row>
    <row r="1830" customHeight="1" spans="1:4">
      <c r="A1830" s="3"/>
      <c r="B1830" s="3"/>
      <c r="C1830" s="3"/>
      <c r="D1830" s="3"/>
    </row>
    <row r="1831" customHeight="1" spans="1:4">
      <c r="A1831" s="3"/>
      <c r="B1831" s="3"/>
      <c r="C1831" s="3"/>
      <c r="D1831" s="3"/>
    </row>
    <row r="1832" customHeight="1" spans="1:4">
      <c r="A1832" s="3"/>
      <c r="B1832" s="3"/>
      <c r="C1832" s="3"/>
      <c r="D1832" s="3"/>
    </row>
    <row r="1833" customHeight="1" spans="1:4">
      <c r="A1833" s="3"/>
      <c r="B1833" s="3"/>
      <c r="C1833" s="3"/>
      <c r="D1833" s="3"/>
    </row>
    <row r="1834" customHeight="1" spans="1:4">
      <c r="A1834" s="3"/>
      <c r="B1834" s="3"/>
      <c r="C1834" s="3"/>
      <c r="D1834" s="3"/>
    </row>
    <row r="1835" customHeight="1" spans="1:4">
      <c r="A1835" s="3"/>
      <c r="B1835" s="3"/>
      <c r="C1835" s="3"/>
      <c r="D1835" s="3"/>
    </row>
    <row r="1836" customHeight="1" spans="1:4">
      <c r="A1836" s="3"/>
      <c r="B1836" s="3"/>
      <c r="C1836" s="3"/>
      <c r="D1836" s="3"/>
    </row>
    <row r="1837" customHeight="1" spans="1:4">
      <c r="A1837" s="3"/>
      <c r="B1837" s="3"/>
      <c r="C1837" s="3"/>
      <c r="D1837" s="3"/>
    </row>
    <row r="1838" customHeight="1" spans="1:4">
      <c r="A1838" s="3"/>
      <c r="B1838" s="3"/>
      <c r="C1838" s="3"/>
      <c r="D1838" s="3"/>
    </row>
    <row r="1839" customHeight="1" spans="1:4">
      <c r="A1839" s="3"/>
      <c r="B1839" s="3"/>
      <c r="C1839" s="3"/>
      <c r="D1839" s="3"/>
    </row>
    <row r="1840" customHeight="1" spans="1:4">
      <c r="A1840" s="3"/>
      <c r="B1840" s="3"/>
      <c r="C1840" s="3"/>
      <c r="D1840" s="3"/>
    </row>
    <row r="1841" customHeight="1" spans="1:4">
      <c r="A1841" s="3"/>
      <c r="B1841" s="3"/>
      <c r="C1841" s="3"/>
      <c r="D1841" s="3"/>
    </row>
    <row r="1842" customHeight="1" spans="1:4">
      <c r="A1842" s="3"/>
      <c r="B1842" s="3"/>
      <c r="C1842" s="3"/>
      <c r="D1842" s="3"/>
    </row>
    <row r="1843" customHeight="1" spans="1:4">
      <c r="A1843" s="3"/>
      <c r="B1843" s="3"/>
      <c r="C1843" s="3"/>
      <c r="D1843" s="3"/>
    </row>
    <row r="1844" customHeight="1" spans="1:4">
      <c r="A1844" s="3"/>
      <c r="B1844" s="3"/>
      <c r="C1844" s="3"/>
      <c r="D1844" s="3"/>
    </row>
    <row r="1845" customHeight="1" spans="1:4">
      <c r="A1845" s="3"/>
      <c r="B1845" s="3"/>
      <c r="C1845" s="3"/>
      <c r="D1845" s="3"/>
    </row>
    <row r="1846" customHeight="1" spans="1:4">
      <c r="A1846" s="3"/>
      <c r="B1846" s="3"/>
      <c r="C1846" s="3"/>
      <c r="D1846" s="3"/>
    </row>
    <row r="1847" customHeight="1" spans="1:4">
      <c r="A1847" s="3"/>
      <c r="B1847" s="3"/>
      <c r="C1847" s="3"/>
      <c r="D1847" s="3"/>
    </row>
    <row r="1848" customHeight="1" spans="1:4">
      <c r="A1848" s="3"/>
      <c r="B1848" s="3"/>
      <c r="C1848" s="3"/>
      <c r="D1848" s="3"/>
    </row>
    <row r="1849" customHeight="1" spans="1:4">
      <c r="A1849" s="3"/>
      <c r="B1849" s="3"/>
      <c r="C1849" s="3"/>
      <c r="D1849" s="3"/>
    </row>
    <row r="1850" customHeight="1" spans="1:4">
      <c r="A1850" s="3"/>
      <c r="B1850" s="3"/>
      <c r="C1850" s="3"/>
      <c r="D1850" s="3"/>
    </row>
    <row r="1851" customHeight="1" spans="1:4">
      <c r="A1851" s="3"/>
      <c r="B1851" s="3"/>
      <c r="C1851" s="3"/>
      <c r="D1851" s="3"/>
    </row>
    <row r="1852" customHeight="1" spans="1:4">
      <c r="A1852" s="3"/>
      <c r="B1852" s="3"/>
      <c r="C1852" s="3"/>
      <c r="D1852" s="3"/>
    </row>
    <row r="1853" customHeight="1" spans="1:4">
      <c r="A1853" s="3"/>
      <c r="B1853" s="3"/>
      <c r="C1853" s="3"/>
      <c r="D1853" s="3"/>
    </row>
    <row r="1854" customHeight="1" spans="1:4">
      <c r="A1854" s="3"/>
      <c r="B1854" s="3"/>
      <c r="C1854" s="3"/>
      <c r="D1854" s="3"/>
    </row>
    <row r="1855" customHeight="1" spans="1:4">
      <c r="A1855" s="3"/>
      <c r="B1855" s="3"/>
      <c r="C1855" s="3"/>
      <c r="D1855" s="3"/>
    </row>
    <row r="1856" customHeight="1" spans="1:4">
      <c r="A1856" s="3"/>
      <c r="B1856" s="3"/>
      <c r="C1856" s="3"/>
      <c r="D1856" s="3"/>
    </row>
    <row r="1857" customHeight="1" spans="1:4">
      <c r="A1857" s="3"/>
      <c r="B1857" s="3"/>
      <c r="C1857" s="3"/>
      <c r="D1857" s="3"/>
    </row>
    <row r="1858" customHeight="1" spans="1:4">
      <c r="A1858" s="3"/>
      <c r="B1858" s="3"/>
      <c r="C1858" s="3"/>
      <c r="D1858" s="3"/>
    </row>
    <row r="1859" customHeight="1" spans="1:4">
      <c r="A1859" s="3"/>
      <c r="B1859" s="3"/>
      <c r="C1859" s="3"/>
      <c r="D1859" s="3"/>
    </row>
    <row r="1860" customHeight="1" spans="1:4">
      <c r="A1860" s="3"/>
      <c r="B1860" s="3"/>
      <c r="C1860" s="3"/>
      <c r="D1860" s="3"/>
    </row>
    <row r="1861" customHeight="1" spans="1:4">
      <c r="A1861" s="3"/>
      <c r="B1861" s="3"/>
      <c r="C1861" s="3"/>
      <c r="D1861" s="3"/>
    </row>
    <row r="1862" customHeight="1" spans="1:4">
      <c r="A1862" s="3"/>
      <c r="B1862" s="3"/>
      <c r="C1862" s="3"/>
      <c r="D1862" s="3"/>
    </row>
    <row r="1863" customHeight="1" spans="1:4">
      <c r="A1863" s="3"/>
      <c r="B1863" s="3"/>
      <c r="C1863" s="3"/>
      <c r="D1863" s="3"/>
    </row>
    <row r="1864" customHeight="1" spans="1:4">
      <c r="A1864" s="3"/>
      <c r="B1864" s="3"/>
      <c r="C1864" s="3"/>
      <c r="D1864" s="3"/>
    </row>
    <row r="1865" customHeight="1" spans="1:4">
      <c r="A1865" s="3"/>
      <c r="B1865" s="3"/>
      <c r="C1865" s="3"/>
      <c r="D1865" s="3"/>
    </row>
    <row r="1866" customHeight="1" spans="1:4">
      <c r="A1866" s="3"/>
      <c r="B1866" s="3"/>
      <c r="C1866" s="3"/>
      <c r="D1866" s="3"/>
    </row>
    <row r="1867" customHeight="1" spans="1:4">
      <c r="A1867" s="3"/>
      <c r="B1867" s="3"/>
      <c r="C1867" s="3"/>
      <c r="D1867" s="3"/>
    </row>
    <row r="1868" customHeight="1" spans="1:4">
      <c r="A1868" s="3"/>
      <c r="B1868" s="3"/>
      <c r="C1868" s="3"/>
      <c r="D1868" s="3"/>
    </row>
    <row r="1869" customHeight="1" spans="1:4">
      <c r="A1869" s="3"/>
      <c r="B1869" s="3"/>
      <c r="C1869" s="3"/>
      <c r="D1869" s="3"/>
    </row>
    <row r="1870" customHeight="1" spans="1:4">
      <c r="A1870" s="3"/>
      <c r="B1870" s="3"/>
      <c r="C1870" s="3"/>
      <c r="D1870" s="3"/>
    </row>
    <row r="1871" customHeight="1" spans="1:4">
      <c r="A1871" s="3"/>
      <c r="B1871" s="3"/>
      <c r="C1871" s="3"/>
      <c r="D1871" s="3"/>
    </row>
    <row r="1872" customHeight="1" spans="1:4">
      <c r="A1872" s="3"/>
      <c r="B1872" s="3"/>
      <c r="C1872" s="3"/>
      <c r="D1872" s="3"/>
    </row>
    <row r="1873" customHeight="1" spans="1:4">
      <c r="A1873" s="3"/>
      <c r="B1873" s="3"/>
      <c r="C1873" s="3"/>
      <c r="D1873" s="3"/>
    </row>
    <row r="1874" customHeight="1" spans="1:4">
      <c r="A1874" s="3"/>
      <c r="B1874" s="3"/>
      <c r="C1874" s="3"/>
      <c r="D1874" s="3"/>
    </row>
    <row r="1875" customHeight="1" spans="1:4">
      <c r="A1875" s="3"/>
      <c r="B1875" s="3"/>
      <c r="C1875" s="3"/>
      <c r="D1875" s="3"/>
    </row>
    <row r="1876" customHeight="1" spans="1:4">
      <c r="A1876" s="3"/>
      <c r="B1876" s="3"/>
      <c r="C1876" s="3"/>
      <c r="D1876" s="3"/>
    </row>
    <row r="1877" customHeight="1" spans="1:4">
      <c r="A1877" s="3"/>
      <c r="B1877" s="3"/>
      <c r="C1877" s="3"/>
      <c r="D1877" s="3"/>
    </row>
    <row r="1878" customHeight="1" spans="1:4">
      <c r="A1878" s="3"/>
      <c r="B1878" s="3"/>
      <c r="C1878" s="3"/>
      <c r="D1878" s="3"/>
    </row>
    <row r="1879" customHeight="1" spans="1:4">
      <c r="A1879" s="3"/>
      <c r="B1879" s="3"/>
      <c r="C1879" s="3"/>
      <c r="D1879" s="3"/>
    </row>
    <row r="1880" customHeight="1" spans="1:4">
      <c r="A1880" s="3"/>
      <c r="B1880" s="3"/>
      <c r="C1880" s="3"/>
      <c r="D1880" s="3"/>
    </row>
    <row r="1881" customHeight="1" spans="1:4">
      <c r="A1881" s="3"/>
      <c r="B1881" s="3"/>
      <c r="C1881" s="3"/>
      <c r="D1881" s="3"/>
    </row>
    <row r="1882" customHeight="1" spans="1:4">
      <c r="A1882" s="3"/>
      <c r="B1882" s="3"/>
      <c r="C1882" s="3"/>
      <c r="D1882" s="3"/>
    </row>
    <row r="1883" customHeight="1" spans="1:4">
      <c r="A1883" s="3"/>
      <c r="B1883" s="3"/>
      <c r="C1883" s="3"/>
      <c r="D1883" s="3"/>
    </row>
    <row r="1884" customHeight="1" spans="1:4">
      <c r="A1884" s="3"/>
      <c r="B1884" s="3"/>
      <c r="C1884" s="3"/>
      <c r="D1884" s="3"/>
    </row>
    <row r="1885" customHeight="1" spans="1:4">
      <c r="A1885" s="3"/>
      <c r="B1885" s="3"/>
      <c r="C1885" s="3"/>
      <c r="D1885" s="3"/>
    </row>
    <row r="1886" customHeight="1" spans="1:4">
      <c r="A1886" s="3"/>
      <c r="B1886" s="3"/>
      <c r="C1886" s="3"/>
      <c r="D1886" s="3"/>
    </row>
    <row r="1887" customHeight="1" spans="1:4">
      <c r="A1887" s="3"/>
      <c r="B1887" s="3"/>
      <c r="C1887" s="3"/>
      <c r="D1887" s="3"/>
    </row>
    <row r="1888" customHeight="1" spans="1:4">
      <c r="A1888" s="3"/>
      <c r="B1888" s="3"/>
      <c r="C1888" s="3"/>
      <c r="D1888" s="3"/>
    </row>
    <row r="1889" customHeight="1" spans="1:4">
      <c r="A1889" s="3"/>
      <c r="B1889" s="3"/>
      <c r="C1889" s="3"/>
      <c r="D1889" s="3"/>
    </row>
    <row r="1890" customHeight="1" spans="1:4">
      <c r="A1890" s="3"/>
      <c r="B1890" s="3"/>
      <c r="C1890" s="3"/>
      <c r="D1890" s="3"/>
    </row>
    <row r="1891" customHeight="1" spans="1:4">
      <c r="A1891" s="3"/>
      <c r="B1891" s="3"/>
      <c r="C1891" s="3"/>
      <c r="D1891" s="3"/>
    </row>
    <row r="1892" customHeight="1" spans="1:4">
      <c r="A1892" s="3"/>
      <c r="B1892" s="3"/>
      <c r="C1892" s="3"/>
      <c r="D1892" s="3"/>
    </row>
    <row r="1893" customHeight="1" spans="1:4">
      <c r="A1893" s="3"/>
      <c r="B1893" s="3"/>
      <c r="C1893" s="3"/>
      <c r="D1893" s="3"/>
    </row>
    <row r="1894" customHeight="1" spans="1:4">
      <c r="A1894" s="3"/>
      <c r="B1894" s="3"/>
      <c r="C1894" s="3"/>
      <c r="D1894" s="3"/>
    </row>
    <row r="1895" customHeight="1" spans="1:4">
      <c r="A1895" s="3"/>
      <c r="B1895" s="3"/>
      <c r="C1895" s="3"/>
      <c r="D1895" s="3"/>
    </row>
    <row r="1896" customHeight="1" spans="1:4">
      <c r="A1896" s="3"/>
      <c r="B1896" s="3"/>
      <c r="C1896" s="3"/>
      <c r="D1896" s="3"/>
    </row>
    <row r="1897" customHeight="1" spans="1:4">
      <c r="A1897" s="3"/>
      <c r="B1897" s="3"/>
      <c r="C1897" s="3"/>
      <c r="D1897" s="3"/>
    </row>
    <row r="1898" customHeight="1" spans="1:4">
      <c r="A1898" s="3"/>
      <c r="B1898" s="3"/>
      <c r="C1898" s="3"/>
      <c r="D1898" s="3"/>
    </row>
    <row r="1899" customHeight="1" spans="1:4">
      <c r="A1899" s="3"/>
      <c r="B1899" s="3"/>
      <c r="C1899" s="3"/>
      <c r="D1899" s="3"/>
    </row>
    <row r="1900" customHeight="1" spans="1:4">
      <c r="A1900" s="3"/>
      <c r="B1900" s="3"/>
      <c r="C1900" s="3"/>
      <c r="D1900" s="3"/>
    </row>
    <row r="1901" customHeight="1" spans="1:4">
      <c r="A1901" s="3"/>
      <c r="B1901" s="3"/>
      <c r="C1901" s="3"/>
      <c r="D1901" s="3"/>
    </row>
    <row r="1902" customHeight="1" spans="1:4">
      <c r="A1902" s="3"/>
      <c r="B1902" s="3"/>
      <c r="C1902" s="3"/>
      <c r="D1902" s="3"/>
    </row>
    <row r="1903" customHeight="1" spans="1:4">
      <c r="A1903" s="3"/>
      <c r="B1903" s="3"/>
      <c r="C1903" s="3"/>
      <c r="D1903" s="3"/>
    </row>
    <row r="1904" customHeight="1" spans="1:4">
      <c r="A1904" s="3"/>
      <c r="B1904" s="3"/>
      <c r="C1904" s="3"/>
      <c r="D1904" s="3"/>
    </row>
    <row r="1905" customHeight="1" spans="1:4">
      <c r="A1905" s="3"/>
      <c r="B1905" s="3"/>
      <c r="C1905" s="3"/>
      <c r="D1905" s="3"/>
    </row>
    <row r="1906" customHeight="1" spans="1:4">
      <c r="A1906" s="3"/>
      <c r="B1906" s="3"/>
      <c r="C1906" s="3"/>
      <c r="D1906" s="3"/>
    </row>
    <row r="1907" customHeight="1" spans="1:4">
      <c r="A1907" s="3"/>
      <c r="B1907" s="3"/>
      <c r="C1907" s="3"/>
      <c r="D1907" s="3"/>
    </row>
    <row r="1908" customHeight="1" spans="1:4">
      <c r="A1908" s="3"/>
      <c r="B1908" s="3"/>
      <c r="C1908" s="3"/>
      <c r="D1908" s="3"/>
    </row>
    <row r="1909" customHeight="1" spans="1:4">
      <c r="A1909" s="3"/>
      <c r="B1909" s="3"/>
      <c r="C1909" s="3"/>
      <c r="D1909" s="3"/>
    </row>
    <row r="1910" customHeight="1" spans="1:4">
      <c r="A1910" s="3"/>
      <c r="B1910" s="3"/>
      <c r="C1910" s="3"/>
      <c r="D1910" s="3"/>
    </row>
    <row r="1911" customHeight="1" spans="1:4">
      <c r="A1911" s="3"/>
      <c r="B1911" s="3"/>
      <c r="C1911" s="3"/>
      <c r="D1911" s="3"/>
    </row>
    <row r="1912" customHeight="1" spans="1:4">
      <c r="A1912" s="3"/>
      <c r="B1912" s="3"/>
      <c r="C1912" s="3"/>
      <c r="D1912" s="3"/>
    </row>
    <row r="1913" customHeight="1" spans="1:4">
      <c r="A1913" s="3"/>
      <c r="B1913" s="3"/>
      <c r="C1913" s="3"/>
      <c r="D1913" s="3"/>
    </row>
    <row r="1914" customHeight="1" spans="1:4">
      <c r="A1914" s="3"/>
      <c r="B1914" s="3"/>
      <c r="C1914" s="3"/>
      <c r="D1914" s="3"/>
    </row>
    <row r="1915" customHeight="1" spans="1:4">
      <c r="A1915" s="3"/>
      <c r="B1915" s="3"/>
      <c r="C1915" s="3"/>
      <c r="D1915" s="3"/>
    </row>
    <row r="1916" customHeight="1" spans="1:4">
      <c r="A1916" s="3"/>
      <c r="B1916" s="3"/>
      <c r="C1916" s="3"/>
      <c r="D1916" s="3"/>
    </row>
    <row r="1917" customHeight="1" spans="1:4">
      <c r="A1917" s="3"/>
      <c r="B1917" s="3"/>
      <c r="C1917" s="3"/>
      <c r="D1917" s="3"/>
    </row>
    <row r="1918" customHeight="1" spans="1:4">
      <c r="A1918" s="3"/>
      <c r="B1918" s="3"/>
      <c r="C1918" s="3"/>
      <c r="D1918" s="3"/>
    </row>
    <row r="1919" customHeight="1" spans="1:4">
      <c r="A1919" s="3"/>
      <c r="B1919" s="3"/>
      <c r="C1919" s="3"/>
      <c r="D1919" s="3"/>
    </row>
    <row r="1920" customHeight="1" spans="1:4">
      <c r="A1920" s="3"/>
      <c r="B1920" s="3"/>
      <c r="C1920" s="3"/>
      <c r="D1920" s="3"/>
    </row>
    <row r="1921" customHeight="1" spans="1:4">
      <c r="A1921" s="3"/>
      <c r="B1921" s="3"/>
      <c r="C1921" s="3"/>
      <c r="D1921" s="3"/>
    </row>
    <row r="1922" customHeight="1" spans="1:4">
      <c r="A1922" s="3"/>
      <c r="B1922" s="3"/>
      <c r="C1922" s="3"/>
      <c r="D1922" s="3"/>
    </row>
    <row r="1923" customHeight="1" spans="1:4">
      <c r="A1923" s="3"/>
      <c r="B1923" s="3"/>
      <c r="C1923" s="3"/>
      <c r="D1923" s="3"/>
    </row>
    <row r="1924" customHeight="1" spans="1:4">
      <c r="A1924" s="3"/>
      <c r="B1924" s="3"/>
      <c r="C1924" s="3"/>
      <c r="D1924" s="3"/>
    </row>
    <row r="1925" customHeight="1" spans="1:4">
      <c r="A1925" s="3"/>
      <c r="B1925" s="3"/>
      <c r="C1925" s="3"/>
      <c r="D1925" s="3"/>
    </row>
    <row r="1926" customHeight="1" spans="1:4">
      <c r="A1926" s="3"/>
      <c r="B1926" s="3"/>
      <c r="C1926" s="3"/>
      <c r="D1926" s="3"/>
    </row>
    <row r="1927" customHeight="1" spans="1:4">
      <c r="A1927" s="3"/>
      <c r="B1927" s="3"/>
      <c r="C1927" s="3"/>
      <c r="D1927" s="3"/>
    </row>
    <row r="1928" customHeight="1" spans="1:4">
      <c r="A1928" s="3"/>
      <c r="B1928" s="3"/>
      <c r="C1928" s="3"/>
      <c r="D1928" s="3"/>
    </row>
    <row r="1929" customHeight="1" spans="1:4">
      <c r="A1929" s="3"/>
      <c r="B1929" s="3"/>
      <c r="C1929" s="3"/>
      <c r="D1929" s="3"/>
    </row>
    <row r="1930" customHeight="1" spans="1:4">
      <c r="A1930" s="3"/>
      <c r="B1930" s="3"/>
      <c r="C1930" s="3"/>
      <c r="D1930" s="3"/>
    </row>
    <row r="1931" customHeight="1" spans="1:4">
      <c r="A1931" s="3"/>
      <c r="B1931" s="3"/>
      <c r="C1931" s="3"/>
      <c r="D1931" s="3"/>
    </row>
    <row r="1932" customHeight="1" spans="1:4">
      <c r="A1932" s="3"/>
      <c r="B1932" s="3"/>
      <c r="C1932" s="3"/>
      <c r="D1932" s="3"/>
    </row>
    <row r="1933" customHeight="1" spans="1:4">
      <c r="A1933" s="3"/>
      <c r="B1933" s="3"/>
      <c r="C1933" s="3"/>
      <c r="D1933" s="3"/>
    </row>
    <row r="1934" customHeight="1" spans="1:4">
      <c r="A1934" s="3"/>
      <c r="B1934" s="3"/>
      <c r="C1934" s="3"/>
      <c r="D1934" s="3"/>
    </row>
    <row r="1935" customHeight="1" spans="1:4">
      <c r="A1935" s="3"/>
      <c r="B1935" s="3"/>
      <c r="C1935" s="3"/>
      <c r="D1935" s="3"/>
    </row>
    <row r="1936" customHeight="1" spans="1:4">
      <c r="A1936" s="3"/>
      <c r="B1936" s="3"/>
      <c r="C1936" s="3"/>
      <c r="D1936" s="3"/>
    </row>
    <row r="1937" customHeight="1" spans="1:4">
      <c r="A1937" s="3"/>
      <c r="B1937" s="3"/>
      <c r="C1937" s="3"/>
      <c r="D1937" s="3"/>
    </row>
    <row r="1938" customHeight="1" spans="1:4">
      <c r="A1938" s="3"/>
      <c r="B1938" s="3"/>
      <c r="C1938" s="3"/>
      <c r="D1938" s="3"/>
    </row>
    <row r="1939" customHeight="1" spans="1:4">
      <c r="A1939" s="3"/>
      <c r="B1939" s="3"/>
      <c r="C1939" s="3"/>
      <c r="D1939" s="3"/>
    </row>
    <row r="1940" customHeight="1" spans="1:4">
      <c r="A1940" s="3"/>
      <c r="B1940" s="3"/>
      <c r="C1940" s="3"/>
      <c r="D1940" s="3"/>
    </row>
    <row r="1941" customHeight="1" spans="1:4">
      <c r="A1941" s="3"/>
      <c r="B1941" s="3"/>
      <c r="C1941" s="3"/>
      <c r="D1941" s="3"/>
    </row>
    <row r="1942" customHeight="1" spans="1:4">
      <c r="A1942" s="3"/>
      <c r="B1942" s="3"/>
      <c r="C1942" s="3"/>
      <c r="D1942" s="3"/>
    </row>
    <row r="1943" customHeight="1" spans="1:4">
      <c r="A1943" s="3"/>
      <c r="B1943" s="3"/>
      <c r="C1943" s="3"/>
      <c r="D1943" s="3"/>
    </row>
    <row r="1944" customHeight="1" spans="1:4">
      <c r="A1944" s="3"/>
      <c r="B1944" s="3"/>
      <c r="C1944" s="3"/>
      <c r="D1944" s="3"/>
    </row>
    <row r="1945" customHeight="1" spans="1:4">
      <c r="A1945" s="3"/>
      <c r="B1945" s="3"/>
      <c r="C1945" s="3"/>
      <c r="D1945" s="3"/>
    </row>
    <row r="1946" customHeight="1" spans="1:4">
      <c r="A1946" s="3"/>
      <c r="B1946" s="3"/>
      <c r="C1946" s="3"/>
      <c r="D1946" s="3"/>
    </row>
    <row r="1947" customHeight="1" spans="1:4">
      <c r="A1947" s="3"/>
      <c r="B1947" s="3"/>
      <c r="C1947" s="3"/>
      <c r="D1947" s="3"/>
    </row>
    <row r="1948" customHeight="1" spans="1:4">
      <c r="A1948" s="3"/>
      <c r="B1948" s="3"/>
      <c r="C1948" s="3"/>
      <c r="D1948" s="3"/>
    </row>
    <row r="1949" customHeight="1" spans="1:4">
      <c r="A1949" s="3"/>
      <c r="B1949" s="3"/>
      <c r="C1949" s="3"/>
      <c r="D1949" s="3"/>
    </row>
    <row r="1950" customHeight="1" spans="1:4">
      <c r="A1950" s="3"/>
      <c r="B1950" s="3"/>
      <c r="C1950" s="3"/>
      <c r="D1950" s="3"/>
    </row>
    <row r="1951" customHeight="1" spans="1:4">
      <c r="A1951" s="3"/>
      <c r="B1951" s="3"/>
      <c r="C1951" s="3"/>
      <c r="D1951" s="3"/>
    </row>
    <row r="1952" customHeight="1" spans="1:4">
      <c r="A1952" s="3"/>
      <c r="B1952" s="3"/>
      <c r="C1952" s="3"/>
      <c r="D1952" s="3"/>
    </row>
    <row r="1953" customHeight="1" spans="1:4">
      <c r="A1953" s="3"/>
      <c r="B1953" s="3"/>
      <c r="C1953" s="3"/>
      <c r="D1953" s="3"/>
    </row>
    <row r="1954" customHeight="1" spans="1:4">
      <c r="A1954" s="3"/>
      <c r="B1954" s="3"/>
      <c r="C1954" s="3"/>
      <c r="D1954" s="3"/>
    </row>
    <row r="1955" customHeight="1" spans="1:4">
      <c r="A1955" s="3"/>
      <c r="B1955" s="3"/>
      <c r="C1955" s="3"/>
      <c r="D1955" s="3"/>
    </row>
    <row r="1956" customHeight="1" spans="1:4">
      <c r="A1956" s="3"/>
      <c r="B1956" s="3"/>
      <c r="C1956" s="3"/>
      <c r="D1956" s="3"/>
    </row>
    <row r="1957" customHeight="1" spans="1:4">
      <c r="A1957" s="3"/>
      <c r="B1957" s="3"/>
      <c r="C1957" s="3"/>
      <c r="D1957" s="3"/>
    </row>
    <row r="1958" customHeight="1" spans="1:4">
      <c r="A1958" s="3"/>
      <c r="B1958" s="3"/>
      <c r="C1958" s="3"/>
      <c r="D1958" s="3"/>
    </row>
    <row r="1959" customHeight="1" spans="1:4">
      <c r="A1959" s="3"/>
      <c r="B1959" s="3"/>
      <c r="C1959" s="3"/>
      <c r="D1959" s="3"/>
    </row>
    <row r="1960" customHeight="1" spans="1:4">
      <c r="A1960" s="3"/>
      <c r="B1960" s="3"/>
      <c r="C1960" s="3"/>
      <c r="D1960" s="3"/>
    </row>
    <row r="1961" customHeight="1" spans="1:4">
      <c r="A1961" s="3"/>
      <c r="B1961" s="3"/>
      <c r="C1961" s="3"/>
      <c r="D1961" s="3"/>
    </row>
    <row r="1962" customHeight="1" spans="1:4">
      <c r="A1962" s="3"/>
      <c r="B1962" s="3"/>
      <c r="C1962" s="3"/>
      <c r="D1962" s="3"/>
    </row>
    <row r="1963" customHeight="1" spans="1:4">
      <c r="A1963" s="3"/>
      <c r="B1963" s="3"/>
      <c r="C1963" s="3"/>
      <c r="D1963" s="3"/>
    </row>
    <row r="1964" customHeight="1" spans="1:4">
      <c r="A1964" s="3"/>
      <c r="B1964" s="3"/>
      <c r="C1964" s="3"/>
      <c r="D1964" s="3"/>
    </row>
    <row r="1965" customHeight="1" spans="1:4">
      <c r="A1965" s="3"/>
      <c r="B1965" s="3"/>
      <c r="C1965" s="3"/>
      <c r="D1965" s="3"/>
    </row>
    <row r="1966" customHeight="1" spans="1:4">
      <c r="A1966" s="3"/>
      <c r="B1966" s="3"/>
      <c r="C1966" s="3"/>
      <c r="D1966" s="3"/>
    </row>
    <row r="1967" customHeight="1" spans="1:4">
      <c r="A1967" s="3"/>
      <c r="B1967" s="3"/>
      <c r="C1967" s="3"/>
      <c r="D1967" s="3"/>
    </row>
    <row r="1968" customHeight="1" spans="1:4">
      <c r="A1968" s="3"/>
      <c r="B1968" s="3"/>
      <c r="C1968" s="3"/>
      <c r="D1968" s="3"/>
    </row>
    <row r="1969" customHeight="1" spans="1:4">
      <c r="A1969" s="3"/>
      <c r="B1969" s="3"/>
      <c r="C1969" s="3"/>
      <c r="D1969" s="3"/>
    </row>
    <row r="1970" customHeight="1" spans="1:4">
      <c r="A1970" s="3"/>
      <c r="B1970" s="3"/>
      <c r="C1970" s="3"/>
      <c r="D1970" s="3"/>
    </row>
    <row r="1971" customHeight="1" spans="1:4">
      <c r="A1971" s="3"/>
      <c r="B1971" s="3"/>
      <c r="C1971" s="3"/>
      <c r="D1971" s="3"/>
    </row>
    <row r="1972" customHeight="1" spans="1:4">
      <c r="A1972" s="3"/>
      <c r="B1972" s="3"/>
      <c r="C1972" s="3"/>
      <c r="D1972" s="3"/>
    </row>
    <row r="1973" customHeight="1" spans="1:4">
      <c r="A1973" s="3"/>
      <c r="B1973" s="3"/>
      <c r="C1973" s="3"/>
      <c r="D1973" s="3"/>
    </row>
    <row r="1974" customHeight="1" spans="1:4">
      <c r="A1974" s="3"/>
      <c r="B1974" s="3"/>
      <c r="C1974" s="3"/>
      <c r="D1974" s="3"/>
    </row>
    <row r="1975" customHeight="1" spans="1:4">
      <c r="A1975" s="3"/>
      <c r="B1975" s="3"/>
      <c r="C1975" s="3"/>
      <c r="D1975" s="3"/>
    </row>
    <row r="1976" customHeight="1" spans="1:4">
      <c r="A1976" s="3"/>
      <c r="B1976" s="3"/>
      <c r="C1976" s="3"/>
      <c r="D1976" s="3"/>
    </row>
    <row r="1977" customHeight="1" spans="1:4">
      <c r="A1977" s="3"/>
      <c r="B1977" s="3"/>
      <c r="C1977" s="3"/>
      <c r="D1977" s="3"/>
    </row>
    <row r="1978" customHeight="1" spans="1:4">
      <c r="A1978" s="3"/>
      <c r="B1978" s="3"/>
      <c r="C1978" s="3"/>
      <c r="D1978" s="3"/>
    </row>
    <row r="1979" customHeight="1" spans="1:4">
      <c r="A1979" s="3"/>
      <c r="B1979" s="3"/>
      <c r="C1979" s="3"/>
      <c r="D1979" s="3"/>
    </row>
    <row r="1980" customHeight="1" spans="1:4">
      <c r="A1980" s="3"/>
      <c r="B1980" s="3"/>
      <c r="C1980" s="3"/>
      <c r="D1980" s="3"/>
    </row>
    <row r="1981" customHeight="1" spans="1:4">
      <c r="A1981" s="3"/>
      <c r="B1981" s="3"/>
      <c r="C1981" s="3"/>
      <c r="D1981" s="3"/>
    </row>
    <row r="1982" customHeight="1" spans="1:4">
      <c r="A1982" s="3"/>
      <c r="B1982" s="3"/>
      <c r="C1982" s="3"/>
      <c r="D1982" s="3"/>
    </row>
    <row r="1983" customHeight="1" spans="1:4">
      <c r="A1983" s="3"/>
      <c r="B1983" s="3"/>
      <c r="C1983" s="3"/>
      <c r="D1983" s="3"/>
    </row>
    <row r="1984" customHeight="1" spans="1:4">
      <c r="A1984" s="3"/>
      <c r="B1984" s="3"/>
      <c r="C1984" s="3"/>
      <c r="D1984" s="3"/>
    </row>
    <row r="1985" customHeight="1" spans="1:4">
      <c r="A1985" s="3"/>
      <c r="B1985" s="3"/>
      <c r="C1985" s="3"/>
      <c r="D1985" s="3"/>
    </row>
    <row r="1986" customHeight="1" spans="1:4">
      <c r="A1986" s="3"/>
      <c r="B1986" s="3"/>
      <c r="C1986" s="3"/>
      <c r="D1986" s="3"/>
    </row>
    <row r="1987" customHeight="1" spans="1:4">
      <c r="A1987" s="3"/>
      <c r="B1987" s="3"/>
      <c r="C1987" s="3"/>
      <c r="D1987" s="3"/>
    </row>
    <row r="1988" customHeight="1" spans="1:4">
      <c r="A1988" s="3"/>
      <c r="B1988" s="3"/>
      <c r="C1988" s="3"/>
      <c r="D1988" s="3"/>
    </row>
    <row r="1989" customHeight="1" spans="1:4">
      <c r="A1989" s="3"/>
      <c r="B1989" s="3"/>
      <c r="C1989" s="3"/>
      <c r="D1989" s="3"/>
    </row>
    <row r="1990" customHeight="1" spans="1:4">
      <c r="A1990" s="3"/>
      <c r="B1990" s="3"/>
      <c r="C1990" s="3"/>
      <c r="D1990" s="3"/>
    </row>
    <row r="1991" customHeight="1" spans="1:4">
      <c r="A1991" s="3"/>
      <c r="B1991" s="3"/>
      <c r="C1991" s="3"/>
      <c r="D1991" s="3"/>
    </row>
    <row r="1992" customHeight="1" spans="1:4">
      <c r="A1992" s="3"/>
      <c r="B1992" s="3"/>
      <c r="C1992" s="3"/>
      <c r="D1992" s="3"/>
    </row>
    <row r="1993" customHeight="1" spans="1:4">
      <c r="A1993" s="3"/>
      <c r="B1993" s="3"/>
      <c r="C1993" s="3"/>
      <c r="D1993" s="3"/>
    </row>
    <row r="1994" customHeight="1" spans="1:4">
      <c r="A1994" s="3"/>
      <c r="B1994" s="3"/>
      <c r="C1994" s="3"/>
      <c r="D1994" s="3"/>
    </row>
    <row r="1995" customHeight="1" spans="1:4">
      <c r="A1995" s="3"/>
      <c r="B1995" s="3"/>
      <c r="C1995" s="3"/>
      <c r="D1995" s="3"/>
    </row>
    <row r="1996" customHeight="1" spans="1:4">
      <c r="A1996" s="3"/>
      <c r="B1996" s="3"/>
      <c r="C1996" s="3"/>
      <c r="D1996" s="3"/>
    </row>
    <row r="1997" customHeight="1" spans="1:4">
      <c r="A1997" s="3"/>
      <c r="B1997" s="3"/>
      <c r="C1997" s="3"/>
      <c r="D1997" s="3"/>
    </row>
    <row r="1998" customHeight="1" spans="1:4">
      <c r="A1998" s="3"/>
      <c r="B1998" s="3"/>
      <c r="C1998" s="3"/>
      <c r="D1998" s="3"/>
    </row>
    <row r="1999" customHeight="1" spans="1:4">
      <c r="A1999" s="3"/>
      <c r="B1999" s="3"/>
      <c r="C1999" s="3"/>
      <c r="D1999" s="3"/>
    </row>
    <row r="2000" customHeight="1" spans="1:4">
      <c r="A2000" s="3"/>
      <c r="B2000" s="3"/>
      <c r="C2000" s="3"/>
      <c r="D2000" s="3"/>
    </row>
    <row r="2001" customHeight="1" spans="1:4">
      <c r="A2001" s="3"/>
      <c r="B2001" s="3"/>
      <c r="C2001" s="3"/>
      <c r="D2001" s="3"/>
    </row>
    <row r="2002" customHeight="1" spans="1:4">
      <c r="A2002" s="3"/>
      <c r="B2002" s="3"/>
      <c r="C2002" s="3"/>
      <c r="D2002" s="3"/>
    </row>
    <row r="2003" customHeight="1" spans="1:4">
      <c r="A2003" s="3"/>
      <c r="B2003" s="3"/>
      <c r="C2003" s="3"/>
      <c r="D2003" s="3"/>
    </row>
    <row r="2004" customHeight="1" spans="1:4">
      <c r="A2004" s="3"/>
      <c r="B2004" s="3"/>
      <c r="C2004" s="3"/>
      <c r="D2004" s="3"/>
    </row>
    <row r="2005" customHeight="1" spans="1:4">
      <c r="A2005" s="3"/>
      <c r="B2005" s="3"/>
      <c r="C2005" s="3"/>
      <c r="D2005" s="3"/>
    </row>
    <row r="2006" customHeight="1" spans="1:4">
      <c r="A2006" s="3"/>
      <c r="B2006" s="3"/>
      <c r="C2006" s="3"/>
      <c r="D2006" s="3"/>
    </row>
    <row r="2007" customHeight="1" spans="1:4">
      <c r="A2007" s="3"/>
      <c r="B2007" s="3"/>
      <c r="C2007" s="3"/>
      <c r="D2007" s="3"/>
    </row>
    <row r="2008" customHeight="1" spans="1:4">
      <c r="A2008" s="3"/>
      <c r="B2008" s="3"/>
      <c r="C2008" s="3"/>
      <c r="D2008" s="3"/>
    </row>
    <row r="2009" customHeight="1" spans="1:4">
      <c r="A2009" s="3"/>
      <c r="B2009" s="3"/>
      <c r="C2009" s="3"/>
      <c r="D2009" s="3"/>
    </row>
    <row r="2010" customHeight="1" spans="1:4">
      <c r="A2010" s="3"/>
      <c r="B2010" s="3"/>
      <c r="C2010" s="3"/>
      <c r="D2010" s="3"/>
    </row>
    <row r="2011" customHeight="1" spans="1:4">
      <c r="A2011" s="3"/>
      <c r="B2011" s="3"/>
      <c r="C2011" s="3"/>
      <c r="D2011" s="3"/>
    </row>
    <row r="2012" customHeight="1" spans="1:4">
      <c r="A2012" s="3"/>
      <c r="B2012" s="3"/>
      <c r="C2012" s="3"/>
      <c r="D2012" s="3"/>
    </row>
    <row r="2013" customHeight="1" spans="1:4">
      <c r="A2013" s="3"/>
      <c r="B2013" s="3"/>
      <c r="C2013" s="3"/>
      <c r="D2013" s="3"/>
    </row>
    <row r="2014" customHeight="1" spans="1:4">
      <c r="A2014" s="3"/>
      <c r="B2014" s="3"/>
      <c r="C2014" s="3"/>
      <c r="D2014" s="3"/>
    </row>
    <row r="2015" customHeight="1" spans="1:4">
      <c r="A2015" s="3"/>
      <c r="B2015" s="3"/>
      <c r="C2015" s="3"/>
      <c r="D2015" s="3"/>
    </row>
    <row r="2016" customHeight="1" spans="1:4">
      <c r="A2016" s="3"/>
      <c r="B2016" s="3"/>
      <c r="C2016" s="3"/>
      <c r="D2016" s="3"/>
    </row>
    <row r="2017" customHeight="1" spans="1:4">
      <c r="A2017" s="3"/>
      <c r="B2017" s="3"/>
      <c r="C2017" s="3"/>
      <c r="D2017" s="3"/>
    </row>
    <row r="2018" customHeight="1" spans="1:4">
      <c r="A2018" s="3"/>
      <c r="B2018" s="3"/>
      <c r="C2018" s="3"/>
      <c r="D2018" s="3"/>
    </row>
    <row r="2019" customHeight="1" spans="1:4">
      <c r="A2019" s="3"/>
      <c r="B2019" s="3"/>
      <c r="C2019" s="3"/>
      <c r="D2019" s="3"/>
    </row>
    <row r="2020" customHeight="1" spans="1:4">
      <c r="A2020" s="3"/>
      <c r="B2020" s="3"/>
      <c r="C2020" s="3"/>
      <c r="D2020" s="3"/>
    </row>
    <row r="2021" customHeight="1" spans="1:4">
      <c r="A2021" s="3"/>
      <c r="B2021" s="3"/>
      <c r="C2021" s="3"/>
      <c r="D2021" s="3"/>
    </row>
    <row r="2022" customHeight="1" spans="1:4">
      <c r="A2022" s="3"/>
      <c r="B2022" s="3"/>
      <c r="C2022" s="3"/>
      <c r="D2022" s="3"/>
    </row>
    <row r="2023" customHeight="1" spans="1:4">
      <c r="A2023" s="3"/>
      <c r="B2023" s="3"/>
      <c r="C2023" s="3"/>
      <c r="D2023" s="3"/>
    </row>
    <row r="2024" customHeight="1" spans="1:4">
      <c r="A2024" s="3"/>
      <c r="B2024" s="3"/>
      <c r="C2024" s="3"/>
      <c r="D2024" s="3"/>
    </row>
    <row r="2025" customHeight="1" spans="1:4">
      <c r="A2025" s="3"/>
      <c r="B2025" s="3"/>
      <c r="C2025" s="3"/>
      <c r="D2025" s="3"/>
    </row>
    <row r="2026" customHeight="1" spans="1:4">
      <c r="A2026" s="3"/>
      <c r="B2026" s="3"/>
      <c r="C2026" s="3"/>
      <c r="D2026" s="3"/>
    </row>
    <row r="2027" customHeight="1" spans="1:4">
      <c r="A2027" s="3"/>
      <c r="B2027" s="3"/>
      <c r="C2027" s="3"/>
      <c r="D2027" s="3"/>
    </row>
    <row r="2028" customHeight="1" spans="1:4">
      <c r="A2028" s="3"/>
      <c r="B2028" s="3"/>
      <c r="C2028" s="3"/>
      <c r="D2028" s="3"/>
    </row>
    <row r="2029" customHeight="1" spans="1:4">
      <c r="A2029" s="3"/>
      <c r="B2029" s="3"/>
      <c r="C2029" s="3"/>
      <c r="D2029" s="3"/>
    </row>
    <row r="2030" customHeight="1" spans="1:4">
      <c r="A2030" s="3"/>
      <c r="B2030" s="3"/>
      <c r="C2030" s="3"/>
      <c r="D2030" s="3"/>
    </row>
    <row r="2031" customHeight="1" spans="1:4">
      <c r="A2031" s="3"/>
      <c r="B2031" s="3"/>
      <c r="C2031" s="3"/>
      <c r="D2031" s="3"/>
    </row>
    <row r="2032" customHeight="1" spans="1:4">
      <c r="A2032" s="3"/>
      <c r="B2032" s="3"/>
      <c r="C2032" s="3"/>
      <c r="D2032" s="3"/>
    </row>
    <row r="2033" customHeight="1" spans="1:4">
      <c r="A2033" s="3"/>
      <c r="B2033" s="3"/>
      <c r="C2033" s="3"/>
      <c r="D2033" s="3"/>
    </row>
    <row r="2034" customHeight="1" spans="1:4">
      <c r="A2034" s="3"/>
      <c r="B2034" s="3"/>
      <c r="C2034" s="3"/>
      <c r="D2034" s="3"/>
    </row>
    <row r="2035" customHeight="1" spans="1:4">
      <c r="A2035" s="3"/>
      <c r="B2035" s="3"/>
      <c r="C2035" s="3"/>
      <c r="D2035" s="3"/>
    </row>
    <row r="2036" customHeight="1" spans="1:4">
      <c r="A2036" s="3"/>
      <c r="B2036" s="3"/>
      <c r="C2036" s="3"/>
      <c r="D2036" s="3"/>
    </row>
    <row r="2037" customHeight="1" spans="1:4">
      <c r="A2037" s="3"/>
      <c r="B2037" s="3"/>
      <c r="C2037" s="3"/>
      <c r="D2037" s="3"/>
    </row>
    <row r="2038" customHeight="1" spans="1:4">
      <c r="A2038" s="3"/>
      <c r="B2038" s="3"/>
      <c r="C2038" s="3"/>
      <c r="D2038" s="3"/>
    </row>
    <row r="2039" customHeight="1" spans="1:4">
      <c r="A2039" s="3"/>
      <c r="B2039" s="3"/>
      <c r="C2039" s="3"/>
      <c r="D2039" s="3"/>
    </row>
    <row r="2040" customHeight="1" spans="1:4">
      <c r="A2040" s="3"/>
      <c r="B2040" s="3"/>
      <c r="C2040" s="3"/>
      <c r="D2040" s="3"/>
    </row>
    <row r="2041" customHeight="1" spans="1:4">
      <c r="A2041" s="3"/>
      <c r="B2041" s="3"/>
      <c r="C2041" s="3"/>
      <c r="D2041" s="3"/>
    </row>
    <row r="2042" customHeight="1" spans="1:4">
      <c r="A2042" s="3"/>
      <c r="B2042" s="3"/>
      <c r="C2042" s="3"/>
      <c r="D2042" s="3"/>
    </row>
    <row r="2043" customHeight="1" spans="1:4">
      <c r="A2043" s="3"/>
      <c r="B2043" s="3"/>
      <c r="C2043" s="3"/>
      <c r="D2043" s="3"/>
    </row>
    <row r="2044" customHeight="1" spans="1:4">
      <c r="A2044" s="3"/>
      <c r="B2044" s="3"/>
      <c r="C2044" s="3"/>
      <c r="D2044" s="3"/>
    </row>
    <row r="2045" customHeight="1" spans="1:4">
      <c r="A2045" s="3"/>
      <c r="B2045" s="3"/>
      <c r="C2045" s="3"/>
      <c r="D2045" s="3"/>
    </row>
    <row r="2046" customHeight="1" spans="1:4">
      <c r="A2046" s="3"/>
      <c r="B2046" s="3"/>
      <c r="C2046" s="3"/>
      <c r="D2046" s="3"/>
    </row>
    <row r="2047" customHeight="1" spans="1:4">
      <c r="A2047" s="3"/>
      <c r="B2047" s="3"/>
      <c r="C2047" s="3"/>
      <c r="D2047" s="3"/>
    </row>
    <row r="2048" customHeight="1" spans="1:4">
      <c r="A2048" s="3"/>
      <c r="B2048" s="3"/>
      <c r="C2048" s="3"/>
      <c r="D2048" s="3"/>
    </row>
    <row r="2049" customHeight="1" spans="1:4">
      <c r="A2049" s="3"/>
      <c r="B2049" s="3"/>
      <c r="C2049" s="3"/>
      <c r="D2049" s="3"/>
    </row>
    <row r="2050" customHeight="1" spans="1:4">
      <c r="A2050" s="3"/>
      <c r="B2050" s="3"/>
      <c r="C2050" s="3"/>
      <c r="D2050" s="3"/>
    </row>
    <row r="2051" customHeight="1" spans="1:4">
      <c r="A2051" s="3"/>
      <c r="B2051" s="3"/>
      <c r="C2051" s="3"/>
      <c r="D2051" s="3"/>
    </row>
  </sheetData>
  <autoFilter ref="A1:D2051">
    <sortState ref="A1:D2051">
      <sortCondition ref="A1:A205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11</vt:i4>
      </vt:variant>
    </vt:vector>
  </HeadingPairs>
  <TitlesOfParts>
    <vt:vector size="11" baseType="lpstr">
      <vt:lpstr>Sheet4</vt:lpstr>
      <vt:lpstr>Exhaustive</vt:lpstr>
      <vt:lpstr>Copy of Exhaustive</vt:lpstr>
      <vt:lpstr>Sheet6</vt:lpstr>
      <vt:lpstr>Sheet7</vt:lpstr>
      <vt:lpstr>Main</vt:lpstr>
      <vt:lpstr>Stories</vt:lpstr>
      <vt:lpstr>Overall Progress</vt:lpstr>
      <vt:lpstr>Sets Progress</vt:lpstr>
      <vt:lpstr>Sheet10</vt:lpstr>
      <vt:lpstr>Copy of Sheet8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prana</cp:lastModifiedBy>
  <dcterms:created xsi:type="dcterms:W3CDTF">2024-10-20T15:27:00Z</dcterms:created>
  <dcterms:modified xsi:type="dcterms:W3CDTF">2024-10-20T18:33:03Z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59A7E2F1141744698B1A6971D474B496_12</vt:lpwstr>
  </property>
  <property fmtid="{D5CDD505-2E9C-101B-9397-08002B2CF9AE}" pid="3" name="KSOProductBuildVer">
    <vt:lpwstr>1033-12.2.0.13472</vt:lpwstr>
  </property>
</Properties>
</file>