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heckCompatibility="1" defaultThemeVersion="124226"/>
  <mc:AlternateContent xmlns:mc="http://schemas.openxmlformats.org/markup-compatibility/2006">
    <mc:Choice Requires="x15">
      <x15ac:absPath xmlns:x15ac="http://schemas.microsoft.com/office/spreadsheetml/2010/11/ac" url="/Users/pranavdeo/Desktop/Marketing Analytics/Semester 2/Market Forecasting/Assignment- Bass Model/"/>
    </mc:Choice>
  </mc:AlternateContent>
  <xr:revisionPtr revIDLastSave="0" documentId="13_ncr:1_{127E9875-6C9F-4541-972D-D9E09315CAE5}" xr6:coauthVersionLast="45" xr6:coauthVersionMax="45" xr10:uidLastSave="{00000000-0000-0000-0000-000000000000}"/>
  <bookViews>
    <workbookView xWindow="0" yWindow="460" windowWidth="33600" windowHeight="18940" activeTab="6" xr2:uid="{00000000-000D-0000-FFFF-FFFF00000000}"/>
  </bookViews>
  <sheets>
    <sheet name="Q1" sheetId="8" r:id="rId1"/>
    <sheet name="Q2" sheetId="2" r:id="rId2"/>
    <sheet name="Q3" sheetId="5" r:id="rId3"/>
    <sheet name="Q4" sheetId="3" r:id="rId4"/>
    <sheet name="Q5" sheetId="10" r:id="rId5"/>
    <sheet name="Q6" sheetId="12" r:id="rId6"/>
    <sheet name="WorkSheet" sheetId="11" r:id="rId7"/>
  </sheets>
  <definedNames>
    <definedName name="__xlchart.v1.0" hidden="1">'Q6'!$C$18:$K$19</definedName>
    <definedName name="__xlchart.v1.1" hidden="1">'Q6'!$C$20:$K$20</definedName>
    <definedName name="__xlchart.v1.2" hidden="1">'Q6'!$C$21:$K$21</definedName>
    <definedName name="__xlchart.v1.3" hidden="1">'Q6'!$C$22:$K$22</definedName>
    <definedName name="__xlchart.v1.4" hidden="1">'Q6'!$C$23:$K$23</definedName>
    <definedName name="__xlchart.v1.5" hidden="1">'Q6'!$C$24:$K$24</definedName>
    <definedName name="__xlchart.v1.6" hidden="1">'Q6'!$C$25:$K$25</definedName>
    <definedName name="solver_adj" localSheetId="0" hidden="1">'Q1'!$I$9:$I$10</definedName>
    <definedName name="solver_adj" localSheetId="2" hidden="1">'Q3'!$I$8:$I$9</definedName>
    <definedName name="solver_adj" localSheetId="4" hidden="1">'Q5'!$G$7:$G$8</definedName>
    <definedName name="solver_cvg" localSheetId="0" hidden="1">0.0001</definedName>
    <definedName name="solver_cvg" localSheetId="2" hidden="1">0.0001</definedName>
    <definedName name="solver_cvg" localSheetId="4" hidden="1">0.0001</definedName>
    <definedName name="solver_drv" localSheetId="0" hidden="1">1</definedName>
    <definedName name="solver_drv" localSheetId="2" hidden="1">1</definedName>
    <definedName name="solver_drv" localSheetId="4" hidden="1">1</definedName>
    <definedName name="solver_eng" localSheetId="0" hidden="1">1</definedName>
    <definedName name="solver_eng" localSheetId="2" hidden="1">1</definedName>
    <definedName name="solver_eng" localSheetId="4" hidden="1">1</definedName>
    <definedName name="solver_est" localSheetId="0" hidden="1">1</definedName>
    <definedName name="solver_est" localSheetId="2" hidden="1">1</definedName>
    <definedName name="solver_est" localSheetId="4" hidden="1">1</definedName>
    <definedName name="solver_itr" localSheetId="0" hidden="1">100</definedName>
    <definedName name="solver_itr" localSheetId="2" hidden="1">100</definedName>
    <definedName name="solver_itr" localSheetId="4" hidden="1">100</definedName>
    <definedName name="solver_lhs1" localSheetId="0" hidden="1">'Q1'!$I$9:$I$10</definedName>
    <definedName name="solver_lhs1" localSheetId="2" hidden="1">'Q3'!$I$8:$I$9</definedName>
    <definedName name="solver_lhs1" localSheetId="4" hidden="1">'Q5'!$G$7:$G$8</definedName>
    <definedName name="solver_lhs2" localSheetId="0" hidden="1">'Q1'!$H$8:$H$9</definedName>
    <definedName name="solver_lhs2" localSheetId="2" hidden="1">'Q3'!$H$7:$H$8</definedName>
    <definedName name="solver_lhs2" localSheetId="4" hidden="1">'Q5'!$F$6:$F$7</definedName>
    <definedName name="solver_lin" localSheetId="0" hidden="1">2</definedName>
    <definedName name="solver_lin" localSheetId="2" hidden="1">2</definedName>
    <definedName name="solver_lin" localSheetId="4" hidden="1">2</definedName>
    <definedName name="solver_mip" localSheetId="0" hidden="1">2147483647</definedName>
    <definedName name="solver_mip" localSheetId="2" hidden="1">2147483647</definedName>
    <definedName name="solver_mip" localSheetId="4" hidden="1">2147483647</definedName>
    <definedName name="solver_mni" localSheetId="0" hidden="1">30</definedName>
    <definedName name="solver_mni" localSheetId="2" hidden="1">30</definedName>
    <definedName name="solver_mni" localSheetId="4" hidden="1">30</definedName>
    <definedName name="solver_mrt" localSheetId="0" hidden="1">0.075</definedName>
    <definedName name="solver_mrt" localSheetId="2" hidden="1">0.075</definedName>
    <definedName name="solver_mrt" localSheetId="4" hidden="1">0.075</definedName>
    <definedName name="solver_msl" localSheetId="0" hidden="1">2</definedName>
    <definedName name="solver_msl" localSheetId="2" hidden="1">2</definedName>
    <definedName name="solver_msl" localSheetId="4" hidden="1">2</definedName>
    <definedName name="solver_neg" localSheetId="0" hidden="1">2</definedName>
    <definedName name="solver_neg" localSheetId="2" hidden="1">2</definedName>
    <definedName name="solver_neg" localSheetId="4" hidden="1">2</definedName>
    <definedName name="solver_nod" localSheetId="0" hidden="1">2147483647</definedName>
    <definedName name="solver_nod" localSheetId="2" hidden="1">2147483647</definedName>
    <definedName name="solver_nod" localSheetId="4" hidden="1">2147483647</definedName>
    <definedName name="solver_num" localSheetId="0" hidden="1">1</definedName>
    <definedName name="solver_num" localSheetId="2" hidden="1">1</definedName>
    <definedName name="solver_num" localSheetId="4" hidden="1">1</definedName>
    <definedName name="solver_nwt" localSheetId="0" hidden="1">1</definedName>
    <definedName name="solver_nwt" localSheetId="2" hidden="1">1</definedName>
    <definedName name="solver_nwt" localSheetId="4" hidden="1">1</definedName>
    <definedName name="solver_opt" localSheetId="0" hidden="1">'Q1'!$I$11</definedName>
    <definedName name="solver_opt" localSheetId="2" hidden="1">'Q3'!$I$10</definedName>
    <definedName name="solver_opt" localSheetId="4" hidden="1">'Q5'!$G$9</definedName>
    <definedName name="solver_pre" localSheetId="0" hidden="1">0.000001</definedName>
    <definedName name="solver_pre" localSheetId="2" hidden="1">0.000001</definedName>
    <definedName name="solver_pre" localSheetId="4" hidden="1">0.000001</definedName>
    <definedName name="solver_rbv" localSheetId="0" hidden="1">1</definedName>
    <definedName name="solver_rbv" localSheetId="2" hidden="1">1</definedName>
    <definedName name="solver_rbv" localSheetId="4" hidden="1">1</definedName>
    <definedName name="solver_rel1" localSheetId="0" hidden="1">3</definedName>
    <definedName name="solver_rel1" localSheetId="2" hidden="1">3</definedName>
    <definedName name="solver_rel1" localSheetId="4" hidden="1">3</definedName>
    <definedName name="solver_rel2" localSheetId="0" hidden="1">1</definedName>
    <definedName name="solver_rel2" localSheetId="2" hidden="1">1</definedName>
    <definedName name="solver_rel2" localSheetId="4" hidden="1">1</definedName>
    <definedName name="solver_rhs1" localSheetId="0" hidden="1">0.000000000001</definedName>
    <definedName name="solver_rhs1" localSheetId="2" hidden="1">0.000000000001</definedName>
    <definedName name="solver_rhs1" localSheetId="4" hidden="1">0.000000000001</definedName>
    <definedName name="solver_rhs2" localSheetId="0" hidden="1">2</definedName>
    <definedName name="solver_rhs2" localSheetId="2" hidden="1">2</definedName>
    <definedName name="solver_rhs2" localSheetId="4" hidden="1">2</definedName>
    <definedName name="solver_rlx" localSheetId="0" hidden="1">1</definedName>
    <definedName name="solver_rlx" localSheetId="2" hidden="1">1</definedName>
    <definedName name="solver_rlx" localSheetId="4" hidden="1">1</definedName>
    <definedName name="solver_rsd" localSheetId="0" hidden="1">0</definedName>
    <definedName name="solver_rsd" localSheetId="2" hidden="1">0</definedName>
    <definedName name="solver_rsd" localSheetId="4" hidden="1">0</definedName>
    <definedName name="solver_scl" localSheetId="0" hidden="1">2</definedName>
    <definedName name="solver_scl" localSheetId="2" hidden="1">2</definedName>
    <definedName name="solver_scl" localSheetId="4" hidden="1">2</definedName>
    <definedName name="solver_sho" localSheetId="0" hidden="1">2</definedName>
    <definedName name="solver_sho" localSheetId="2" hidden="1">2</definedName>
    <definedName name="solver_sho" localSheetId="4" hidden="1">2</definedName>
    <definedName name="solver_ssz" localSheetId="0" hidden="1">100</definedName>
    <definedName name="solver_ssz" localSheetId="2" hidden="1">100</definedName>
    <definedName name="solver_ssz" localSheetId="4" hidden="1">100</definedName>
    <definedName name="solver_tim" localSheetId="0" hidden="1">100</definedName>
    <definedName name="solver_tim" localSheetId="2" hidden="1">100</definedName>
    <definedName name="solver_tim" localSheetId="4" hidden="1">100</definedName>
    <definedName name="solver_tol" localSheetId="0" hidden="1">0.05</definedName>
    <definedName name="solver_tol" localSheetId="2" hidden="1">0.05</definedName>
    <definedName name="solver_tol" localSheetId="4" hidden="1">0.05</definedName>
    <definedName name="solver_typ" localSheetId="0" hidden="1">2</definedName>
    <definedName name="solver_typ" localSheetId="2" hidden="1">2</definedName>
    <definedName name="solver_typ" localSheetId="4" hidden="1">2</definedName>
    <definedName name="solver_val" localSheetId="0" hidden="1">0</definedName>
    <definedName name="solver_val" localSheetId="2" hidden="1">0</definedName>
    <definedName name="solver_val" localSheetId="4" hidden="1">0</definedName>
    <definedName name="solver_ver" localSheetId="0" hidden="1">3</definedName>
    <definedName name="solver_ver" localSheetId="2" hidden="1">3</definedName>
    <definedName name="solver_ver" localSheetId="4"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60" i="12" l="1"/>
  <c r="T51" i="12"/>
  <c r="T43" i="12"/>
  <c r="M60" i="12"/>
  <c r="M51" i="12"/>
  <c r="M43" i="12"/>
  <c r="F60" i="12"/>
  <c r="F51" i="12"/>
  <c r="F43" i="12"/>
  <c r="E21" i="11"/>
  <c r="D21" i="11"/>
  <c r="E15" i="11"/>
  <c r="D15" i="11"/>
  <c r="H22" i="11"/>
  <c r="H21" i="11"/>
  <c r="H23" i="11" s="1"/>
  <c r="H16" i="11"/>
  <c r="H15" i="11"/>
  <c r="H17" i="11" s="1"/>
  <c r="E38" i="11"/>
  <c r="E39" i="11" s="1"/>
  <c r="E16" i="11" s="1"/>
  <c r="F38" i="11"/>
  <c r="F39" i="11" s="1"/>
  <c r="E22" i="11" s="1"/>
  <c r="E31" i="11"/>
  <c r="D16" i="11" s="1"/>
  <c r="E30" i="11"/>
  <c r="F30" i="11"/>
  <c r="F31" i="11" s="1"/>
  <c r="D22" i="11" s="1"/>
  <c r="H10" i="11"/>
  <c r="H9" i="11"/>
  <c r="E9" i="11"/>
  <c r="D9" i="11"/>
  <c r="D38" i="11"/>
  <c r="D39" i="11" s="1"/>
  <c r="E10" i="11" s="1"/>
  <c r="D30" i="11"/>
  <c r="D31" i="11" s="1"/>
  <c r="D10" i="11" s="1"/>
  <c r="D42" i="3"/>
  <c r="D44" i="3" s="1"/>
  <c r="G30" i="3"/>
  <c r="G31" i="3" s="1"/>
  <c r="E19" i="3" s="1"/>
  <c r="D30" i="3"/>
  <c r="D31" i="3" s="1"/>
  <c r="D19" i="3" s="1"/>
  <c r="H19" i="3"/>
  <c r="H18" i="3"/>
  <c r="E13" i="10"/>
  <c r="E18" i="3"/>
  <c r="D18" i="3"/>
  <c r="G15" i="8"/>
  <c r="G16" i="8" s="1"/>
  <c r="F16" i="8" s="1"/>
  <c r="F14" i="8"/>
  <c r="E14" i="8"/>
  <c r="G14" i="5"/>
  <c r="F14" i="5" s="1"/>
  <c r="F13" i="5"/>
  <c r="E13" i="5"/>
  <c r="H13" i="5" s="1"/>
  <c r="I13" i="5" s="1"/>
  <c r="D46" i="3" l="1"/>
  <c r="G6" i="10" s="1"/>
  <c r="D13" i="10" s="1"/>
  <c r="E35" i="12"/>
  <c r="E59" i="12" s="1"/>
  <c r="C35" i="12"/>
  <c r="E43" i="12" s="1"/>
  <c r="S35" i="12"/>
  <c r="R35" i="12"/>
  <c r="S43" i="12" s="1"/>
  <c r="M35" i="12"/>
  <c r="L60" i="12" s="1"/>
  <c r="D35" i="12"/>
  <c r="S50" i="12" s="1"/>
  <c r="T35" i="12"/>
  <c r="L35" i="12"/>
  <c r="L51" i="12" s="1"/>
  <c r="K35" i="12"/>
  <c r="L43" i="12" s="1"/>
  <c r="E60" i="12"/>
  <c r="E42" i="12"/>
  <c r="S59" i="12"/>
  <c r="S60" i="12"/>
  <c r="E51" i="12"/>
  <c r="H11" i="11"/>
  <c r="I10" i="11" s="1"/>
  <c r="H20" i="3"/>
  <c r="F15" i="8"/>
  <c r="H14" i="8"/>
  <c r="I14" i="8" s="1"/>
  <c r="E15" i="8"/>
  <c r="G17" i="8"/>
  <c r="E16" i="8"/>
  <c r="H16" i="8" s="1"/>
  <c r="I16" i="8" s="1"/>
  <c r="G15" i="5"/>
  <c r="E14" i="5"/>
  <c r="H14" i="5" s="1"/>
  <c r="I14" i="5" s="1"/>
  <c r="L42" i="12" l="1"/>
  <c r="D12" i="10"/>
  <c r="E50" i="12"/>
  <c r="I22" i="11"/>
  <c r="I15" i="11"/>
  <c r="I21" i="11"/>
  <c r="I16" i="11"/>
  <c r="S51" i="12"/>
  <c r="S42" i="12"/>
  <c r="H15" i="8"/>
  <c r="I15" i="8" s="1"/>
  <c r="L59" i="12"/>
  <c r="L50" i="12"/>
  <c r="I9" i="11"/>
  <c r="I19" i="3"/>
  <c r="I18" i="3"/>
  <c r="E17" i="8"/>
  <c r="G18" i="8"/>
  <c r="F17" i="8"/>
  <c r="E15" i="5"/>
  <c r="G16" i="5"/>
  <c r="F15" i="5"/>
  <c r="D4" i="11" l="1"/>
  <c r="E4" i="11"/>
  <c r="D3" i="11"/>
  <c r="E3" i="11"/>
  <c r="D2" i="11"/>
  <c r="E2" i="11"/>
  <c r="D21" i="3"/>
  <c r="E21" i="3"/>
  <c r="G8" i="10" s="1"/>
  <c r="H17" i="8"/>
  <c r="I17" i="8" s="1"/>
  <c r="G19" i="8"/>
  <c r="F19" i="8" s="1"/>
  <c r="F18" i="8"/>
  <c r="E18" i="8"/>
  <c r="G17" i="5"/>
  <c r="E16" i="5"/>
  <c r="F16" i="5"/>
  <c r="H15" i="5"/>
  <c r="I15" i="5" s="1"/>
  <c r="H18" i="8" l="1"/>
  <c r="I18" i="8" s="1"/>
  <c r="D37" i="12"/>
  <c r="E37" i="12"/>
  <c r="C37" i="12"/>
  <c r="D36" i="12"/>
  <c r="E36" i="12"/>
  <c r="C36" i="12"/>
  <c r="M37" i="12"/>
  <c r="K37" i="12"/>
  <c r="L37" i="12"/>
  <c r="L36" i="12"/>
  <c r="M36" i="12"/>
  <c r="K36" i="12"/>
  <c r="T37" i="12"/>
  <c r="R37" i="12"/>
  <c r="S37" i="12"/>
  <c r="S36" i="12"/>
  <c r="R36" i="12"/>
  <c r="T36" i="12"/>
  <c r="G7" i="10"/>
  <c r="C12" i="10" s="1"/>
  <c r="E19" i="8"/>
  <c r="H19" i="8" s="1"/>
  <c r="I19" i="8" s="1"/>
  <c r="I11" i="8" s="1"/>
  <c r="H16" i="5"/>
  <c r="I16" i="5" s="1"/>
  <c r="F17" i="5"/>
  <c r="G18" i="5"/>
  <c r="E17" i="5"/>
  <c r="H17" i="5" s="1"/>
  <c r="I17" i="5" s="1"/>
  <c r="K59" i="12" l="1"/>
  <c r="N59" i="12" s="1"/>
  <c r="J20" i="12" s="1"/>
  <c r="K60" i="12"/>
  <c r="N60" i="12" s="1"/>
  <c r="D60" i="12"/>
  <c r="G60" i="12" s="1"/>
  <c r="D59" i="12"/>
  <c r="G59" i="12" s="1"/>
  <c r="I20" i="12" s="1"/>
  <c r="R42" i="12"/>
  <c r="U42" i="12" s="1"/>
  <c r="E20" i="12" s="1"/>
  <c r="R43" i="12"/>
  <c r="U43" i="12" s="1"/>
  <c r="K42" i="12"/>
  <c r="N42" i="12" s="1"/>
  <c r="D20" i="12" s="1"/>
  <c r="K43" i="12"/>
  <c r="N43" i="12" s="1"/>
  <c r="K51" i="12"/>
  <c r="N51" i="12" s="1"/>
  <c r="K50" i="12"/>
  <c r="N50" i="12" s="1"/>
  <c r="G20" i="12" s="1"/>
  <c r="D43" i="12"/>
  <c r="G43" i="12" s="1"/>
  <c r="D42" i="12"/>
  <c r="G42" i="12" s="1"/>
  <c r="C20" i="12" s="1"/>
  <c r="D50" i="12"/>
  <c r="G50" i="12" s="1"/>
  <c r="F20" i="12" s="1"/>
  <c r="D51" i="12"/>
  <c r="G51" i="12" s="1"/>
  <c r="R59" i="12"/>
  <c r="U59" i="12" s="1"/>
  <c r="K20" i="12" s="1"/>
  <c r="R60" i="12"/>
  <c r="U60" i="12" s="1"/>
  <c r="R51" i="12"/>
  <c r="U51" i="12" s="1"/>
  <c r="R50" i="12"/>
  <c r="U50" i="12" s="1"/>
  <c r="H20" i="12" s="1"/>
  <c r="F12" i="10"/>
  <c r="F18" i="5"/>
  <c r="E18" i="5"/>
  <c r="H18" i="5" s="1"/>
  <c r="I18" i="5" s="1"/>
  <c r="I10" i="5" s="1"/>
  <c r="G19" i="5"/>
  <c r="M44" i="12" l="1"/>
  <c r="D21" i="12"/>
  <c r="T44" i="12"/>
  <c r="E21" i="12"/>
  <c r="T61" i="12"/>
  <c r="K21" i="12"/>
  <c r="F44" i="12"/>
  <c r="C21" i="12"/>
  <c r="G21" i="12"/>
  <c r="M52" i="12"/>
  <c r="T52" i="12"/>
  <c r="H21" i="12"/>
  <c r="I21" i="12"/>
  <c r="F61" i="12"/>
  <c r="F21" i="12"/>
  <c r="F52" i="12"/>
  <c r="M61" i="12"/>
  <c r="J21" i="12"/>
  <c r="C13" i="10"/>
  <c r="E19" i="5"/>
  <c r="F19" i="5"/>
  <c r="E61" i="12" l="1"/>
  <c r="D61" i="12"/>
  <c r="R44" i="12"/>
  <c r="S44" i="12"/>
  <c r="U44" i="12" s="1"/>
  <c r="E22" i="12" s="1"/>
  <c r="S52" i="12"/>
  <c r="R52" i="12"/>
  <c r="E44" i="12"/>
  <c r="D44" i="12"/>
  <c r="D52" i="12"/>
  <c r="E52" i="12"/>
  <c r="L52" i="12"/>
  <c r="K52" i="12"/>
  <c r="S61" i="12"/>
  <c r="R61" i="12"/>
  <c r="L61" i="12"/>
  <c r="K61" i="12"/>
  <c r="K44" i="12"/>
  <c r="L44" i="12"/>
  <c r="F13" i="10"/>
  <c r="E14" i="10" s="1"/>
  <c r="H19" i="5"/>
  <c r="U61" i="12" l="1"/>
  <c r="K22" i="12" s="1"/>
  <c r="U52" i="12"/>
  <c r="H22" i="12" s="1"/>
  <c r="G52" i="12"/>
  <c r="F22" i="12" s="1"/>
  <c r="T45" i="12"/>
  <c r="R45" i="12" s="1"/>
  <c r="N61" i="12"/>
  <c r="J22" i="12" s="1"/>
  <c r="G61" i="12"/>
  <c r="I22" i="12" s="1"/>
  <c r="G44" i="12"/>
  <c r="S45" i="12"/>
  <c r="N44" i="12"/>
  <c r="T53" i="12"/>
  <c r="M62" i="12"/>
  <c r="N52" i="12"/>
  <c r="I19" i="5"/>
  <c r="G20" i="5"/>
  <c r="T62" i="12" l="1"/>
  <c r="F62" i="12"/>
  <c r="F53" i="12"/>
  <c r="U45" i="12"/>
  <c r="E23" i="12" s="1"/>
  <c r="S53" i="12"/>
  <c r="R53" i="12"/>
  <c r="G22" i="12"/>
  <c r="M53" i="12"/>
  <c r="S62" i="12"/>
  <c r="R62" i="12"/>
  <c r="U62" i="12" s="1"/>
  <c r="K23" i="12" s="1"/>
  <c r="L62" i="12"/>
  <c r="K62" i="12"/>
  <c r="N62" i="12" s="1"/>
  <c r="D62" i="12"/>
  <c r="E62" i="12"/>
  <c r="D22" i="12"/>
  <c r="M45" i="12"/>
  <c r="C22" i="12"/>
  <c r="F45" i="12"/>
  <c r="C14" i="10"/>
  <c r="D14" i="10"/>
  <c r="F20" i="5"/>
  <c r="E20" i="5"/>
  <c r="E53" i="12" l="1"/>
  <c r="D53" i="12"/>
  <c r="G53" i="12" s="1"/>
  <c r="F23" i="12" s="1"/>
  <c r="U53" i="12"/>
  <c r="H23" i="12" s="1"/>
  <c r="T63" i="12"/>
  <c r="T46" i="12"/>
  <c r="S46" i="12" s="1"/>
  <c r="R63" i="12"/>
  <c r="S63" i="12"/>
  <c r="L53" i="12"/>
  <c r="K53" i="12"/>
  <c r="N53" i="12" s="1"/>
  <c r="G23" i="12" s="1"/>
  <c r="M63" i="12"/>
  <c r="J23" i="12"/>
  <c r="G62" i="12"/>
  <c r="E45" i="12"/>
  <c r="D45" i="12"/>
  <c r="G45" i="12" s="1"/>
  <c r="C23" i="12" s="1"/>
  <c r="T54" i="12"/>
  <c r="L45" i="12"/>
  <c r="K45" i="12"/>
  <c r="F14" i="10"/>
  <c r="H20" i="5"/>
  <c r="I20" i="5" s="1"/>
  <c r="N45" i="12" l="1"/>
  <c r="R46" i="12"/>
  <c r="U46" i="12" s="1"/>
  <c r="T47" i="12" s="1"/>
  <c r="F46" i="12"/>
  <c r="F54" i="12"/>
  <c r="E24" i="12"/>
  <c r="I23" i="12"/>
  <c r="F63" i="12"/>
  <c r="K63" i="12"/>
  <c r="L63" i="12"/>
  <c r="M54" i="12"/>
  <c r="U63" i="12"/>
  <c r="R54" i="12"/>
  <c r="S54" i="12"/>
  <c r="E46" i="12"/>
  <c r="D46" i="12"/>
  <c r="G46" i="12" s="1"/>
  <c r="C24" i="12" s="1"/>
  <c r="R47" i="12"/>
  <c r="S47" i="12"/>
  <c r="E15" i="10"/>
  <c r="D15" i="10" s="1"/>
  <c r="G21" i="5"/>
  <c r="F21" i="5" s="1"/>
  <c r="D23" i="12" l="1"/>
  <c r="M46" i="12"/>
  <c r="D54" i="12"/>
  <c r="E54" i="12"/>
  <c r="N63" i="12"/>
  <c r="U54" i="12"/>
  <c r="K24" i="12"/>
  <c r="T64" i="12"/>
  <c r="K54" i="12"/>
  <c r="L54" i="12"/>
  <c r="F47" i="12"/>
  <c r="D63" i="12"/>
  <c r="E63" i="12"/>
  <c r="U47" i="12"/>
  <c r="E25" i="12" s="1"/>
  <c r="C15" i="10"/>
  <c r="F15" i="10" s="1"/>
  <c r="E21" i="5"/>
  <c r="H21" i="5" s="1"/>
  <c r="L46" i="12" l="1"/>
  <c r="K46" i="12"/>
  <c r="N46" i="12" s="1"/>
  <c r="G54" i="12"/>
  <c r="G63" i="12"/>
  <c r="I24" i="12" s="1"/>
  <c r="J24" i="12"/>
  <c r="M64" i="12"/>
  <c r="D24" i="12"/>
  <c r="M47" i="12"/>
  <c r="E47" i="12"/>
  <c r="D47" i="12"/>
  <c r="N54" i="12"/>
  <c r="F64" i="12"/>
  <c r="S64" i="12"/>
  <c r="R64" i="12"/>
  <c r="U64" i="12" s="1"/>
  <c r="K25" i="12" s="1"/>
  <c r="H24" i="12"/>
  <c r="T55" i="12"/>
  <c r="E16" i="10"/>
  <c r="D16" i="10" s="1"/>
  <c r="I21" i="5"/>
  <c r="G22" i="5"/>
  <c r="F22" i="5" s="1"/>
  <c r="F24" i="12" l="1"/>
  <c r="F55" i="12"/>
  <c r="K64" i="12"/>
  <c r="L64" i="12"/>
  <c r="G47" i="12"/>
  <c r="C25" i="12" s="1"/>
  <c r="S55" i="12"/>
  <c r="R55" i="12"/>
  <c r="L47" i="12"/>
  <c r="K47" i="12"/>
  <c r="N47" i="12" s="1"/>
  <c r="D25" i="12" s="1"/>
  <c r="E64" i="12"/>
  <c r="D64" i="12"/>
  <c r="G64" i="12" s="1"/>
  <c r="I25" i="12" s="1"/>
  <c r="M55" i="12"/>
  <c r="G24" i="12"/>
  <c r="C16" i="10"/>
  <c r="F16" i="10" s="1"/>
  <c r="E22" i="5"/>
  <c r="H22" i="5" s="1"/>
  <c r="I22" i="5" s="1"/>
  <c r="U55" i="12" l="1"/>
  <c r="H25" i="12" s="1"/>
  <c r="D55" i="12"/>
  <c r="E55" i="12"/>
  <c r="N64" i="12"/>
  <c r="J25" i="12" s="1"/>
  <c r="K55" i="12"/>
  <c r="L55" i="12"/>
  <c r="E17" i="10"/>
  <c r="G23" i="5"/>
  <c r="E23" i="5" s="1"/>
  <c r="G55" i="12" l="1"/>
  <c r="F25" i="12" s="1"/>
  <c r="N55" i="12"/>
  <c r="G25" i="12" s="1"/>
  <c r="C17" i="10"/>
  <c r="D17" i="10"/>
  <c r="F23" i="5"/>
  <c r="H23" i="5" s="1"/>
  <c r="I23" i="5" s="1"/>
  <c r="F17" i="10" l="1"/>
  <c r="E18" i="10" s="1"/>
  <c r="C18" i="10" l="1"/>
  <c r="D18" i="10"/>
  <c r="F18" i="10" l="1"/>
  <c r="E19" i="10" s="1"/>
  <c r="C19" i="10" s="1"/>
  <c r="D19" i="10" l="1"/>
  <c r="F19" i="10"/>
  <c r="E20" i="10" s="1"/>
  <c r="C20" i="10" l="1"/>
  <c r="D20" i="10"/>
  <c r="F20" i="10" l="1"/>
  <c r="E21" i="10" s="1"/>
  <c r="D21" i="10" s="1"/>
  <c r="C21" i="10" l="1"/>
  <c r="F21" i="10" s="1"/>
  <c r="E22" i="10" s="1"/>
  <c r="C22" i="10" s="1"/>
  <c r="D22" i="10" l="1"/>
  <c r="F22" i="10" s="1"/>
  <c r="E23" i="10" s="1"/>
  <c r="D23" i="10" s="1"/>
  <c r="C23" i="10" l="1"/>
  <c r="F23" i="10"/>
  <c r="E24" i="10" s="1"/>
  <c r="C24" i="10" l="1"/>
  <c r="D24" i="10"/>
  <c r="F24" i="10" l="1"/>
  <c r="E25" i="10" s="1"/>
  <c r="C25" i="10" s="1"/>
  <c r="D25" i="10" l="1"/>
  <c r="F25" i="10" s="1"/>
  <c r="E26" i="10" s="1"/>
  <c r="C26" i="10" l="1"/>
  <c r="D26" i="10"/>
  <c r="F26" i="10" l="1"/>
  <c r="E27" i="10" s="1"/>
  <c r="C27" i="10" s="1"/>
  <c r="D27" i="10"/>
  <c r="F27" i="10" l="1"/>
  <c r="E28" i="10" s="1"/>
  <c r="D28" i="10" l="1"/>
  <c r="C28" i="10"/>
  <c r="F28" i="10" l="1"/>
</calcChain>
</file>

<file path=xl/sharedStrings.xml><?xml version="1.0" encoding="utf-8"?>
<sst xmlns="http://schemas.openxmlformats.org/spreadsheetml/2006/main" count="215" uniqueCount="66">
  <si>
    <t>Year</t>
  </si>
  <si>
    <t>iPod ($)</t>
  </si>
  <si>
    <t>iPod (units)</t>
  </si>
  <si>
    <t>iPhone (units)</t>
  </si>
  <si>
    <t>$ sales in millions</t>
  </si>
  <si>
    <t>Unit sales in thousands</t>
  </si>
  <si>
    <t>m</t>
  </si>
  <si>
    <t>p</t>
  </si>
  <si>
    <t>q</t>
  </si>
  <si>
    <t>Not-Yet Adopted</t>
  </si>
  <si>
    <t>N(t-1)</t>
  </si>
  <si>
    <t>Predicted Sales</t>
  </si>
  <si>
    <t>Sq. Error</t>
  </si>
  <si>
    <t>Rate</t>
  </si>
  <si>
    <t>SSE</t>
  </si>
  <si>
    <t>Market Size</t>
  </si>
  <si>
    <t>Comment</t>
  </si>
  <si>
    <t>weighted numerical score</t>
  </si>
  <si>
    <t>ipod</t>
  </si>
  <si>
    <t>market structure 
w = 0.4</t>
  </si>
  <si>
    <t>product characteristics
w = 0.6</t>
  </si>
  <si>
    <t>iPhone</t>
  </si>
  <si>
    <t>Baseline Case</t>
  </si>
  <si>
    <t>Cellular Telephone</t>
  </si>
  <si>
    <t>Multiplication Factor</t>
  </si>
  <si>
    <t>q Estimation for cellular telephone</t>
  </si>
  <si>
    <t>p Estimation for cellular telephone</t>
  </si>
  <si>
    <t>cellular telephone</t>
  </si>
  <si>
    <t>Number of years from 1976 to 2007</t>
  </si>
  <si>
    <t>Predicted Sales (t)</t>
  </si>
  <si>
    <t>Market size for iPhones</t>
  </si>
  <si>
    <t>Unit population in thousands</t>
  </si>
  <si>
    <t>World Population in 2007</t>
  </si>
  <si>
    <t>Mobile Phone Subscribers in 2007</t>
  </si>
  <si>
    <t>https://www.statista.com/statistics/270850/number-of-mobile-phone-subscribers-worldwide-since-2007/</t>
  </si>
  <si>
    <t xml:space="preserve">Number of years to reach maturity </t>
  </si>
  <si>
    <t>Growth Rate for Mobile phones</t>
  </si>
  <si>
    <t>Total Market Size for Mobile phones</t>
  </si>
  <si>
    <t>Smartphone Penetration rate in 10 years</t>
  </si>
  <si>
    <t>Assumptions</t>
  </si>
  <si>
    <t>Total Market Size for Smartphones</t>
  </si>
  <si>
    <t>Market share for iPhones</t>
  </si>
  <si>
    <t>Total Market Size for iPhones</t>
  </si>
  <si>
    <t>Best case</t>
  </si>
  <si>
    <t>Worst case</t>
  </si>
  <si>
    <t>Average case</t>
  </si>
  <si>
    <t>% share for iPhones from all smartphone marketshare</t>
  </si>
  <si>
    <t>Average</t>
  </si>
  <si>
    <t>Low</t>
  </si>
  <si>
    <t>High</t>
  </si>
  <si>
    <t>iPhone (Average p,q)</t>
  </si>
  <si>
    <t>iPhone (low p,q)</t>
  </si>
  <si>
    <t>iPhone (High p,q)</t>
  </si>
  <si>
    <t>cellular telephone  (Average p,q)</t>
  </si>
  <si>
    <t>cellular telephone  (low p,q)</t>
  </si>
  <si>
    <t>cellular telephone  (High p,q)</t>
  </si>
  <si>
    <t>Scenario 1 - Average p,q values</t>
  </si>
  <si>
    <t>Scenario 2 - low p,q values</t>
  </si>
  <si>
    <t>Scenario 3 - high p,q values</t>
  </si>
  <si>
    <t>50% market share</t>
  </si>
  <si>
    <t>35% market share</t>
  </si>
  <si>
    <t>20% market share</t>
  </si>
  <si>
    <t>Average p,q</t>
  </si>
  <si>
    <t>Low p,q</t>
  </si>
  <si>
    <t>High p,q</t>
  </si>
  <si>
    <t>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</si>
</sst>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font>
      <sz val="10"/>
      <name val="Arial"/>
    </font>
    <font>
      <sz val="10"/>
      <name val="Arial"/>
      <family val="2"/>
    </font>
    <font>
      <sz val="8"/>
      <name val="Arial"/>
      <family val="2"/>
    </font>
    <font>
      <sz val="10"/>
      <name val="Arial"/>
      <family val="2"/>
    </font>
    <font>
      <b/>
      <sz val="10"/>
      <name val="Arial"/>
      <family val="2"/>
    </font>
    <font>
      <u/>
      <sz val="10"/>
      <color theme="1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0" fontId="5" fillId="0" borderId="0" applyNumberFormat="0" applyFill="0" applyBorder="0" applyAlignment="0" applyProtection="0"/>
  </cellStyleXfs>
  <cellXfs count="51">
    <xf numFmtId="0" fontId="0" fillId="0" borderId="0" xfId="0"/>
    <xf numFmtId="0" fontId="3" fillId="0" borderId="0" xfId="0" applyFont="1"/>
    <xf numFmtId="1" fontId="3" fillId="0" borderId="0" xfId="1" applyNumberFormat="1" applyFont="1"/>
    <xf numFmtId="1" fontId="0" fillId="0" borderId="0" xfId="0" applyNumberFormat="1"/>
    <xf numFmtId="0" fontId="0" fillId="2" borderId="0" xfId="0" applyFill="1"/>
    <xf numFmtId="1" fontId="0" fillId="2" borderId="0" xfId="0" applyNumberFormat="1" applyFill="1"/>
    <xf numFmtId="0" fontId="3" fillId="0" borderId="0" xfId="2"/>
    <xf numFmtId="43" fontId="3" fillId="0" borderId="0" xfId="3" applyFont="1"/>
    <xf numFmtId="0" fontId="3" fillId="0" borderId="0" xfId="3" applyNumberFormat="1" applyFont="1"/>
    <xf numFmtId="43" fontId="0" fillId="0" borderId="0" xfId="1" applyFont="1"/>
    <xf numFmtId="43" fontId="0" fillId="2" borderId="0" xfId="1" applyFont="1" applyFill="1"/>
    <xf numFmtId="0" fontId="0" fillId="2" borderId="1" xfId="0" applyFill="1" applyBorder="1"/>
    <xf numFmtId="0" fontId="0" fillId="0" borderId="1" xfId="0" applyFont="1" applyFill="1" applyBorder="1"/>
    <xf numFmtId="0" fontId="0" fillId="0" borderId="1" xfId="0" applyBorder="1"/>
    <xf numFmtId="0" fontId="3" fillId="0" borderId="0" xfId="2"/>
    <xf numFmtId="43" fontId="3" fillId="0" borderId="0" xfId="3" applyFont="1"/>
    <xf numFmtId="0" fontId="3" fillId="0" borderId="0" xfId="3" applyNumberFormat="1" applyFont="1"/>
    <xf numFmtId="0" fontId="3" fillId="0" borderId="0" xfId="0" applyFont="1" applyAlignment="1">
      <alignment wrapText="1"/>
    </xf>
    <xf numFmtId="0" fontId="4" fillId="0" borderId="0" xfId="0" applyFont="1"/>
    <xf numFmtId="0" fontId="3" fillId="0" borderId="1" xfId="2" applyFont="1" applyBorder="1" applyAlignment="1">
      <alignment wrapText="1"/>
    </xf>
    <xf numFmtId="0" fontId="3" fillId="0" borderId="1" xfId="2" applyFont="1" applyFill="1" applyBorder="1" applyAlignment="1"/>
    <xf numFmtId="0" fontId="3" fillId="0" borderId="0" xfId="2" applyFont="1"/>
    <xf numFmtId="43" fontId="3" fillId="0" borderId="0" xfId="3" applyFont="1"/>
    <xf numFmtId="0" fontId="3" fillId="0" borderId="1" xfId="2" applyFont="1" applyBorder="1"/>
    <xf numFmtId="0" fontId="3" fillId="0" borderId="0" xfId="2" applyFont="1" applyAlignment="1"/>
    <xf numFmtId="0" fontId="3" fillId="0" borderId="1" xfId="2" applyFont="1" applyBorder="1" applyAlignment="1">
      <alignment horizontal="center"/>
    </xf>
    <xf numFmtId="0" fontId="3" fillId="0" borderId="0" xfId="0" applyFont="1" applyFill="1" applyBorder="1"/>
    <xf numFmtId="0" fontId="5" fillId="0" borderId="0" xfId="4"/>
    <xf numFmtId="164" fontId="0" fillId="0" borderId="0" xfId="1" applyNumberFormat="1" applyFont="1"/>
    <xf numFmtId="9" fontId="0" fillId="0" borderId="0" xfId="0" applyNumberFormat="1"/>
    <xf numFmtId="164" fontId="0" fillId="0" borderId="0" xfId="0" applyNumberFormat="1"/>
    <xf numFmtId="0" fontId="4" fillId="0" borderId="0" xfId="0" applyFont="1" applyFill="1" applyBorder="1"/>
    <xf numFmtId="43" fontId="0" fillId="0" borderId="0" xfId="0" applyNumberFormat="1"/>
    <xf numFmtId="0" fontId="4" fillId="3" borderId="0" xfId="0" applyFont="1" applyFill="1" applyBorder="1"/>
    <xf numFmtId="43" fontId="4" fillId="3" borderId="0" xfId="0" applyNumberFormat="1" applyFont="1" applyFill="1"/>
    <xf numFmtId="0" fontId="0" fillId="4" borderId="0" xfId="0" applyFill="1"/>
    <xf numFmtId="43" fontId="0" fillId="4" borderId="0" xfId="1" applyFont="1" applyFill="1"/>
    <xf numFmtId="1" fontId="0" fillId="4" borderId="0" xfId="0" applyNumberFormat="1" applyFill="1"/>
    <xf numFmtId="0" fontId="3" fillId="0" borderId="1" xfId="0" applyFont="1" applyBorder="1" applyAlignment="1">
      <alignment wrapText="1"/>
    </xf>
    <xf numFmtId="9" fontId="0" fillId="0" borderId="1" xfId="0" applyNumberFormat="1" applyBorder="1"/>
    <xf numFmtId="0" fontId="3" fillId="0" borderId="1" xfId="0" applyFont="1" applyBorder="1"/>
    <xf numFmtId="43" fontId="0" fillId="0" borderId="1" xfId="0" applyNumberFormat="1" applyBorder="1"/>
    <xf numFmtId="0" fontId="0" fillId="0" borderId="0" xfId="0" applyFill="1"/>
    <xf numFmtId="43" fontId="0" fillId="0" borderId="0" xfId="1" applyFont="1" applyFill="1"/>
    <xf numFmtId="1" fontId="0" fillId="0" borderId="0" xfId="0" applyNumberFormat="1" applyFill="1"/>
    <xf numFmtId="0" fontId="0" fillId="0" borderId="1" xfId="0" applyFill="1" applyBorder="1"/>
    <xf numFmtId="1" fontId="0" fillId="0" borderId="1" xfId="0" applyNumberFormat="1" applyBorder="1"/>
    <xf numFmtId="43" fontId="3" fillId="0" borderId="1" xfId="3" applyFont="1" applyBorder="1" applyAlignment="1">
      <alignment wrapText="1"/>
    </xf>
    <xf numFmtId="0" fontId="3" fillId="0" borderId="1" xfId="2"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cellXfs>
  <cellStyles count="5">
    <cellStyle name="Comma" xfId="1" builtinId="3"/>
    <cellStyle name="Comma 2" xfId="3" xr:uid="{00000000-0005-0000-0000-000001000000}"/>
    <cellStyle name="Hyperlink" xfId="4" builtinId="8"/>
    <cellStyle name="Normal" xfId="0" builtinId="0"/>
    <cellStyle name="Normal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iPod Actual vs</a:t>
            </a:r>
            <a:r>
              <a:rPr lang="en-US" baseline="0"/>
              <a:t> Predictated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'Q3'!$C$12</c:f>
              <c:strCache>
                <c:ptCount val="1"/>
                <c:pt idx="0">
                  <c:v>iPod (units)</c:v>
                </c:pt>
              </c:strCache>
            </c:strRef>
          </c:tx>
          <c:spPr>
            <a:ln w="28575" cap="rnd">
              <a:solidFill>
                <a:schemeClr val="accent1"/>
              </a:solidFill>
              <a:round/>
            </a:ln>
            <a:effectLst/>
          </c:spPr>
          <c:marker>
            <c:symbol val="none"/>
          </c:marker>
          <c:cat>
            <c:numRef>
              <c:f>'Q3'!$A$13:$A$23</c:f>
              <c:numCache>
                <c:formatCode>General</c:formatCode>
                <c:ptCount val="11"/>
                <c:pt idx="0">
                  <c:v>2002</c:v>
                </c:pt>
                <c:pt idx="1">
                  <c:v>2003</c:v>
                </c:pt>
                <c:pt idx="2">
                  <c:v>2004</c:v>
                </c:pt>
                <c:pt idx="3">
                  <c:v>2005</c:v>
                </c:pt>
                <c:pt idx="4">
                  <c:v>2006</c:v>
                </c:pt>
                <c:pt idx="5">
                  <c:v>2007</c:v>
                </c:pt>
                <c:pt idx="6">
                  <c:v>2008</c:v>
                </c:pt>
                <c:pt idx="7">
                  <c:v>2009</c:v>
                </c:pt>
                <c:pt idx="8">
                  <c:v>2010</c:v>
                </c:pt>
                <c:pt idx="9">
                  <c:v>2011</c:v>
                </c:pt>
                <c:pt idx="10">
                  <c:v>2012</c:v>
                </c:pt>
              </c:numCache>
            </c:numRef>
          </c:cat>
          <c:val>
            <c:numRef>
              <c:f>'Q3'!$C$13:$C$23</c:f>
              <c:numCache>
                <c:formatCode>General</c:formatCode>
                <c:ptCount val="11"/>
                <c:pt idx="0">
                  <c:v>381</c:v>
                </c:pt>
                <c:pt idx="1">
                  <c:v>939</c:v>
                </c:pt>
                <c:pt idx="2">
                  <c:v>4416</c:v>
                </c:pt>
                <c:pt idx="3">
                  <c:v>22496</c:v>
                </c:pt>
                <c:pt idx="4">
                  <c:v>39409</c:v>
                </c:pt>
                <c:pt idx="5">
                  <c:v>51630</c:v>
                </c:pt>
              </c:numCache>
            </c:numRef>
          </c:val>
          <c:smooth val="0"/>
          <c:extLst>
            <c:ext xmlns:c16="http://schemas.microsoft.com/office/drawing/2014/chart" uri="{C3380CC4-5D6E-409C-BE32-E72D297353CC}">
              <c16:uniqueId val="{00000000-F1F1-49AF-9BC5-CB26949CD0B6}"/>
            </c:ext>
          </c:extLst>
        </c:ser>
        <c:ser>
          <c:idx val="1"/>
          <c:order val="1"/>
          <c:tx>
            <c:strRef>
              <c:f>'Q3'!$H$12</c:f>
              <c:strCache>
                <c:ptCount val="1"/>
                <c:pt idx="0">
                  <c:v> Predicted Sales </c:v>
                </c:pt>
              </c:strCache>
            </c:strRef>
          </c:tx>
          <c:spPr>
            <a:ln w="28575" cap="rnd">
              <a:solidFill>
                <a:schemeClr val="accent2"/>
              </a:solidFill>
              <a:round/>
            </a:ln>
            <a:effectLst/>
          </c:spPr>
          <c:marker>
            <c:symbol val="none"/>
          </c:marker>
          <c:cat>
            <c:numRef>
              <c:f>'Q3'!$A$13:$A$23</c:f>
              <c:numCache>
                <c:formatCode>General</c:formatCode>
                <c:ptCount val="11"/>
                <c:pt idx="0">
                  <c:v>2002</c:v>
                </c:pt>
                <c:pt idx="1">
                  <c:v>2003</c:v>
                </c:pt>
                <c:pt idx="2">
                  <c:v>2004</c:v>
                </c:pt>
                <c:pt idx="3">
                  <c:v>2005</c:v>
                </c:pt>
                <c:pt idx="4">
                  <c:v>2006</c:v>
                </c:pt>
                <c:pt idx="5">
                  <c:v>2007</c:v>
                </c:pt>
                <c:pt idx="6">
                  <c:v>2008</c:v>
                </c:pt>
                <c:pt idx="7">
                  <c:v>2009</c:v>
                </c:pt>
                <c:pt idx="8">
                  <c:v>2010</c:v>
                </c:pt>
                <c:pt idx="9">
                  <c:v>2011</c:v>
                </c:pt>
                <c:pt idx="10">
                  <c:v>2012</c:v>
                </c:pt>
              </c:numCache>
            </c:numRef>
          </c:cat>
          <c:val>
            <c:numRef>
              <c:f>'Q3'!$H$13:$H$23</c:f>
              <c:numCache>
                <c:formatCode>0</c:formatCode>
                <c:ptCount val="11"/>
                <c:pt idx="0">
                  <c:v>5485.8251594555468</c:v>
                </c:pt>
                <c:pt idx="1">
                  <c:v>5921.9878725642329</c:v>
                </c:pt>
                <c:pt idx="2">
                  <c:v>6989.6615316216794</c:v>
                </c:pt>
                <c:pt idx="3">
                  <c:v>11871.932571966725</c:v>
                </c:pt>
                <c:pt idx="4">
                  <c:v>33188.077726644085</c:v>
                </c:pt>
                <c:pt idx="5">
                  <c:v>56204.151415322282</c:v>
                </c:pt>
                <c:pt idx="6">
                  <c:v>58756.062957995367</c:v>
                </c:pt>
                <c:pt idx="7">
                  <c:v>23573.642908915561</c:v>
                </c:pt>
                <c:pt idx="8">
                  <c:v>-1938.9019660368633</c:v>
                </c:pt>
                <c:pt idx="9">
                  <c:v>405.79934530633989</c:v>
                </c:pt>
                <c:pt idx="10">
                  <c:v>-81.27780008698663</c:v>
                </c:pt>
              </c:numCache>
            </c:numRef>
          </c:val>
          <c:smooth val="0"/>
          <c:extLst>
            <c:ext xmlns:c16="http://schemas.microsoft.com/office/drawing/2014/chart" uri="{C3380CC4-5D6E-409C-BE32-E72D297353CC}">
              <c16:uniqueId val="{00000001-F1F1-49AF-9BC5-CB26949CD0B6}"/>
            </c:ext>
          </c:extLst>
        </c:ser>
        <c:dLbls>
          <c:showLegendKey val="0"/>
          <c:showVal val="0"/>
          <c:showCatName val="0"/>
          <c:showSerName val="0"/>
          <c:showPercent val="0"/>
          <c:showBubbleSize val="0"/>
        </c:dLbls>
        <c:smooth val="0"/>
        <c:axId val="550786360"/>
        <c:axId val="550786688"/>
      </c:lineChart>
      <c:catAx>
        <c:axId val="5507863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786688"/>
        <c:crosses val="autoZero"/>
        <c:auto val="1"/>
        <c:lblAlgn val="ctr"/>
        <c:lblOffset val="100"/>
        <c:noMultiLvlLbl val="0"/>
      </c:catAx>
      <c:valAx>
        <c:axId val="55078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786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'Q5'!$F$11</c:f>
              <c:strCache>
                <c:ptCount val="1"/>
                <c:pt idx="0">
                  <c:v> Predicted Sales (t) </c:v>
                </c:pt>
              </c:strCache>
            </c:strRef>
          </c:tx>
          <c:spPr>
            <a:ln w="28575" cap="rnd">
              <a:solidFill>
                <a:schemeClr val="accent1"/>
              </a:solidFill>
              <a:round/>
            </a:ln>
            <a:effectLst/>
          </c:spPr>
          <c:marker>
            <c:symbol val="none"/>
          </c:marker>
          <c:cat>
            <c:numRef>
              <c:f>'Q5'!$A$12:$A$28</c:f>
              <c:numCache>
                <c:formatCode>General</c:formatCode>
                <c:ptCount val="17"/>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numCache>
            </c:numRef>
          </c:cat>
          <c:val>
            <c:numRef>
              <c:f>'Q5'!$F$12:$F$28</c:f>
              <c:numCache>
                <c:formatCode>0</c:formatCode>
                <c:ptCount val="17"/>
                <c:pt idx="0">
                  <c:v>23635.612197986888</c:v>
                </c:pt>
                <c:pt idx="1">
                  <c:v>24733.726508196258</c:v>
                </c:pt>
                <c:pt idx="2">
                  <c:v>43980.441558303639</c:v>
                </c:pt>
                <c:pt idx="3">
                  <c:v>76767.002626452959</c:v>
                </c:pt>
                <c:pt idx="4">
                  <c:v>129587.34205495463</c:v>
                </c:pt>
                <c:pt idx="5">
                  <c:v>206034.94341646146</c:v>
                </c:pt>
                <c:pt idx="6">
                  <c:v>294697.93185040855</c:v>
                </c:pt>
                <c:pt idx="7">
                  <c:v>351342.48112867179</c:v>
                </c:pt>
                <c:pt idx="8">
                  <c:v>310936.45474722201</c:v>
                </c:pt>
                <c:pt idx="9">
                  <c:v>177251.31017143099</c:v>
                </c:pt>
                <c:pt idx="10">
                  <c:v>59894.00455632661</c:v>
                </c:pt>
                <c:pt idx="11">
                  <c:v>13484.103614380971</c:v>
                </c:pt>
                <c:pt idx="12">
                  <c:v>2565.1981074022196</c:v>
                </c:pt>
                <c:pt idx="13">
                  <c:v>468.42217184509428</c:v>
                </c:pt>
                <c:pt idx="14">
                  <c:v>84.86124547566601</c:v>
                </c:pt>
                <c:pt idx="15">
                  <c:v>15.351477069926419</c:v>
                </c:pt>
                <c:pt idx="16">
                  <c:v>2.7763646950194718</c:v>
                </c:pt>
              </c:numCache>
            </c:numRef>
          </c:val>
          <c:smooth val="0"/>
          <c:extLst>
            <c:ext xmlns:c16="http://schemas.microsoft.com/office/drawing/2014/chart" uri="{C3380CC4-5D6E-409C-BE32-E72D297353CC}">
              <c16:uniqueId val="{00000000-2605-4CB5-B017-7FE9B4961BF4}"/>
            </c:ext>
          </c:extLst>
        </c:ser>
        <c:dLbls>
          <c:showLegendKey val="0"/>
          <c:showVal val="0"/>
          <c:showCatName val="0"/>
          <c:showSerName val="0"/>
          <c:showPercent val="0"/>
          <c:showBubbleSize val="0"/>
        </c:dLbls>
        <c:smooth val="0"/>
        <c:axId val="463792792"/>
        <c:axId val="463787872"/>
      </c:lineChart>
      <c:catAx>
        <c:axId val="463792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87872"/>
        <c:crosses val="autoZero"/>
        <c:auto val="1"/>
        <c:lblAlgn val="ctr"/>
        <c:lblOffset val="100"/>
        <c:noMultiLvlLbl val="0"/>
      </c:catAx>
      <c:valAx>
        <c:axId val="4637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92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Sales of iPhones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'Q6'!$C$18:$C$19</c:f>
              <c:strCache>
                <c:ptCount val="2"/>
                <c:pt idx="0">
                  <c:v>50% market share</c:v>
                </c:pt>
                <c:pt idx="1">
                  <c:v> Average p,q </c:v>
                </c:pt>
              </c:strCache>
            </c:strRef>
          </c:tx>
          <c:spPr>
            <a:ln w="28575" cap="rnd">
              <a:solidFill>
                <a:schemeClr val="accent1"/>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'Q6'!$C$20:$C$25</c:f>
              <c:numCache>
                <c:formatCode>0</c:formatCode>
                <c:ptCount val="6"/>
                <c:pt idx="0">
                  <c:v>33765.160282838413</c:v>
                </c:pt>
                <c:pt idx="1">
                  <c:v>34863.549832811514</c:v>
                </c:pt>
                <c:pt idx="2">
                  <c:v>62012.130171971257</c:v>
                </c:pt>
                <c:pt idx="3">
                  <c:v>108301.82395752879</c:v>
                </c:pt>
                <c:pt idx="4">
                  <c:v>183004.99589037825</c:v>
                </c:pt>
                <c:pt idx="5">
                  <c:v>291490.19181611651</c:v>
                </c:pt>
              </c:numCache>
            </c:numRef>
          </c:val>
          <c:smooth val="0"/>
          <c:extLst>
            <c:ext xmlns:c16="http://schemas.microsoft.com/office/drawing/2014/chart" uri="{C3380CC4-5D6E-409C-BE32-E72D297353CC}">
              <c16:uniqueId val="{00000000-F297-4242-B1B4-23B06A23ACA8}"/>
            </c:ext>
          </c:extLst>
        </c:ser>
        <c:ser>
          <c:idx val="1"/>
          <c:order val="1"/>
          <c:tx>
            <c:strRef>
              <c:f>'Q6'!$D$18:$D$19</c:f>
              <c:strCache>
                <c:ptCount val="2"/>
                <c:pt idx="0">
                  <c:v>50% market share</c:v>
                </c:pt>
                <c:pt idx="1">
                  <c:v> Low p,q </c:v>
                </c:pt>
              </c:strCache>
            </c:strRef>
          </c:tx>
          <c:spPr>
            <a:ln w="28575" cap="rnd">
              <a:solidFill>
                <a:schemeClr val="accent2"/>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'Q6'!$D$20:$D$25</c:f>
              <c:numCache>
                <c:formatCode>0</c:formatCode>
                <c:ptCount val="6"/>
                <c:pt idx="0">
                  <c:v>25372.582988604379</c:v>
                </c:pt>
                <c:pt idx="1">
                  <c:v>26180.533449697596</c:v>
                </c:pt>
                <c:pt idx="2">
                  <c:v>41232.368528157473</c:v>
                </c:pt>
                <c:pt idx="3">
                  <c:v>64257.018756257195</c:v>
                </c:pt>
                <c:pt idx="4">
                  <c:v>98478.545316650052</c:v>
                </c:pt>
                <c:pt idx="5">
                  <c:v>146999.98819557499</c:v>
                </c:pt>
              </c:numCache>
            </c:numRef>
          </c:val>
          <c:smooth val="0"/>
          <c:extLst>
            <c:ext xmlns:c16="http://schemas.microsoft.com/office/drawing/2014/chart" uri="{C3380CC4-5D6E-409C-BE32-E72D297353CC}">
              <c16:uniqueId val="{00000001-F297-4242-B1B4-23B06A23ACA8}"/>
            </c:ext>
          </c:extLst>
        </c:ser>
        <c:ser>
          <c:idx val="2"/>
          <c:order val="2"/>
          <c:tx>
            <c:strRef>
              <c:f>'Q6'!$E$18:$E$19</c:f>
              <c:strCache>
                <c:ptCount val="2"/>
                <c:pt idx="0">
                  <c:v>50% market share</c:v>
                </c:pt>
                <c:pt idx="1">
                  <c:v> High p,q </c:v>
                </c:pt>
              </c:strCache>
            </c:strRef>
          </c:tx>
          <c:spPr>
            <a:ln w="28575" cap="rnd">
              <a:solidFill>
                <a:schemeClr val="accent3"/>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'Q6'!$E$20:$E$25</c:f>
              <c:numCache>
                <c:formatCode>0</c:formatCode>
                <c:ptCount val="6"/>
                <c:pt idx="0">
                  <c:v>70185.288632690266</c:v>
                </c:pt>
                <c:pt idx="1">
                  <c:v>71924.70699403141</c:v>
                </c:pt>
                <c:pt idx="2">
                  <c:v>159199.90433579762</c:v>
                </c:pt>
                <c:pt idx="3">
                  <c:v>332875.43382513575</c:v>
                </c:pt>
                <c:pt idx="4">
                  <c:v>609203.7157390936</c:v>
                </c:pt>
                <c:pt idx="5">
                  <c:v>810739.85894595669</c:v>
                </c:pt>
              </c:numCache>
            </c:numRef>
          </c:val>
          <c:smooth val="0"/>
          <c:extLst>
            <c:ext xmlns:c16="http://schemas.microsoft.com/office/drawing/2014/chart" uri="{C3380CC4-5D6E-409C-BE32-E72D297353CC}">
              <c16:uniqueId val="{00000002-F297-4242-B1B4-23B06A23ACA8}"/>
            </c:ext>
          </c:extLst>
        </c:ser>
        <c:ser>
          <c:idx val="3"/>
          <c:order val="3"/>
          <c:tx>
            <c:strRef>
              <c:f>'Q6'!$F$18:$F$19</c:f>
              <c:strCache>
                <c:ptCount val="2"/>
                <c:pt idx="0">
                  <c:v>35% market share</c:v>
                </c:pt>
                <c:pt idx="1">
                  <c:v> Average p,q </c:v>
                </c:pt>
              </c:strCache>
            </c:strRef>
          </c:tx>
          <c:spPr>
            <a:ln w="28575" cap="rnd">
              <a:solidFill>
                <a:schemeClr val="accent4"/>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'Q6'!$F$20:$F$25</c:f>
              <c:numCache>
                <c:formatCode>0</c:formatCode>
                <c:ptCount val="6"/>
                <c:pt idx="0">
                  <c:v>23635.612197986888</c:v>
                </c:pt>
                <c:pt idx="1">
                  <c:v>24733.726508196258</c:v>
                </c:pt>
                <c:pt idx="2">
                  <c:v>43980.441558303639</c:v>
                </c:pt>
                <c:pt idx="3">
                  <c:v>76767.002626452959</c:v>
                </c:pt>
                <c:pt idx="4">
                  <c:v>129587.34205495463</c:v>
                </c:pt>
                <c:pt idx="5">
                  <c:v>206034.94341646146</c:v>
                </c:pt>
              </c:numCache>
            </c:numRef>
          </c:val>
          <c:smooth val="0"/>
          <c:extLst>
            <c:ext xmlns:c16="http://schemas.microsoft.com/office/drawing/2014/chart" uri="{C3380CC4-5D6E-409C-BE32-E72D297353CC}">
              <c16:uniqueId val="{00000003-F297-4242-B1B4-23B06A23ACA8}"/>
            </c:ext>
          </c:extLst>
        </c:ser>
        <c:ser>
          <c:idx val="4"/>
          <c:order val="4"/>
          <c:tx>
            <c:strRef>
              <c:f>'Q6'!$G$18:$G$19</c:f>
              <c:strCache>
                <c:ptCount val="2"/>
                <c:pt idx="0">
                  <c:v>35% market share</c:v>
                </c:pt>
                <c:pt idx="1">
                  <c:v> Low p,q </c:v>
                </c:pt>
              </c:strCache>
            </c:strRef>
          </c:tx>
          <c:spPr>
            <a:ln w="28575" cap="rnd">
              <a:solidFill>
                <a:schemeClr val="accent5"/>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'Q6'!$G$20:$G$25</c:f>
              <c:numCache>
                <c:formatCode>0</c:formatCode>
                <c:ptCount val="6"/>
                <c:pt idx="0">
                  <c:v>17760.808092023064</c:v>
                </c:pt>
                <c:pt idx="1">
                  <c:v>18568.55601723809</c:v>
                </c:pt>
                <c:pt idx="2">
                  <c:v>29237.08860206031</c:v>
                </c:pt>
                <c:pt idx="3">
                  <c:v>45546.1177806735</c:v>
                </c:pt>
                <c:pt idx="4">
                  <c:v>69760.769987684005</c:v>
                </c:pt>
                <c:pt idx="5">
                  <c:v>104034.40438734622</c:v>
                </c:pt>
              </c:numCache>
            </c:numRef>
          </c:val>
          <c:smooth val="0"/>
          <c:extLst>
            <c:ext xmlns:c16="http://schemas.microsoft.com/office/drawing/2014/chart" uri="{C3380CC4-5D6E-409C-BE32-E72D297353CC}">
              <c16:uniqueId val="{00000004-F297-4242-B1B4-23B06A23ACA8}"/>
            </c:ext>
          </c:extLst>
        </c:ser>
        <c:ser>
          <c:idx val="5"/>
          <c:order val="5"/>
          <c:tx>
            <c:strRef>
              <c:f>'Q6'!$H$18:$H$19</c:f>
              <c:strCache>
                <c:ptCount val="2"/>
                <c:pt idx="0">
                  <c:v>35% market share</c:v>
                </c:pt>
                <c:pt idx="1">
                  <c:v> High p,q </c:v>
                </c:pt>
              </c:strCache>
            </c:strRef>
          </c:tx>
          <c:spPr>
            <a:ln w="28575" cap="rnd">
              <a:solidFill>
                <a:schemeClr val="accent6"/>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'Q6'!$H$20:$H$25</c:f>
              <c:numCache>
                <c:formatCode>0</c:formatCode>
                <c:ptCount val="6"/>
                <c:pt idx="0">
                  <c:v>49129.702042883182</c:v>
                </c:pt>
                <c:pt idx="1">
                  <c:v>50868.682168990206</c:v>
                </c:pt>
                <c:pt idx="2">
                  <c:v>112541.80448067879</c:v>
                </c:pt>
                <c:pt idx="3">
                  <c:v>235062.97468195937</c:v>
                </c:pt>
                <c:pt idx="4">
                  <c:v>429103.65110867406</c:v>
                </c:pt>
                <c:pt idx="5">
                  <c:v>567536.98402795184</c:v>
                </c:pt>
              </c:numCache>
            </c:numRef>
          </c:val>
          <c:smooth val="0"/>
          <c:extLst>
            <c:ext xmlns:c16="http://schemas.microsoft.com/office/drawing/2014/chart" uri="{C3380CC4-5D6E-409C-BE32-E72D297353CC}">
              <c16:uniqueId val="{00000005-F297-4242-B1B4-23B06A23ACA8}"/>
            </c:ext>
          </c:extLst>
        </c:ser>
        <c:ser>
          <c:idx val="6"/>
          <c:order val="6"/>
          <c:tx>
            <c:strRef>
              <c:f>'Q6'!$I$18:$I$19</c:f>
              <c:strCache>
                <c:ptCount val="2"/>
                <c:pt idx="0">
                  <c:v>20% market share</c:v>
                </c:pt>
                <c:pt idx="1">
                  <c:v> Average p,q </c:v>
                </c:pt>
              </c:strCache>
            </c:strRef>
          </c:tx>
          <c:spPr>
            <a:ln w="28575" cap="rnd">
              <a:solidFill>
                <a:schemeClr val="accent1">
                  <a:lumMod val="60000"/>
                </a:schemeClr>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'Q6'!$I$20:$I$25</c:f>
              <c:numCache>
                <c:formatCode>0</c:formatCode>
                <c:ptCount val="6"/>
                <c:pt idx="0">
                  <c:v>13506.064113135366</c:v>
                </c:pt>
                <c:pt idx="1">
                  <c:v>14603.490323935403</c:v>
                </c:pt>
                <c:pt idx="2">
                  <c:v>25947.114247165402</c:v>
                </c:pt>
                <c:pt idx="3">
                  <c:v>45226.571563936712</c:v>
                </c:pt>
                <c:pt idx="4">
                  <c:v>76152.446747752954</c:v>
                </c:pt>
                <c:pt idx="5">
                  <c:v>120533.19117642165</c:v>
                </c:pt>
              </c:numCache>
            </c:numRef>
          </c:val>
          <c:smooth val="0"/>
          <c:extLst>
            <c:ext xmlns:c16="http://schemas.microsoft.com/office/drawing/2014/chart" uri="{C3380CC4-5D6E-409C-BE32-E72D297353CC}">
              <c16:uniqueId val="{00000006-F297-4242-B1B4-23B06A23ACA8}"/>
            </c:ext>
          </c:extLst>
        </c:ser>
        <c:ser>
          <c:idx val="7"/>
          <c:order val="7"/>
          <c:tx>
            <c:strRef>
              <c:f>'Q6'!$J$18:$J$19</c:f>
              <c:strCache>
                <c:ptCount val="2"/>
                <c:pt idx="0">
                  <c:v>20% market share</c:v>
                </c:pt>
                <c:pt idx="1">
                  <c:v> Low p,q </c:v>
                </c:pt>
              </c:strCache>
            </c:strRef>
          </c:tx>
          <c:spPr>
            <a:ln w="28575" cap="rnd">
              <a:solidFill>
                <a:schemeClr val="accent2">
                  <a:lumMod val="60000"/>
                </a:schemeClr>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'Q6'!$J$20:$J$25</c:f>
              <c:numCache>
                <c:formatCode>0</c:formatCode>
                <c:ptCount val="6"/>
                <c:pt idx="0">
                  <c:v>10149.033195441752</c:v>
                </c:pt>
                <c:pt idx="1">
                  <c:v>10956.27478096131</c:v>
                </c:pt>
                <c:pt idx="2">
                  <c:v>17240.87688977697</c:v>
                </c:pt>
                <c:pt idx="3">
                  <c:v>26832.674299031874</c:v>
                </c:pt>
                <c:pt idx="4">
                  <c:v>41036.58045398313</c:v>
                </c:pt>
                <c:pt idx="5">
                  <c:v>61053.813552596468</c:v>
                </c:pt>
              </c:numCache>
            </c:numRef>
          </c:val>
          <c:smooth val="0"/>
          <c:extLst>
            <c:ext xmlns:c16="http://schemas.microsoft.com/office/drawing/2014/chart" uri="{C3380CC4-5D6E-409C-BE32-E72D297353CC}">
              <c16:uniqueId val="{00000007-F297-4242-B1B4-23B06A23ACA8}"/>
            </c:ext>
          </c:extLst>
        </c:ser>
        <c:ser>
          <c:idx val="8"/>
          <c:order val="8"/>
          <c:tx>
            <c:strRef>
              <c:f>'Q6'!$K$18:$K$19</c:f>
              <c:strCache>
                <c:ptCount val="2"/>
                <c:pt idx="0">
                  <c:v>20% market share</c:v>
                </c:pt>
                <c:pt idx="1">
                  <c:v> High p,q </c:v>
                </c:pt>
              </c:strCache>
            </c:strRef>
          </c:tx>
          <c:spPr>
            <a:ln w="28575" cap="rnd">
              <a:solidFill>
                <a:schemeClr val="accent3">
                  <a:lumMod val="60000"/>
                </a:schemeClr>
              </a:solidFill>
              <a:round/>
            </a:ln>
            <a:effectLst/>
          </c:spPr>
          <c:marker>
            <c:symbol val="none"/>
          </c:marker>
          <c:cat>
            <c:numRef>
              <c:f>'Q6'!$B$20:$B$25</c:f>
              <c:numCache>
                <c:formatCode>General</c:formatCode>
                <c:ptCount val="6"/>
                <c:pt idx="0">
                  <c:v>2007</c:v>
                </c:pt>
                <c:pt idx="1">
                  <c:v>2008</c:v>
                </c:pt>
                <c:pt idx="2">
                  <c:v>2009</c:v>
                </c:pt>
                <c:pt idx="3">
                  <c:v>2010</c:v>
                </c:pt>
                <c:pt idx="4">
                  <c:v>2011</c:v>
                </c:pt>
                <c:pt idx="5">
                  <c:v>2012</c:v>
                </c:pt>
              </c:numCache>
            </c:numRef>
          </c:cat>
          <c:val>
            <c:numRef>
              <c:f>'Q6'!$K$20:$K$25</c:f>
              <c:numCache>
                <c:formatCode>0</c:formatCode>
                <c:ptCount val="6"/>
                <c:pt idx="0">
                  <c:v>28074.115453076105</c:v>
                </c:pt>
                <c:pt idx="1">
                  <c:v>29811.999991097804</c:v>
                </c:pt>
                <c:pt idx="2">
                  <c:v>65879.603817485709</c:v>
                </c:pt>
                <c:pt idx="3">
                  <c:v>137230.0234975554</c:v>
                </c:pt>
                <c:pt idx="4">
                  <c:v>248924.29458834152</c:v>
                </c:pt>
                <c:pt idx="5">
                  <c:v>324164.45704253006</c:v>
                </c:pt>
              </c:numCache>
            </c:numRef>
          </c:val>
          <c:smooth val="0"/>
          <c:extLst>
            <c:ext xmlns:c16="http://schemas.microsoft.com/office/drawing/2014/chart" uri="{C3380CC4-5D6E-409C-BE32-E72D297353CC}">
              <c16:uniqueId val="{00000008-F297-4242-B1B4-23B06A23ACA8}"/>
            </c:ext>
          </c:extLst>
        </c:ser>
        <c:dLbls>
          <c:showLegendKey val="0"/>
          <c:showVal val="0"/>
          <c:showCatName val="0"/>
          <c:showSerName val="0"/>
          <c:showPercent val="0"/>
          <c:showBubbleSize val="0"/>
        </c:dLbls>
        <c:smooth val="0"/>
        <c:axId val="593470496"/>
        <c:axId val="593470168"/>
      </c:lineChart>
      <c:catAx>
        <c:axId val="59347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70168"/>
        <c:crosses val="autoZero"/>
        <c:auto val="1"/>
        <c:lblAlgn val="ctr"/>
        <c:lblOffset val="100"/>
        <c:noMultiLvlLbl val="0"/>
      </c:catAx>
      <c:valAx>
        <c:axId val="593470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7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333375</xdr:colOff>
      <xdr:row>1</xdr:row>
      <xdr:rowOff>0</xdr:rowOff>
    </xdr:from>
    <xdr:to>
      <xdr:col>7</xdr:col>
      <xdr:colOff>885825</xdr:colOff>
      <xdr:row>4</xdr:row>
      <xdr:rowOff>76200</xdr:rowOff>
    </xdr:to>
    <xdr:sp macro="" textlink="">
      <xdr:nvSpPr>
        <xdr:cNvPr id="2" name="TextBox 1">
          <a:extLst>
            <a:ext uri="{FF2B5EF4-FFF2-40B4-BE49-F238E27FC236}">
              <a16:creationId xmlns:a16="http://schemas.microsoft.com/office/drawing/2014/main" id="{37D67E22-D5CB-413F-8F62-2C0CDDE8248E}"/>
            </a:ext>
          </a:extLst>
        </xdr:cNvPr>
        <xdr:cNvSpPr txBox="1"/>
      </xdr:nvSpPr>
      <xdr:spPr>
        <a:xfrm>
          <a:off x="333375" y="161925"/>
          <a:ext cx="588645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Q1. </a:t>
          </a:r>
          <a:r>
            <a:rPr lang="en-US" sz="1100" b="1">
              <a:solidFill>
                <a:schemeClr val="dk1"/>
              </a:solidFill>
              <a:effectLst/>
              <a:latin typeface="+mn-lt"/>
              <a:ea typeface="+mn-ea"/>
              <a:cs typeface="+mn-cs"/>
            </a:rPr>
            <a:t>Assuming a potential market size (m) of 300 million, estimate the Bass model for iPod sales using NLS.</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476250</xdr:colOff>
      <xdr:row>1</xdr:row>
      <xdr:rowOff>152399</xdr:rowOff>
    </xdr:from>
    <xdr:to>
      <xdr:col>9</xdr:col>
      <xdr:colOff>200025</xdr:colOff>
      <xdr:row>9</xdr:row>
      <xdr:rowOff>85724</xdr:rowOff>
    </xdr:to>
    <xdr:sp macro="" textlink="">
      <xdr:nvSpPr>
        <xdr:cNvPr id="2" name="TextBox 1">
          <a:extLst>
            <a:ext uri="{FF2B5EF4-FFF2-40B4-BE49-F238E27FC236}">
              <a16:creationId xmlns:a16="http://schemas.microsoft.com/office/drawing/2014/main" id="{E3122D56-7236-4630-849B-443DCF3A403A}"/>
            </a:ext>
          </a:extLst>
        </xdr:cNvPr>
        <xdr:cNvSpPr txBox="1"/>
      </xdr:nvSpPr>
      <xdr:spPr>
        <a:xfrm>
          <a:off x="476250" y="314324"/>
          <a:ext cx="5210175"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Q</a:t>
          </a:r>
          <a:r>
            <a:rPr lang="en-US" sz="1100" b="1">
              <a:solidFill>
                <a:schemeClr val="dk1"/>
              </a:solidFill>
              <a:effectLst/>
              <a:latin typeface="+mn-lt"/>
              <a:ea typeface="+mn-ea"/>
              <a:cs typeface="+mn-cs"/>
            </a:rPr>
            <a:t>2.   What are some alternative market size estimates?  Please justify these numbers.</a:t>
          </a:r>
        </a:p>
        <a:p>
          <a:endParaRPr lang="en-US" sz="1100"/>
        </a:p>
        <a:p>
          <a:r>
            <a:rPr lang="en-US" sz="1100"/>
            <a:t>Since the original market size estimate of 300 million was</a:t>
          </a:r>
          <a:r>
            <a:rPr lang="en-US" sz="1100" baseline="0"/>
            <a:t> too large, we had to revise the number downwards and given that a total about 119.3 million units had been bought as at 2007. The minimum market size would then have to be about 120 million users (assuming no repeat buyers).  See table below for the alternative market estimates that we considered.</a:t>
          </a:r>
          <a:endParaRPr lang="en-US" sz="1100"/>
        </a:p>
      </xdr:txBody>
    </xdr:sp>
    <xdr:clientData/>
  </xdr:twoCellAnchor>
  <xdr:twoCellAnchor>
    <xdr:from>
      <xdr:col>0</xdr:col>
      <xdr:colOff>600075</xdr:colOff>
      <xdr:row>18</xdr:row>
      <xdr:rowOff>47625</xdr:rowOff>
    </xdr:from>
    <xdr:to>
      <xdr:col>10</xdr:col>
      <xdr:colOff>123825</xdr:colOff>
      <xdr:row>24</xdr:row>
      <xdr:rowOff>142875</xdr:rowOff>
    </xdr:to>
    <xdr:sp macro="" textlink="">
      <xdr:nvSpPr>
        <xdr:cNvPr id="3" name="TextBox 2">
          <a:extLst>
            <a:ext uri="{FF2B5EF4-FFF2-40B4-BE49-F238E27FC236}">
              <a16:creationId xmlns:a16="http://schemas.microsoft.com/office/drawing/2014/main" id="{8FBEAEE0-4B11-4322-A193-5BCB7ACB7147}"/>
            </a:ext>
          </a:extLst>
        </xdr:cNvPr>
        <xdr:cNvSpPr txBox="1"/>
      </xdr:nvSpPr>
      <xdr:spPr>
        <a:xfrm>
          <a:off x="600075" y="2962275"/>
          <a:ext cx="593407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chose the market size (m) of 200,000  using the business knowledge and by analyzing the graphical trend. We</a:t>
          </a:r>
          <a:r>
            <a:rPr lang="en-US" sz="1100" baseline="0"/>
            <a:t> expect the launch of the iPhone to canibalize the sales of the iPod, hence we selected the graph that shows a decrease in the rate of adoption of the iPod i.e. even the sales of IPod increase, it was at a slower pace that in previous years. The sales of the iPod would then reach its peak before the huge decline begins.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428625</xdr:colOff>
      <xdr:row>5</xdr:row>
      <xdr:rowOff>133350</xdr:rowOff>
    </xdr:from>
    <xdr:to>
      <xdr:col>16</xdr:col>
      <xdr:colOff>514350</xdr:colOff>
      <xdr:row>22</xdr:row>
      <xdr:rowOff>123825</xdr:rowOff>
    </xdr:to>
    <xdr:graphicFrame macro="">
      <xdr:nvGraphicFramePr>
        <xdr:cNvPr id="2" name="Chart 1">
          <a:extLst>
            <a:ext uri="{FF2B5EF4-FFF2-40B4-BE49-F238E27FC236}">
              <a16:creationId xmlns:a16="http://schemas.microsoft.com/office/drawing/2014/main" id="{8E73A021-E295-4198-BBD7-A72FAE11A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0</xdr:row>
      <xdr:rowOff>123825</xdr:rowOff>
    </xdr:from>
    <xdr:to>
      <xdr:col>7</xdr:col>
      <xdr:colOff>333375</xdr:colOff>
      <xdr:row>4</xdr:row>
      <xdr:rowOff>38100</xdr:rowOff>
    </xdr:to>
    <xdr:sp macro="" textlink="">
      <xdr:nvSpPr>
        <xdr:cNvPr id="3" name="TextBox 2">
          <a:extLst>
            <a:ext uri="{FF2B5EF4-FFF2-40B4-BE49-F238E27FC236}">
              <a16:creationId xmlns:a16="http://schemas.microsoft.com/office/drawing/2014/main" id="{CB14E00E-F5E2-4F79-A0A3-46FA502A44B5}"/>
            </a:ext>
          </a:extLst>
        </xdr:cNvPr>
        <xdr:cNvSpPr txBox="1"/>
      </xdr:nvSpPr>
      <xdr:spPr>
        <a:xfrm>
          <a:off x="219075" y="123825"/>
          <a:ext cx="544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Q3. </a:t>
          </a:r>
          <a:r>
            <a:rPr lang="en-US" sz="1100" b="1">
              <a:solidFill>
                <a:schemeClr val="dk1"/>
              </a:solidFill>
              <a:effectLst/>
              <a:latin typeface="+mn-lt"/>
              <a:ea typeface="+mn-ea"/>
              <a:cs typeface="+mn-cs"/>
            </a:rPr>
            <a:t>Based on your results from Q1 &amp; Q2, what are your forecasts for the next 5 years?</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161926</xdr:colOff>
      <xdr:row>1</xdr:row>
      <xdr:rowOff>95251</xdr:rowOff>
    </xdr:from>
    <xdr:to>
      <xdr:col>7</xdr:col>
      <xdr:colOff>161926</xdr:colOff>
      <xdr:row>10</xdr:row>
      <xdr:rowOff>76200</xdr:rowOff>
    </xdr:to>
    <xdr:sp macro="" textlink="">
      <xdr:nvSpPr>
        <xdr:cNvPr id="2" name="TextBox 1">
          <a:extLst>
            <a:ext uri="{FF2B5EF4-FFF2-40B4-BE49-F238E27FC236}">
              <a16:creationId xmlns:a16="http://schemas.microsoft.com/office/drawing/2014/main" id="{21AE1E47-5C2A-45F6-9B1C-7014B1476219}"/>
            </a:ext>
          </a:extLst>
        </xdr:cNvPr>
        <xdr:cNvSpPr txBox="1"/>
      </xdr:nvSpPr>
      <xdr:spPr>
        <a:xfrm>
          <a:off x="771526" y="257176"/>
          <a:ext cx="7448550" cy="143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Q4.  Using the information provided in your readings</a:t>
          </a:r>
          <a:r>
            <a:rPr lang="en-US" sz="1100" b="1" u="sng">
              <a:solidFill>
                <a:schemeClr val="dk1"/>
              </a:solidFill>
              <a:effectLst/>
              <a:latin typeface="+mn-lt"/>
              <a:ea typeface="+mn-ea"/>
              <a:cs typeface="+mn-cs"/>
              <a:hlinkClick xmlns:r="http://schemas.openxmlformats.org/officeDocument/2006/relationships" r:id=""/>
            </a:rPr>
            <a:t>[1]</a:t>
          </a:r>
          <a:r>
            <a:rPr lang="en-US" sz="1100" b="1">
              <a:solidFill>
                <a:schemeClr val="dk1"/>
              </a:solidFill>
              <a:effectLst/>
              <a:latin typeface="+mn-lt"/>
              <a:ea typeface="+mn-ea"/>
              <a:cs typeface="+mn-cs"/>
            </a:rPr>
            <a:t> as well as your iPod results, generate estimates for m, p and q for the iPhone.  Please justify your estimates.  For your m-estimates, you will need to be creative.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iphone</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p</a:t>
          </a:r>
          <a:r>
            <a:rPr lang="en-US" sz="1100" b="0" baseline="0">
              <a:solidFill>
                <a:schemeClr val="dk1"/>
              </a:solidFill>
              <a:effectLst/>
              <a:latin typeface="+mn-lt"/>
              <a:ea typeface="+mn-ea"/>
              <a:cs typeface="+mn-cs"/>
            </a:rPr>
            <a:t> value  = </a:t>
          </a:r>
          <a:r>
            <a:rPr lang="en-US" sz="1100" b="0" i="0" u="none" strike="noStrike">
              <a:solidFill>
                <a:schemeClr val="dk1"/>
              </a:solidFill>
              <a:effectLst/>
              <a:latin typeface="+mn-lt"/>
              <a:ea typeface="+mn-ea"/>
              <a:cs typeface="+mn-cs"/>
            </a:rPr>
            <a:t>0.013958841</a:t>
          </a:r>
          <a:r>
            <a:rPr lang="en-US" b="0"/>
            <a:t> </a:t>
          </a: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q value  = </a:t>
          </a:r>
          <a:r>
            <a:rPr lang="en-US" sz="1100" b="0" i="0" u="none" strike="noStrike">
              <a:solidFill>
                <a:schemeClr val="dk1"/>
              </a:solidFill>
              <a:effectLst/>
              <a:latin typeface="+mn-lt"/>
              <a:ea typeface="+mn-ea"/>
              <a:cs typeface="+mn-cs"/>
            </a:rPr>
            <a:t>0.805198421</a:t>
          </a:r>
          <a:r>
            <a:rPr lang="en-US" b="0"/>
            <a:t> </a:t>
          </a: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market value = </a:t>
          </a:r>
          <a:r>
            <a:rPr lang="en-US" sz="1100" b="0" i="0" u="none" strike="noStrike">
              <a:solidFill>
                <a:schemeClr val="dk1"/>
              </a:solidFill>
              <a:effectLst/>
              <a:latin typeface="+mn-lt"/>
              <a:ea typeface="+mn-ea"/>
              <a:cs typeface="+mn-cs"/>
            </a:rPr>
            <a:t> 1,693,235.96  (in thousands)</a:t>
          </a:r>
          <a:endParaRPr lang="en-US" sz="1100" b="0">
            <a:solidFill>
              <a:schemeClr val="dk1"/>
            </a:solidFill>
            <a:effectLst/>
            <a:latin typeface="+mn-lt"/>
            <a:ea typeface="+mn-ea"/>
            <a:cs typeface="+mn-cs"/>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200025</xdr:colOff>
      <xdr:row>0</xdr:row>
      <xdr:rowOff>133350</xdr:rowOff>
    </xdr:from>
    <xdr:to>
      <xdr:col>6</xdr:col>
      <xdr:colOff>400050</xdr:colOff>
      <xdr:row>2</xdr:row>
      <xdr:rowOff>104775</xdr:rowOff>
    </xdr:to>
    <xdr:sp macro="" textlink="">
      <xdr:nvSpPr>
        <xdr:cNvPr id="2" name="TextBox 1">
          <a:extLst>
            <a:ext uri="{FF2B5EF4-FFF2-40B4-BE49-F238E27FC236}">
              <a16:creationId xmlns:a16="http://schemas.microsoft.com/office/drawing/2014/main" id="{05FC0B3D-C2AC-4005-B0A1-6DA372B2785E}"/>
            </a:ext>
          </a:extLst>
        </xdr:cNvPr>
        <xdr:cNvSpPr txBox="1"/>
      </xdr:nvSpPr>
      <xdr:spPr>
        <a:xfrm>
          <a:off x="200025" y="133350"/>
          <a:ext cx="65722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Q5. Generate 5-year forecasts for the iPhone.</a:t>
          </a:r>
          <a:endParaRPr lang="en-US" sz="1100" b="1"/>
        </a:p>
      </xdr:txBody>
    </xdr:sp>
    <xdr:clientData/>
  </xdr:twoCellAnchor>
  <xdr:twoCellAnchor>
    <xdr:from>
      <xdr:col>7</xdr:col>
      <xdr:colOff>153228</xdr:colOff>
      <xdr:row>12</xdr:row>
      <xdr:rowOff>3313</xdr:rowOff>
    </xdr:from>
    <xdr:to>
      <xdr:col>14</xdr:col>
      <xdr:colOff>219489</xdr:colOff>
      <xdr:row>24</xdr:row>
      <xdr:rowOff>82827</xdr:rowOff>
    </xdr:to>
    <xdr:graphicFrame macro="">
      <xdr:nvGraphicFramePr>
        <xdr:cNvPr id="4" name="Chart 3">
          <a:extLst>
            <a:ext uri="{FF2B5EF4-FFF2-40B4-BE49-F238E27FC236}">
              <a16:creationId xmlns:a16="http://schemas.microsoft.com/office/drawing/2014/main" id="{ADDEE793-BC43-4DB0-8FFF-5BB0A16AB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76201</xdr:rowOff>
    </xdr:from>
    <xdr:to>
      <xdr:col>9</xdr:col>
      <xdr:colOff>1016000</xdr:colOff>
      <xdr:row>14</xdr:row>
      <xdr:rowOff>76201</xdr:rowOff>
    </xdr:to>
    <xdr:sp macro="" textlink="">
      <xdr:nvSpPr>
        <xdr:cNvPr id="2" name="TextBox 1">
          <a:extLst>
            <a:ext uri="{FF2B5EF4-FFF2-40B4-BE49-F238E27FC236}">
              <a16:creationId xmlns:a16="http://schemas.microsoft.com/office/drawing/2014/main" id="{2493BFB8-9B42-4278-AE82-518FD11B73CA}"/>
            </a:ext>
          </a:extLst>
        </xdr:cNvPr>
        <xdr:cNvSpPr txBox="1"/>
      </xdr:nvSpPr>
      <xdr:spPr>
        <a:xfrm>
          <a:off x="275167" y="234951"/>
          <a:ext cx="102552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Q6. </a:t>
          </a:r>
          <a:r>
            <a:rPr lang="en-US" sz="1100" b="1">
              <a:solidFill>
                <a:schemeClr val="dk1"/>
              </a:solidFill>
              <a:effectLst/>
              <a:latin typeface="+mn-lt"/>
              <a:ea typeface="+mn-ea"/>
              <a:cs typeface="+mn-cs"/>
            </a:rPr>
            <a:t>What would your forecasts be sensitive to?  Please generate alternative forecasts (e.g., best case, worst case) that reflect this.</a:t>
          </a:r>
        </a:p>
        <a:p>
          <a:endParaRPr lang="en-US" sz="1100" b="1">
            <a:solidFill>
              <a:schemeClr val="dk1"/>
            </a:solidFill>
            <a:effectLst/>
            <a:latin typeface="+mn-lt"/>
            <a:ea typeface="+mn-ea"/>
            <a:cs typeface="+mn-cs"/>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forecast is senstive to market size as well as the values of p and q. We did forecast for three different scenarios for iPhone's share in the smartphone market size category (Best Case - 50%, Average Case -35% and Worst Case - 20%) and also for three different values for  p and q (we used the average value as well as the low end and high end of the 90% confidence interval values.) This makes it a total of 9 scenarios. </a:t>
          </a:r>
        </a:p>
        <a:p>
          <a:endParaRPr lang="en-US" sz="1100" b="0" baseline="0">
            <a:solidFill>
              <a:schemeClr val="dk1"/>
            </a:solidFill>
            <a:effectLst/>
            <a:latin typeface="+mn-lt"/>
            <a:ea typeface="+mn-ea"/>
            <a:cs typeface="+mn-cs"/>
          </a:endParaRPr>
        </a:p>
        <a:p>
          <a:r>
            <a:rPr lang="en-US" sz="1100">
              <a:solidFill>
                <a:schemeClr val="dk1"/>
              </a:solidFill>
              <a:effectLst/>
              <a:latin typeface="+mn-lt"/>
              <a:ea typeface="+mn-ea"/>
              <a:cs typeface="+mn-cs"/>
            </a:rPr>
            <a:t>When p is large, the early</a:t>
          </a:r>
          <a:r>
            <a:rPr lang="en-US" sz="1100" baseline="0">
              <a:solidFill>
                <a:schemeClr val="dk1"/>
              </a:solidFill>
              <a:effectLst/>
              <a:latin typeface="+mn-lt"/>
              <a:ea typeface="+mn-ea"/>
              <a:cs typeface="+mn-cs"/>
            </a:rPr>
            <a:t> stages of adopters see a rapid growth and attains the peak earlier than when market share is larger. From the chart below the top three scenraios to reach a peak in 2012 are for the scenarios when p and q have high values irrespective of the market size.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For example when marker share for iphone is 20 % (and high p, q values) it reaches a higher peak in 2012 than when iphone has 50% of the market share (but with a low or average p, q values)</a:t>
          </a:r>
        </a:p>
        <a:p>
          <a:endParaRPr lang="en-US" sz="1100" b="0"/>
        </a:p>
      </xdr:txBody>
    </xdr:sp>
    <xdr:clientData/>
  </xdr:twoCellAnchor>
  <xdr:twoCellAnchor>
    <xdr:from>
      <xdr:col>11</xdr:col>
      <xdr:colOff>687916</xdr:colOff>
      <xdr:row>0</xdr:row>
      <xdr:rowOff>52916</xdr:rowOff>
    </xdr:from>
    <xdr:to>
      <xdr:col>25</xdr:col>
      <xdr:colOff>559857</xdr:colOff>
      <xdr:row>28</xdr:row>
      <xdr:rowOff>42334</xdr:rowOff>
    </xdr:to>
    <xdr:graphicFrame macro="">
      <xdr:nvGraphicFramePr>
        <xdr:cNvPr id="5" name="Chart 4">
          <a:extLst>
            <a:ext uri="{FF2B5EF4-FFF2-40B4-BE49-F238E27FC236}">
              <a16:creationId xmlns:a16="http://schemas.microsoft.com/office/drawing/2014/main" id="{447BAC44-A8DF-4CDC-9E9F-10C333D6A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statista.com/statistics/270850/number-of-mobile-phone-subscribers-worldwide-since-200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J19"/>
  <sheetViews>
    <sheetView zoomScaleNormal="100" workbookViewId="0">
      <selection activeCell="D19" sqref="D19"/>
    </sheetView>
  </sheetViews>
  <sheetFormatPr baseColWidth="10" defaultColWidth="8.83203125" defaultRowHeight="13"/>
  <cols>
    <col min="3" max="3" width="10.5" bestFit="1" customWidth="1"/>
    <col min="4" max="4" width="12.5" bestFit="1" customWidth="1"/>
    <col min="5" max="5" width="12.5" customWidth="1"/>
    <col min="6" max="6" width="19" bestFit="1" customWidth="1"/>
    <col min="7" max="7" width="7.5" bestFit="1" customWidth="1"/>
    <col min="8" max="9" width="15.5" bestFit="1" customWidth="1"/>
    <col min="11" max="11" width="12.5" bestFit="1" customWidth="1"/>
  </cols>
  <sheetData>
    <row r="8" spans="1:10">
      <c r="H8" s="14" t="s">
        <v>6</v>
      </c>
      <c r="I8" s="2">
        <v>300000</v>
      </c>
    </row>
    <row r="9" spans="1:10">
      <c r="A9" s="1" t="s">
        <v>4</v>
      </c>
      <c r="H9" s="14" t="s">
        <v>7</v>
      </c>
      <c r="I9" s="14">
        <v>2.0468094395247809E-2</v>
      </c>
    </row>
    <row r="10" spans="1:10">
      <c r="A10" s="1" t="s">
        <v>5</v>
      </c>
      <c r="H10" s="14" t="s">
        <v>8</v>
      </c>
      <c r="I10" s="14">
        <v>0.99344678337541414</v>
      </c>
    </row>
    <row r="11" spans="1:10">
      <c r="A11" s="1"/>
      <c r="H11" s="14" t="s">
        <v>14</v>
      </c>
      <c r="I11" s="14">
        <f>SUM(I14:I19)</f>
        <v>289653257.15971571</v>
      </c>
    </row>
    <row r="13" spans="1:10">
      <c r="A13" t="s">
        <v>0</v>
      </c>
      <c r="B13" s="1" t="s">
        <v>1</v>
      </c>
      <c r="C13" s="1" t="s">
        <v>2</v>
      </c>
      <c r="D13" s="1" t="s">
        <v>3</v>
      </c>
      <c r="E13" s="1" t="s">
        <v>13</v>
      </c>
      <c r="F13" s="16" t="s">
        <v>9</v>
      </c>
      <c r="G13" s="15" t="s">
        <v>10</v>
      </c>
      <c r="H13" s="15" t="s">
        <v>11</v>
      </c>
      <c r="I13" s="15" t="s">
        <v>12</v>
      </c>
      <c r="J13" s="15"/>
    </row>
    <row r="14" spans="1:10">
      <c r="A14">
        <v>2002</v>
      </c>
      <c r="B14">
        <v>143</v>
      </c>
      <c r="C14">
        <v>381</v>
      </c>
      <c r="E14" s="9">
        <f>$I$9+$I$10*(G14/$I$8)</f>
        <v>2.0468094395247809E-2</v>
      </c>
      <c r="F14" s="3">
        <f>$I$8-G14</f>
        <v>300000</v>
      </c>
      <c r="G14">
        <v>0</v>
      </c>
      <c r="H14" s="3">
        <f>E14*F14</f>
        <v>6140.4283185743425</v>
      </c>
      <c r="I14">
        <f>(H14-C14)^2</f>
        <v>33171014.556796078</v>
      </c>
    </row>
    <row r="15" spans="1:10">
      <c r="A15">
        <v>2003</v>
      </c>
      <c r="B15">
        <v>345</v>
      </c>
      <c r="C15">
        <v>939</v>
      </c>
      <c r="E15" s="9">
        <f>$I$9+$I$10*(G15/$I$8)</f>
        <v>2.1729771810134586E-2</v>
      </c>
      <c r="F15" s="3">
        <f t="shared" ref="F15:F18" si="0">$I$8-G15</f>
        <v>299619</v>
      </c>
      <c r="G15">
        <f>C14</f>
        <v>381</v>
      </c>
      <c r="H15" s="3">
        <f t="shared" ref="H15:H19" si="1">E15*F15</f>
        <v>6510.6524999807143</v>
      </c>
      <c r="I15">
        <f t="shared" ref="I15:I19" si="2">(H15-C15)^2</f>
        <v>31043311.580541342</v>
      </c>
    </row>
    <row r="16" spans="1:10">
      <c r="A16">
        <v>2004</v>
      </c>
      <c r="B16">
        <v>1306</v>
      </c>
      <c r="C16">
        <v>4416</v>
      </c>
      <c r="E16" s="9">
        <f t="shared" ref="E16:E19" si="3">$I$9+$I$10*(G16/$I$8)</f>
        <v>2.4839260242099634E-2</v>
      </c>
      <c r="F16" s="3">
        <f t="shared" si="0"/>
        <v>298680</v>
      </c>
      <c r="G16">
        <f>G15+C15</f>
        <v>1320</v>
      </c>
      <c r="H16" s="3">
        <f t="shared" si="1"/>
        <v>7418.9902491103185</v>
      </c>
      <c r="I16">
        <f t="shared" si="2"/>
        <v>9017950.4362516534</v>
      </c>
    </row>
    <row r="17" spans="1:9">
      <c r="A17">
        <v>2005</v>
      </c>
      <c r="B17">
        <v>4540</v>
      </c>
      <c r="C17">
        <v>22496</v>
      </c>
      <c r="E17" s="9">
        <f t="shared" si="3"/>
        <v>3.9462796893385728E-2</v>
      </c>
      <c r="F17" s="3">
        <f t="shared" si="0"/>
        <v>294264</v>
      </c>
      <c r="G17">
        <f t="shared" ref="G17:G19" si="4">G16+C16</f>
        <v>5736</v>
      </c>
      <c r="H17" s="3">
        <f t="shared" si="1"/>
        <v>11612.480465035258</v>
      </c>
      <c r="I17">
        <f t="shared" si="2"/>
        <v>118450997.46795915</v>
      </c>
    </row>
    <row r="18" spans="1:9">
      <c r="A18">
        <v>2006</v>
      </c>
      <c r="B18">
        <v>7676</v>
      </c>
      <c r="C18">
        <v>39409</v>
      </c>
      <c r="E18" s="9">
        <f t="shared" si="3"/>
        <v>0.11395805968943012</v>
      </c>
      <c r="F18" s="3">
        <f t="shared" si="0"/>
        <v>271768</v>
      </c>
      <c r="G18">
        <f t="shared" si="4"/>
        <v>28232</v>
      </c>
      <c r="H18" s="3">
        <f t="shared" si="1"/>
        <v>30970.153965677047</v>
      </c>
      <c r="I18">
        <f t="shared" si="2"/>
        <v>71214122.391008228</v>
      </c>
    </row>
    <row r="19" spans="1:9">
      <c r="A19">
        <v>2007</v>
      </c>
      <c r="B19">
        <v>8305</v>
      </c>
      <c r="C19">
        <v>51630</v>
      </c>
      <c r="D19">
        <v>1389</v>
      </c>
      <c r="E19" s="9">
        <f t="shared" si="3"/>
        <v>0.24446054064290243</v>
      </c>
      <c r="F19" s="3">
        <f>$I$8-G19</f>
        <v>232359</v>
      </c>
      <c r="G19">
        <f t="shared" si="4"/>
        <v>67641</v>
      </c>
      <c r="H19" s="3">
        <f t="shared" si="1"/>
        <v>56802.606763244163</v>
      </c>
      <c r="I19">
        <f t="shared" si="2"/>
        <v>26755860.727159254</v>
      </c>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2:F17"/>
  <sheetViews>
    <sheetView workbookViewId="0">
      <selection activeCell="M20" sqref="M20"/>
    </sheetView>
  </sheetViews>
  <sheetFormatPr baseColWidth="10" defaultColWidth="8.83203125" defaultRowHeight="13"/>
  <cols>
    <col min="2" max="2" width="11" bestFit="1" customWidth="1"/>
    <col min="5" max="5" width="12" bestFit="1" customWidth="1"/>
  </cols>
  <sheetData>
    <row r="12" spans="2:6">
      <c r="B12" s="13" t="s">
        <v>15</v>
      </c>
      <c r="C12" s="13" t="s">
        <v>7</v>
      </c>
      <c r="D12" s="13" t="s">
        <v>8</v>
      </c>
      <c r="E12" s="13" t="s">
        <v>14</v>
      </c>
      <c r="F12" s="12" t="s">
        <v>16</v>
      </c>
    </row>
    <row r="13" spans="2:6">
      <c r="B13" s="13">
        <v>300000</v>
      </c>
      <c r="C13" s="13">
        <v>2.0468E-2</v>
      </c>
      <c r="D13" s="13">
        <v>0.99344699999999997</v>
      </c>
      <c r="E13" s="13">
        <v>289653257.19999999</v>
      </c>
      <c r="F13" s="13"/>
    </row>
    <row r="14" spans="2:6">
      <c r="B14" s="13">
        <v>250000</v>
      </c>
      <c r="C14" s="13">
        <v>2.3578999999999999E-2</v>
      </c>
      <c r="D14" s="13">
        <v>1.0602259999999999</v>
      </c>
      <c r="E14" s="13">
        <v>266607639.30000001</v>
      </c>
      <c r="F14" s="13"/>
    </row>
    <row r="15" spans="2:6">
      <c r="B15" s="11">
        <v>200000</v>
      </c>
      <c r="C15" s="11">
        <v>2.7428999999999999E-2</v>
      </c>
      <c r="D15" s="11">
        <v>1.17445</v>
      </c>
      <c r="E15" s="11">
        <v>230006685.5</v>
      </c>
      <c r="F15" s="11"/>
    </row>
    <row r="16" spans="2:6">
      <c r="B16" s="13">
        <v>150000</v>
      </c>
      <c r="C16" s="13">
        <v>3.1146E-2</v>
      </c>
      <c r="D16" s="13">
        <v>1.412663</v>
      </c>
      <c r="E16" s="13">
        <v>167094089.69999999</v>
      </c>
      <c r="F16" s="13"/>
    </row>
    <row r="17" spans="2:6">
      <c r="B17" s="13">
        <v>120000</v>
      </c>
      <c r="C17" s="13">
        <v>3.0356999999999999E-2</v>
      </c>
      <c r="D17" s="13">
        <v>1.7324949999999999</v>
      </c>
      <c r="E17" s="13">
        <v>117247266.90000001</v>
      </c>
      <c r="F17" s="13"/>
    </row>
  </sheetData>
  <phoneticPr fontId="2"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J23"/>
  <sheetViews>
    <sheetView topLeftCell="A4" zoomScaleNormal="100" workbookViewId="0">
      <selection activeCell="F39" sqref="F39"/>
    </sheetView>
  </sheetViews>
  <sheetFormatPr baseColWidth="10" defaultColWidth="8.83203125" defaultRowHeight="13"/>
  <cols>
    <col min="3" max="3" width="10.5" bestFit="1" customWidth="1"/>
    <col min="4" max="4" width="12.5" bestFit="1" customWidth="1"/>
    <col min="5" max="5" width="12.5" customWidth="1"/>
    <col min="6" max="6" width="19" bestFit="1" customWidth="1"/>
    <col min="7" max="7" width="7.5" bestFit="1" customWidth="1"/>
    <col min="8" max="9" width="15.5" bestFit="1" customWidth="1"/>
    <col min="11" max="11" width="12.5" bestFit="1" customWidth="1"/>
  </cols>
  <sheetData>
    <row r="7" spans="1:10">
      <c r="H7" s="6" t="s">
        <v>6</v>
      </c>
      <c r="I7" s="2">
        <v>200000</v>
      </c>
    </row>
    <row r="8" spans="1:10">
      <c r="A8" s="1" t="s">
        <v>4</v>
      </c>
      <c r="H8" s="6" t="s">
        <v>7</v>
      </c>
      <c r="I8" s="6">
        <v>2.7429125797277736E-2</v>
      </c>
    </row>
    <row r="9" spans="1:10">
      <c r="A9" s="1" t="s">
        <v>5</v>
      </c>
      <c r="H9" s="6" t="s">
        <v>8</v>
      </c>
      <c r="I9" s="6">
        <v>1.1744504778649223</v>
      </c>
    </row>
    <row r="10" spans="1:10">
      <c r="A10" s="1"/>
      <c r="H10" s="6" t="s">
        <v>14</v>
      </c>
      <c r="I10" s="6">
        <f>SUM(I13:I18)</f>
        <v>230006685.54290992</v>
      </c>
    </row>
    <row r="12" spans="1:10">
      <c r="A12" t="s">
        <v>0</v>
      </c>
      <c r="B12" s="1" t="s">
        <v>1</v>
      </c>
      <c r="C12" s="1" t="s">
        <v>2</v>
      </c>
      <c r="D12" s="1" t="s">
        <v>3</v>
      </c>
      <c r="E12" s="1" t="s">
        <v>13</v>
      </c>
      <c r="F12" s="8" t="s">
        <v>9</v>
      </c>
      <c r="G12" s="7" t="s">
        <v>10</v>
      </c>
      <c r="H12" s="7" t="s">
        <v>11</v>
      </c>
      <c r="I12" s="7" t="s">
        <v>12</v>
      </c>
      <c r="J12" s="7"/>
    </row>
    <row r="13" spans="1:10">
      <c r="A13">
        <v>2002</v>
      </c>
      <c r="B13">
        <v>143</v>
      </c>
      <c r="C13">
        <v>381</v>
      </c>
      <c r="E13" s="9">
        <f>$I$8+$I$9*(G13/$I$7)</f>
        <v>2.7429125797277736E-2</v>
      </c>
      <c r="F13" s="3">
        <f>$I$7-G13</f>
        <v>200000</v>
      </c>
      <c r="G13">
        <v>0</v>
      </c>
      <c r="H13" s="3">
        <f>E13*F13</f>
        <v>5485.8251594555468</v>
      </c>
      <c r="I13">
        <f>(H13-C13)^2</f>
        <v>26059239.908610348</v>
      </c>
    </row>
    <row r="14" spans="1:10">
      <c r="A14">
        <v>2003</v>
      </c>
      <c r="B14">
        <v>345</v>
      </c>
      <c r="C14">
        <v>939</v>
      </c>
      <c r="E14" s="9">
        <f>$I$8+$I$9*(G14/$I$7)</f>
        <v>2.9666453957610413E-2</v>
      </c>
      <c r="F14" s="3">
        <f t="shared" ref="F14:F18" si="0">$I$7-G14</f>
        <v>199619</v>
      </c>
      <c r="G14">
        <f>C13</f>
        <v>381</v>
      </c>
      <c r="H14" s="3">
        <f t="shared" ref="H14:H23" si="1">E14*F14</f>
        <v>5921.9878725642329</v>
      </c>
      <c r="I14">
        <f t="shared" ref="I14:I23" si="2">(H14-C14)^2</f>
        <v>24830168.13812222</v>
      </c>
    </row>
    <row r="15" spans="1:10">
      <c r="A15">
        <v>2004</v>
      </c>
      <c r="B15">
        <v>1306</v>
      </c>
      <c r="C15">
        <v>4416</v>
      </c>
      <c r="E15" s="9">
        <f t="shared" ref="E15:E18" si="3">$I$8+$I$9*(G15/$I$7)</f>
        <v>3.5180498951186225E-2</v>
      </c>
      <c r="F15" s="3">
        <f t="shared" si="0"/>
        <v>198680</v>
      </c>
      <c r="G15">
        <f>G14+C14</f>
        <v>1320</v>
      </c>
      <c r="H15" s="3">
        <f t="shared" si="1"/>
        <v>6989.6615316216794</v>
      </c>
      <c r="I15">
        <f t="shared" si="2"/>
        <v>6623733.6793492483</v>
      </c>
    </row>
    <row r="16" spans="1:10">
      <c r="A16">
        <v>2005</v>
      </c>
      <c r="B16">
        <v>4540</v>
      </c>
      <c r="C16">
        <v>22496</v>
      </c>
      <c r="E16" s="9">
        <f t="shared" si="3"/>
        <v>6.1112365502443707E-2</v>
      </c>
      <c r="F16" s="3">
        <f t="shared" si="0"/>
        <v>194264</v>
      </c>
      <c r="G16">
        <f t="shared" ref="G16:G18" si="4">G15+C15</f>
        <v>5736</v>
      </c>
      <c r="H16" s="3">
        <f t="shared" si="1"/>
        <v>11871.932571966725</v>
      </c>
      <c r="I16">
        <f t="shared" si="2"/>
        <v>112870808.71539757</v>
      </c>
    </row>
    <row r="17" spans="1:9">
      <c r="A17">
        <v>2006</v>
      </c>
      <c r="B17">
        <v>7676</v>
      </c>
      <c r="C17">
        <v>39409</v>
      </c>
      <c r="E17" s="9">
        <f t="shared" si="3"/>
        <v>0.19321455525269018</v>
      </c>
      <c r="F17" s="3">
        <f t="shared" si="0"/>
        <v>171768</v>
      </c>
      <c r="G17">
        <f t="shared" si="4"/>
        <v>28232</v>
      </c>
      <c r="H17" s="3">
        <f t="shared" si="1"/>
        <v>33188.077726644085</v>
      </c>
      <c r="I17">
        <f t="shared" si="2"/>
        <v>38699873.931135722</v>
      </c>
    </row>
    <row r="18" spans="1:9">
      <c r="A18">
        <v>2007</v>
      </c>
      <c r="B18">
        <v>8305</v>
      </c>
      <c r="C18">
        <v>51630</v>
      </c>
      <c r="D18">
        <v>1389</v>
      </c>
      <c r="E18" s="9">
        <f t="shared" si="3"/>
        <v>0.42463414966358376</v>
      </c>
      <c r="F18" s="3">
        <f t="shared" si="0"/>
        <v>132359</v>
      </c>
      <c r="G18">
        <f t="shared" si="4"/>
        <v>67641</v>
      </c>
      <c r="H18" s="3">
        <f t="shared" si="1"/>
        <v>56204.151415322282</v>
      </c>
      <c r="I18">
        <f t="shared" si="2"/>
        <v>20922861.170294832</v>
      </c>
    </row>
    <row r="19" spans="1:9">
      <c r="A19" s="4">
        <v>2008</v>
      </c>
      <c r="B19" s="4"/>
      <c r="C19" s="4"/>
      <c r="D19" s="4"/>
      <c r="E19" s="10">
        <f>$I$8+$I$9*(G19/$I$7)</f>
        <v>0.72781854052441342</v>
      </c>
      <c r="F19" s="5">
        <f>$I$7-G19</f>
        <v>80729</v>
      </c>
      <c r="G19" s="4">
        <f>G18+C18</f>
        <v>119271</v>
      </c>
      <c r="H19" s="5">
        <f t="shared" si="1"/>
        <v>58756.062957995367</v>
      </c>
      <c r="I19" s="4">
        <f t="shared" si="2"/>
        <v>3452274934.3239155</v>
      </c>
    </row>
    <row r="20" spans="1:9">
      <c r="A20" s="4">
        <v>2009</v>
      </c>
      <c r="B20" s="4"/>
      <c r="C20" s="4"/>
      <c r="D20" s="4"/>
      <c r="E20" s="10">
        <f t="shared" ref="E20:E23" si="5">$I$8+$I$9*(G20/$I$7)</f>
        <v>1.072848971616809</v>
      </c>
      <c r="F20" s="5">
        <f>$I$7-G20</f>
        <v>21972.937042004633</v>
      </c>
      <c r="G20" s="4">
        <f>G19+H19</f>
        <v>178027.06295799537</v>
      </c>
      <c r="H20" s="5">
        <f t="shared" si="1"/>
        <v>23573.642908915561</v>
      </c>
      <c r="I20" s="4">
        <f t="shared" si="2"/>
        <v>555716639.99706495</v>
      </c>
    </row>
    <row r="21" spans="1:9">
      <c r="A21" s="4">
        <v>2010</v>
      </c>
      <c r="B21" s="4"/>
      <c r="C21" s="4"/>
      <c r="D21" s="4"/>
      <c r="E21" s="10">
        <f t="shared" si="5"/>
        <v>1.2112793525137735</v>
      </c>
      <c r="F21" s="5">
        <f t="shared" ref="F21:F23" si="6">$I$7-G21</f>
        <v>-1600.7058669109247</v>
      </c>
      <c r="G21" s="4">
        <f>G20+H20</f>
        <v>201600.70586691092</v>
      </c>
      <c r="H21" s="5">
        <f t="shared" si="1"/>
        <v>-1938.9019660368633</v>
      </c>
      <c r="I21" s="4">
        <f t="shared" si="2"/>
        <v>3759340.833901614</v>
      </c>
    </row>
    <row r="22" spans="1:9">
      <c r="A22" s="4">
        <v>2011</v>
      </c>
      <c r="B22" s="4"/>
      <c r="C22" s="4"/>
      <c r="D22" s="4"/>
      <c r="E22" s="10">
        <f t="shared" si="5"/>
        <v>1.1998936308110475</v>
      </c>
      <c r="F22" s="5">
        <f t="shared" si="6"/>
        <v>338.19609912592568</v>
      </c>
      <c r="G22" s="4">
        <f t="shared" ref="G22:G23" si="7">G21+H21</f>
        <v>199661.80390087407</v>
      </c>
      <c r="H22" s="5">
        <f t="shared" si="1"/>
        <v>405.79934530633989</v>
      </c>
      <c r="I22" s="4">
        <f t="shared" si="2"/>
        <v>164673.10865105406</v>
      </c>
    </row>
    <row r="23" spans="1:9">
      <c r="A23" s="4">
        <v>2012</v>
      </c>
      <c r="B23" s="4"/>
      <c r="C23" s="4"/>
      <c r="D23" s="4"/>
      <c r="E23" s="10">
        <f t="shared" si="5"/>
        <v>1.202276586986109</v>
      </c>
      <c r="F23" s="5">
        <f t="shared" si="6"/>
        <v>-67.603246180427959</v>
      </c>
      <c r="G23" s="4">
        <f t="shared" si="7"/>
        <v>200067.60324618043</v>
      </c>
      <c r="H23" s="5">
        <f t="shared" si="1"/>
        <v>-81.27780008698663</v>
      </c>
      <c r="I23" s="4">
        <f t="shared" si="2"/>
        <v>6606.0807869801638</v>
      </c>
    </row>
  </sheetData>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6:I46"/>
  <sheetViews>
    <sheetView topLeftCell="A22" zoomScale="111" workbookViewId="0">
      <selection activeCell="F42" sqref="F42"/>
    </sheetView>
  </sheetViews>
  <sheetFormatPr baseColWidth="10" defaultColWidth="8.83203125" defaultRowHeight="13"/>
  <cols>
    <col min="3" max="3" width="35.33203125" bestFit="1" customWidth="1"/>
    <col min="4" max="4" width="15" bestFit="1" customWidth="1"/>
    <col min="5" max="5" width="12" bestFit="1" customWidth="1"/>
    <col min="6" max="6" width="20.1640625" customWidth="1"/>
    <col min="7" max="7" width="20.1640625" bestFit="1" customWidth="1"/>
    <col min="8" max="8" width="22.5" bestFit="1" customWidth="1"/>
  </cols>
  <sheetData>
    <row r="16" spans="6:7">
      <c r="F16">
        <v>0.4</v>
      </c>
      <c r="G16">
        <v>0.6</v>
      </c>
    </row>
    <row r="17" spans="3:9" ht="28">
      <c r="D17" s="1" t="s">
        <v>7</v>
      </c>
      <c r="E17" s="1" t="s">
        <v>8</v>
      </c>
      <c r="F17" s="17" t="s">
        <v>19</v>
      </c>
      <c r="G17" s="17" t="s">
        <v>20</v>
      </c>
      <c r="H17" s="1" t="s">
        <v>17</v>
      </c>
    </row>
    <row r="18" spans="3:9">
      <c r="C18" s="1" t="s">
        <v>18</v>
      </c>
      <c r="D18">
        <f>'Q3'!I8</f>
        <v>2.7429125797277736E-2</v>
      </c>
      <c r="E18">
        <f>'Q3'!I9</f>
        <v>1.1744504778649223</v>
      </c>
      <c r="F18">
        <v>3</v>
      </c>
      <c r="G18">
        <v>5</v>
      </c>
      <c r="H18">
        <f>$F$16*F18+$G$16*G18</f>
        <v>4.2</v>
      </c>
      <c r="I18">
        <f>H18/$H$20</f>
        <v>0.34426229508196726</v>
      </c>
    </row>
    <row r="19" spans="3:9" ht="14">
      <c r="C19" s="17" t="s">
        <v>27</v>
      </c>
      <c r="D19">
        <f>D31</f>
        <v>6.8869420160136271E-3</v>
      </c>
      <c r="E19">
        <f>G31</f>
        <v>0.61134109109693557</v>
      </c>
      <c r="F19">
        <v>8</v>
      </c>
      <c r="G19">
        <v>8</v>
      </c>
      <c r="H19">
        <f t="shared" ref="H19" si="0">$F$16*F19+$G$16*G19</f>
        <v>8</v>
      </c>
      <c r="I19">
        <f>H19/$H$20</f>
        <v>0.65573770491803285</v>
      </c>
    </row>
    <row r="20" spans="3:9">
      <c r="H20">
        <f>SUM(H18:H19)</f>
        <v>12.2</v>
      </c>
    </row>
    <row r="21" spans="3:9">
      <c r="C21" s="1" t="s">
        <v>21</v>
      </c>
      <c r="D21">
        <f>SUMPRODUCT(D18:D19,I18:I19)</f>
        <v>1.3958841350547174E-2</v>
      </c>
      <c r="E21">
        <f>SUMPRODUCT(E18:E19,I18:I19)</f>
        <v>0.80519842096788197</v>
      </c>
    </row>
    <row r="22" spans="3:9">
      <c r="C22" s="1"/>
    </row>
    <row r="23" spans="3:9">
      <c r="C23" s="1"/>
    </row>
    <row r="25" spans="3:9">
      <c r="C25" s="1"/>
      <c r="D25" s="1"/>
      <c r="E25" s="1"/>
      <c r="F25" s="1"/>
      <c r="G25" s="1"/>
    </row>
    <row r="26" spans="3:9">
      <c r="C26" s="48" t="s">
        <v>26</v>
      </c>
      <c r="D26" s="48"/>
      <c r="E26" s="24"/>
      <c r="F26" s="48" t="s">
        <v>25</v>
      </c>
      <c r="G26" s="48"/>
    </row>
    <row r="27" spans="3:9">
      <c r="C27" s="23" t="s">
        <v>22</v>
      </c>
      <c r="D27" s="23">
        <v>1.6E-2</v>
      </c>
      <c r="E27" s="21"/>
      <c r="F27" s="23" t="s">
        <v>22</v>
      </c>
      <c r="G27" s="23">
        <v>0.40899999999999997</v>
      </c>
    </row>
    <row r="28" spans="3:9">
      <c r="C28" s="23" t="s">
        <v>23</v>
      </c>
      <c r="D28" s="23">
        <v>0.22600000000000001</v>
      </c>
      <c r="E28" s="21"/>
      <c r="F28" s="23" t="s">
        <v>23</v>
      </c>
      <c r="G28" s="23">
        <v>0.63500000000000001</v>
      </c>
    </row>
    <row r="29" spans="3:9">
      <c r="C29" s="23" t="s">
        <v>24</v>
      </c>
      <c r="D29" s="23">
        <v>1.0209999999999999</v>
      </c>
      <c r="E29" s="21"/>
      <c r="F29" s="23" t="s">
        <v>24</v>
      </c>
      <c r="G29" s="23">
        <v>1.028</v>
      </c>
    </row>
    <row r="30" spans="3:9" ht="28">
      <c r="C30" s="19" t="s">
        <v>28</v>
      </c>
      <c r="D30" s="23">
        <f>2007-1976</f>
        <v>31</v>
      </c>
      <c r="E30" s="21"/>
      <c r="F30" s="19" t="s">
        <v>28</v>
      </c>
      <c r="G30" s="23">
        <f>2007-1976</f>
        <v>31</v>
      </c>
    </row>
    <row r="31" spans="3:9">
      <c r="C31" s="20" t="s">
        <v>7</v>
      </c>
      <c r="D31" s="25">
        <f>D27*D28*(D29^D30)</f>
        <v>6.8869420160136271E-3</v>
      </c>
      <c r="E31" s="21"/>
      <c r="F31" s="20" t="s">
        <v>8</v>
      </c>
      <c r="G31" s="23">
        <f>G27*G28*(G29^G30)</f>
        <v>0.61134109109693557</v>
      </c>
    </row>
    <row r="33" spans="2:7">
      <c r="B33" s="1" t="s">
        <v>31</v>
      </c>
    </row>
    <row r="34" spans="2:7">
      <c r="C34" s="1" t="s">
        <v>30</v>
      </c>
    </row>
    <row r="35" spans="2:7">
      <c r="C35" s="26" t="s">
        <v>32</v>
      </c>
      <c r="D35" s="28">
        <v>6600000</v>
      </c>
    </row>
    <row r="36" spans="2:7">
      <c r="C36" s="26" t="s">
        <v>33</v>
      </c>
      <c r="D36" s="28">
        <v>3300000</v>
      </c>
      <c r="F36" s="18" t="s">
        <v>65</v>
      </c>
      <c r="G36" s="27" t="s">
        <v>34</v>
      </c>
    </row>
    <row r="37" spans="2:7">
      <c r="C37" s="26"/>
      <c r="D37" s="29"/>
    </row>
    <row r="38" spans="2:7">
      <c r="C38" s="26"/>
      <c r="D38" s="30"/>
    </row>
    <row r="39" spans="2:7">
      <c r="C39" s="31" t="s">
        <v>39</v>
      </c>
      <c r="D39" s="30"/>
    </row>
    <row r="40" spans="2:7">
      <c r="C40" s="26" t="s">
        <v>35</v>
      </c>
      <c r="D40" s="30">
        <v>10</v>
      </c>
    </row>
    <row r="41" spans="2:7">
      <c r="C41" s="26" t="s">
        <v>36</v>
      </c>
      <c r="D41" s="29">
        <v>0.05</v>
      </c>
    </row>
    <row r="42" spans="2:7">
      <c r="C42" s="26" t="s">
        <v>37</v>
      </c>
      <c r="D42" s="9">
        <f>D36*((1+D41)^D40)</f>
        <v>5375352.2683655573</v>
      </c>
    </row>
    <row r="43" spans="2:7">
      <c r="C43" s="26" t="s">
        <v>38</v>
      </c>
      <c r="D43" s="29">
        <v>0.9</v>
      </c>
    </row>
    <row r="44" spans="2:7">
      <c r="C44" s="26" t="s">
        <v>40</v>
      </c>
      <c r="D44" s="32">
        <f>D43*D42</f>
        <v>4837817.0415290017</v>
      </c>
    </row>
    <row r="45" spans="2:7">
      <c r="C45" s="26" t="s">
        <v>41</v>
      </c>
      <c r="D45" s="29">
        <v>0.35</v>
      </c>
    </row>
    <row r="46" spans="2:7">
      <c r="C46" s="33" t="s">
        <v>42</v>
      </c>
      <c r="D46" s="34">
        <f>D44*D45</f>
        <v>1693235.9645351504</v>
      </c>
    </row>
  </sheetData>
  <mergeCells count="2">
    <mergeCell ref="C26:D26"/>
    <mergeCell ref="F26:G26"/>
  </mergeCells>
  <phoneticPr fontId="2" type="noConversion"/>
  <hyperlinks>
    <hyperlink ref="G36" r:id="rId1" xr:uid="{00000000-0004-0000-0300-000000000000}"/>
  </hyperlinks>
  <pageMargins left="0.75" right="0.75" top="1" bottom="1" header="0.5" footer="0.5"/>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H28"/>
  <sheetViews>
    <sheetView zoomScaleNormal="100" workbookViewId="0">
      <selection activeCell="G10" sqref="G10"/>
    </sheetView>
  </sheetViews>
  <sheetFormatPr baseColWidth="10" defaultColWidth="8.83203125" defaultRowHeight="13"/>
  <cols>
    <col min="2" max="2" width="12.5" bestFit="1" customWidth="1"/>
    <col min="3" max="3" width="12.5" customWidth="1"/>
    <col min="4" max="4" width="19" bestFit="1" customWidth="1"/>
    <col min="5" max="5" width="12" bestFit="1" customWidth="1"/>
    <col min="6" max="6" width="17.83203125" bestFit="1" customWidth="1"/>
    <col min="7" max="7" width="15.5" bestFit="1" customWidth="1"/>
    <col min="9" max="9" width="12.5" bestFit="1" customWidth="1"/>
  </cols>
  <sheetData>
    <row r="6" spans="1:8">
      <c r="F6" s="14" t="s">
        <v>6</v>
      </c>
      <c r="G6" s="2">
        <f>'Q4'!D46</f>
        <v>1693235.9645351504</v>
      </c>
    </row>
    <row r="7" spans="1:8">
      <c r="A7" s="1"/>
      <c r="F7" s="14" t="s">
        <v>7</v>
      </c>
      <c r="G7" s="14">
        <f>'Q4'!D21</f>
        <v>1.3958841350547174E-2</v>
      </c>
    </row>
    <row r="8" spans="1:8">
      <c r="A8" s="1" t="s">
        <v>5</v>
      </c>
      <c r="F8" s="14" t="s">
        <v>8</v>
      </c>
      <c r="G8" s="14">
        <f>'Q4'!E21</f>
        <v>0.80519842096788197</v>
      </c>
    </row>
    <row r="9" spans="1:8">
      <c r="A9" s="1"/>
      <c r="F9" s="14"/>
      <c r="G9" s="14"/>
    </row>
    <row r="11" spans="1:8">
      <c r="A11" t="s">
        <v>0</v>
      </c>
      <c r="B11" s="1" t="s">
        <v>3</v>
      </c>
      <c r="C11" s="1" t="s">
        <v>13</v>
      </c>
      <c r="D11" s="16" t="s">
        <v>9</v>
      </c>
      <c r="E11" s="15" t="s">
        <v>10</v>
      </c>
      <c r="F11" s="15" t="s">
        <v>29</v>
      </c>
      <c r="G11" s="15"/>
      <c r="H11" s="15"/>
    </row>
    <row r="12" spans="1:8">
      <c r="A12">
        <v>2007</v>
      </c>
      <c r="B12">
        <v>1389</v>
      </c>
      <c r="C12" s="9">
        <f>$G$7+$G$8*(E12/$G$6)</f>
        <v>1.3958841350547174E-2</v>
      </c>
      <c r="D12" s="3">
        <f>$G$6-E12</f>
        <v>1693235.9645351504</v>
      </c>
      <c r="E12">
        <v>0</v>
      </c>
      <c r="F12" s="3">
        <f>C12*D12</f>
        <v>23635.612197986888</v>
      </c>
    </row>
    <row r="13" spans="1:8">
      <c r="A13" s="4">
        <v>2008</v>
      </c>
      <c r="B13" s="4"/>
      <c r="C13" s="10">
        <f>$G$7+$G$8*(E13/$G$6)</f>
        <v>1.4619363941697919E-2</v>
      </c>
      <c r="D13" s="5">
        <f>$G$6-E13</f>
        <v>1691846.9645351504</v>
      </c>
      <c r="E13" s="4">
        <f>B12</f>
        <v>1389</v>
      </c>
      <c r="F13" s="5">
        <f t="shared" ref="F13:F17" si="0">C13*D13</f>
        <v>24733.726508196258</v>
      </c>
      <c r="G13" s="4"/>
    </row>
    <row r="14" spans="1:8">
      <c r="A14" s="4">
        <v>2009</v>
      </c>
      <c r="B14" s="4"/>
      <c r="C14" s="10">
        <f t="shared" ref="C14:C17" si="1">$G$7+$G$8*(E14/$G$6)</f>
        <v>2.6381196282956126E-2</v>
      </c>
      <c r="D14" s="5">
        <f>$G$6-E14</f>
        <v>1667113.2380269542</v>
      </c>
      <c r="E14" s="5">
        <f>E13+F13</f>
        <v>26122.726508196258</v>
      </c>
      <c r="F14" s="5">
        <f t="shared" si="0"/>
        <v>43980.441558303639</v>
      </c>
      <c r="G14" s="4"/>
    </row>
    <row r="15" spans="1:8">
      <c r="A15" s="4">
        <v>2010</v>
      </c>
      <c r="B15" s="4"/>
      <c r="C15" s="10">
        <f t="shared" si="1"/>
        <v>4.7295577289467733E-2</v>
      </c>
      <c r="D15" s="5">
        <f t="shared" ref="D15:D28" si="2">$G$6-E15</f>
        <v>1623132.7964686505</v>
      </c>
      <c r="E15" s="4">
        <f>E14+F14</f>
        <v>70103.1680664999</v>
      </c>
      <c r="F15" s="5">
        <f t="shared" si="0"/>
        <v>76767.002626452959</v>
      </c>
      <c r="G15" s="4"/>
    </row>
    <row r="16" spans="1:8">
      <c r="A16" s="4">
        <v>2011</v>
      </c>
      <c r="B16" s="4"/>
      <c r="C16" s="10">
        <f t="shared" si="1"/>
        <v>8.3801221270533785E-2</v>
      </c>
      <c r="D16" s="5">
        <f t="shared" si="2"/>
        <v>1546365.7938421976</v>
      </c>
      <c r="E16" s="4">
        <f t="shared" ref="E16:E17" si="3">E15+F15</f>
        <v>146870.17069295287</v>
      </c>
      <c r="F16" s="5">
        <f t="shared" si="0"/>
        <v>129587.34205495463</v>
      </c>
      <c r="G16" s="4"/>
    </row>
    <row r="17" spans="1:7">
      <c r="A17" s="4">
        <v>2012</v>
      </c>
      <c r="B17" s="4"/>
      <c r="C17" s="10">
        <f t="shared" si="1"/>
        <v>0.14542495557901219</v>
      </c>
      <c r="D17" s="5">
        <f t="shared" si="2"/>
        <v>1416778.4517872429</v>
      </c>
      <c r="E17" s="4">
        <f t="shared" si="3"/>
        <v>276457.51274790749</v>
      </c>
      <c r="F17" s="5">
        <f t="shared" si="0"/>
        <v>206034.94341646146</v>
      </c>
      <c r="G17" s="4"/>
    </row>
    <row r="18" spans="1:7">
      <c r="A18" s="35">
        <v>2013</v>
      </c>
      <c r="B18" s="35"/>
      <c r="C18" s="36">
        <f t="shared" ref="C18:C28" si="4">$G$7+$G$8*(E18/$G$6)</f>
        <v>0.24340244635873731</v>
      </c>
      <c r="D18" s="37">
        <f t="shared" si="2"/>
        <v>1210743.5083707816</v>
      </c>
      <c r="E18" s="35">
        <f t="shared" ref="E18:E28" si="5">E17+F17</f>
        <v>482492.45616436895</v>
      </c>
      <c r="F18" s="37">
        <f t="shared" ref="F18:F28" si="6">C18*D18</f>
        <v>294697.93185040855</v>
      </c>
      <c r="G18" s="35"/>
    </row>
    <row r="19" spans="1:7">
      <c r="A19" s="35">
        <v>2014</v>
      </c>
      <c r="B19" s="35"/>
      <c r="C19" s="36">
        <f t="shared" si="4"/>
        <v>0.38354257706615091</v>
      </c>
      <c r="D19" s="37">
        <f t="shared" si="2"/>
        <v>916045.57652037288</v>
      </c>
      <c r="E19" s="35">
        <f t="shared" si="5"/>
        <v>777190.38801477756</v>
      </c>
      <c r="F19" s="37">
        <f t="shared" si="6"/>
        <v>351342.48112867179</v>
      </c>
      <c r="G19" s="35"/>
    </row>
    <row r="20" spans="1:7">
      <c r="A20" s="35">
        <v>2015</v>
      </c>
      <c r="B20" s="35"/>
      <c r="C20" s="36">
        <f t="shared" si="4"/>
        <v>0.55061935605566981</v>
      </c>
      <c r="D20" s="37">
        <f t="shared" si="2"/>
        <v>564703.09539170121</v>
      </c>
      <c r="E20" s="35">
        <f t="shared" si="5"/>
        <v>1128532.8691434492</v>
      </c>
      <c r="F20" s="37">
        <f t="shared" si="6"/>
        <v>310936.45474722201</v>
      </c>
      <c r="G20" s="35"/>
    </row>
    <row r="21" spans="1:7">
      <c r="A21" s="35">
        <v>2016</v>
      </c>
      <c r="B21" s="35"/>
      <c r="C21" s="36">
        <f t="shared" si="4"/>
        <v>0.69848152507860806</v>
      </c>
      <c r="D21" s="37">
        <f t="shared" si="2"/>
        <v>253766.64064447931</v>
      </c>
      <c r="E21" s="35">
        <f t="shared" si="5"/>
        <v>1439469.3238906711</v>
      </c>
      <c r="F21" s="37">
        <f t="shared" si="6"/>
        <v>177251.31017143099</v>
      </c>
      <c r="G21" s="35"/>
    </row>
    <row r="22" spans="1:7">
      <c r="A22" s="35">
        <v>2017</v>
      </c>
      <c r="B22" s="35"/>
      <c r="C22" s="36">
        <f t="shared" si="4"/>
        <v>0.78277129806586365</v>
      </c>
      <c r="D22" s="37">
        <f t="shared" si="2"/>
        <v>76515.33047304838</v>
      </c>
      <c r="E22" s="35">
        <f t="shared" si="5"/>
        <v>1616720.6340621021</v>
      </c>
      <c r="F22" s="37">
        <f t="shared" si="6"/>
        <v>59894.00455632661</v>
      </c>
      <c r="G22" s="35"/>
    </row>
    <row r="23" spans="1:7">
      <c r="A23" s="35">
        <v>2018</v>
      </c>
      <c r="B23" s="35"/>
      <c r="C23" s="36">
        <f t="shared" si="4"/>
        <v>0.81125318653522238</v>
      </c>
      <c r="D23" s="37">
        <f t="shared" si="2"/>
        <v>16621.325916721718</v>
      </c>
      <c r="E23" s="35">
        <f t="shared" si="5"/>
        <v>1676614.6386184287</v>
      </c>
      <c r="F23" s="37">
        <f t="shared" si="6"/>
        <v>13484.103614380971</v>
      </c>
      <c r="G23" s="35"/>
    </row>
    <row r="24" spans="1:7">
      <c r="A24" s="35">
        <v>2019</v>
      </c>
      <c r="B24" s="35"/>
      <c r="C24" s="36">
        <f t="shared" si="4"/>
        <v>0.81766539320096476</v>
      </c>
      <c r="D24" s="37">
        <f t="shared" si="2"/>
        <v>3137.2223023406696</v>
      </c>
      <c r="E24" s="35">
        <f t="shared" si="5"/>
        <v>1690098.7422328098</v>
      </c>
      <c r="F24" s="37">
        <f t="shared" si="6"/>
        <v>2565.1981074022196</v>
      </c>
      <c r="G24" s="35"/>
    </row>
    <row r="25" spans="1:7">
      <c r="A25" s="35">
        <v>2020</v>
      </c>
      <c r="B25" s="35"/>
      <c r="C25" s="36">
        <f t="shared" si="4"/>
        <v>0.8188852429495006</v>
      </c>
      <c r="D25" s="37">
        <f t="shared" si="2"/>
        <v>572.02419493836351</v>
      </c>
      <c r="E25" s="35">
        <f t="shared" si="5"/>
        <v>1692663.9403402121</v>
      </c>
      <c r="F25" s="37">
        <f t="shared" si="6"/>
        <v>468.42217184509428</v>
      </c>
      <c r="G25" s="35"/>
    </row>
    <row r="26" spans="1:7">
      <c r="A26" s="35">
        <v>2021</v>
      </c>
      <c r="B26" s="35"/>
      <c r="C26" s="36">
        <f t="shared" si="4"/>
        <v>0.81910799559651259</v>
      </c>
      <c r="D26" s="37">
        <f t="shared" si="2"/>
        <v>103.60202309326269</v>
      </c>
      <c r="E26" s="35">
        <f t="shared" si="5"/>
        <v>1693132.3625120572</v>
      </c>
      <c r="F26" s="37">
        <f t="shared" si="6"/>
        <v>84.86124547566601</v>
      </c>
      <c r="G26" s="35"/>
    </row>
    <row r="27" spans="1:7">
      <c r="A27" s="35">
        <v>2022</v>
      </c>
      <c r="B27" s="35"/>
      <c r="C27" s="36">
        <f t="shared" si="4"/>
        <v>0.81914835036235123</v>
      </c>
      <c r="D27" s="37">
        <f t="shared" si="2"/>
        <v>18.740777617553249</v>
      </c>
      <c r="E27" s="35">
        <f t="shared" si="5"/>
        <v>1693217.2237575329</v>
      </c>
      <c r="F27" s="37">
        <f t="shared" si="6"/>
        <v>15.351477069926419</v>
      </c>
      <c r="G27" s="35"/>
    </row>
    <row r="28" spans="1:7">
      <c r="A28" s="35">
        <v>2023</v>
      </c>
      <c r="B28" s="35"/>
      <c r="C28" s="36">
        <f t="shared" si="4"/>
        <v>0.819155650576471</v>
      </c>
      <c r="D28" s="37">
        <f t="shared" si="2"/>
        <v>3.3893005475401878</v>
      </c>
      <c r="E28" s="35">
        <f t="shared" si="5"/>
        <v>1693232.5752346029</v>
      </c>
      <c r="F28" s="37">
        <f t="shared" si="6"/>
        <v>2.7763646950194718</v>
      </c>
      <c r="G28" s="35"/>
    </row>
  </sheetData>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6:U64"/>
  <sheetViews>
    <sheetView zoomScale="90" zoomScaleNormal="90" workbookViewId="0">
      <selection activeCell="F34" sqref="F34"/>
    </sheetView>
  </sheetViews>
  <sheetFormatPr baseColWidth="10" defaultColWidth="8.83203125" defaultRowHeight="13"/>
  <cols>
    <col min="1" max="1" width="4.1640625" customWidth="1"/>
    <col min="2" max="2" width="18.33203125" customWidth="1"/>
    <col min="3" max="4" width="17.1640625" customWidth="1"/>
    <col min="5" max="5" width="17.33203125" customWidth="1"/>
    <col min="6" max="6" width="17.1640625" customWidth="1"/>
    <col min="7" max="7" width="17.33203125" customWidth="1"/>
    <col min="8" max="11" width="17.1640625" customWidth="1"/>
    <col min="12" max="12" width="14.5" customWidth="1"/>
    <col min="13" max="13" width="12.83203125" bestFit="1" customWidth="1"/>
    <col min="14" max="14" width="17.83203125" bestFit="1" customWidth="1"/>
    <col min="15" max="15" width="2.5" customWidth="1"/>
    <col min="17" max="18" width="14.6640625" customWidth="1"/>
    <col min="19" max="19" width="14.83203125" bestFit="1" customWidth="1"/>
    <col min="20" max="20" width="12" bestFit="1" customWidth="1"/>
  </cols>
  <sheetData>
    <row r="16" spans="2:2">
      <c r="B16" s="1" t="s">
        <v>31</v>
      </c>
    </row>
    <row r="18" spans="2:18">
      <c r="B18" s="13"/>
      <c r="C18" s="49" t="s">
        <v>59</v>
      </c>
      <c r="D18" s="50"/>
      <c r="E18" s="50"/>
      <c r="F18" s="49" t="s">
        <v>60</v>
      </c>
      <c r="G18" s="50"/>
      <c r="H18" s="50"/>
      <c r="I18" s="49" t="s">
        <v>61</v>
      </c>
      <c r="J18" s="50"/>
      <c r="K18" s="50"/>
    </row>
    <row r="19" spans="2:18" ht="14">
      <c r="B19" s="13" t="s">
        <v>0</v>
      </c>
      <c r="C19" s="47" t="s">
        <v>62</v>
      </c>
      <c r="D19" s="47" t="s">
        <v>63</v>
      </c>
      <c r="E19" s="47" t="s">
        <v>64</v>
      </c>
      <c r="F19" s="47" t="s">
        <v>62</v>
      </c>
      <c r="G19" s="47" t="s">
        <v>63</v>
      </c>
      <c r="H19" s="47" t="s">
        <v>64</v>
      </c>
      <c r="I19" s="47" t="s">
        <v>62</v>
      </c>
      <c r="J19" s="47" t="s">
        <v>63</v>
      </c>
      <c r="K19" s="47" t="s">
        <v>64</v>
      </c>
    </row>
    <row r="20" spans="2:18">
      <c r="B20" s="45">
        <v>2007</v>
      </c>
      <c r="C20" s="46">
        <f>G42</f>
        <v>33765.160282838413</v>
      </c>
      <c r="D20" s="46">
        <f>N42</f>
        <v>25372.582988604379</v>
      </c>
      <c r="E20" s="46">
        <f>U42</f>
        <v>70185.288632690266</v>
      </c>
      <c r="F20" s="46">
        <f>G50</f>
        <v>23635.612197986888</v>
      </c>
      <c r="G20" s="46">
        <f>N50</f>
        <v>17760.808092023064</v>
      </c>
      <c r="H20" s="46">
        <f>U50</f>
        <v>49129.702042883182</v>
      </c>
      <c r="I20" s="46">
        <f>G59</f>
        <v>13506.064113135366</v>
      </c>
      <c r="J20" s="46">
        <f>N59</f>
        <v>10149.033195441752</v>
      </c>
      <c r="K20" s="46">
        <f>U59</f>
        <v>28074.115453076105</v>
      </c>
    </row>
    <row r="21" spans="2:18">
      <c r="B21" s="45">
        <v>2008</v>
      </c>
      <c r="C21" s="46">
        <f t="shared" ref="C21:C25" si="0">G43</f>
        <v>34863.549832811514</v>
      </c>
      <c r="D21" s="46">
        <f t="shared" ref="D21:D25" si="1">N43</f>
        <v>26180.533449697596</v>
      </c>
      <c r="E21" s="46">
        <f t="shared" ref="E21:E25" si="2">U43</f>
        <v>71924.70699403141</v>
      </c>
      <c r="F21" s="46">
        <f t="shared" ref="F21:F25" si="3">G51</f>
        <v>24733.726508196258</v>
      </c>
      <c r="G21" s="46">
        <f t="shared" ref="G21:G25" si="4">N51</f>
        <v>18568.55601723809</v>
      </c>
      <c r="H21" s="46">
        <f t="shared" ref="H21:H25" si="5">U51</f>
        <v>50868.682168990206</v>
      </c>
      <c r="I21" s="46">
        <f t="shared" ref="I21:I25" si="6">G60</f>
        <v>14603.490323935403</v>
      </c>
      <c r="J21" s="46">
        <f t="shared" ref="J21:J25" si="7">N60</f>
        <v>10956.27478096131</v>
      </c>
      <c r="K21" s="46">
        <f t="shared" ref="K21:K25" si="8">U60</f>
        <v>29811.999991097804</v>
      </c>
    </row>
    <row r="22" spans="2:18">
      <c r="B22" s="45">
        <v>2009</v>
      </c>
      <c r="C22" s="46">
        <f t="shared" si="0"/>
        <v>62012.130171971257</v>
      </c>
      <c r="D22" s="46">
        <f t="shared" si="1"/>
        <v>41232.368528157473</v>
      </c>
      <c r="E22" s="46">
        <f t="shared" si="2"/>
        <v>159199.90433579762</v>
      </c>
      <c r="F22" s="46">
        <f t="shared" si="3"/>
        <v>43980.441558303639</v>
      </c>
      <c r="G22" s="46">
        <f t="shared" si="4"/>
        <v>29237.08860206031</v>
      </c>
      <c r="H22" s="46">
        <f t="shared" si="5"/>
        <v>112541.80448067879</v>
      </c>
      <c r="I22" s="46">
        <f t="shared" si="6"/>
        <v>25947.114247165402</v>
      </c>
      <c r="J22" s="46">
        <f t="shared" si="7"/>
        <v>17240.87688977697</v>
      </c>
      <c r="K22" s="46">
        <f t="shared" si="8"/>
        <v>65879.603817485709</v>
      </c>
    </row>
    <row r="23" spans="2:18">
      <c r="B23" s="45">
        <v>2010</v>
      </c>
      <c r="C23" s="46">
        <f t="shared" si="0"/>
        <v>108301.82395752879</v>
      </c>
      <c r="D23" s="46">
        <f t="shared" si="1"/>
        <v>64257.018756257195</v>
      </c>
      <c r="E23" s="46">
        <f t="shared" si="2"/>
        <v>332875.43382513575</v>
      </c>
      <c r="F23" s="46">
        <f t="shared" si="3"/>
        <v>76767.002626452959</v>
      </c>
      <c r="G23" s="46">
        <f t="shared" si="4"/>
        <v>45546.1177806735</v>
      </c>
      <c r="H23" s="46">
        <f t="shared" si="5"/>
        <v>235062.97468195937</v>
      </c>
      <c r="I23" s="46">
        <f t="shared" si="6"/>
        <v>45226.571563936712</v>
      </c>
      <c r="J23" s="46">
        <f t="shared" si="7"/>
        <v>26832.674299031874</v>
      </c>
      <c r="K23" s="46">
        <f t="shared" si="8"/>
        <v>137230.0234975554</v>
      </c>
    </row>
    <row r="24" spans="2:18">
      <c r="B24" s="45">
        <v>2011</v>
      </c>
      <c r="C24" s="46">
        <f t="shared" si="0"/>
        <v>183004.99589037825</v>
      </c>
      <c r="D24" s="46">
        <f t="shared" si="1"/>
        <v>98478.545316650052</v>
      </c>
      <c r="E24" s="46">
        <f t="shared" si="2"/>
        <v>609203.7157390936</v>
      </c>
      <c r="F24" s="46">
        <f t="shared" si="3"/>
        <v>129587.34205495463</v>
      </c>
      <c r="G24" s="46">
        <f t="shared" si="4"/>
        <v>69760.769987684005</v>
      </c>
      <c r="H24" s="46">
        <f t="shared" si="5"/>
        <v>429103.65110867406</v>
      </c>
      <c r="I24" s="46">
        <f t="shared" si="6"/>
        <v>76152.446747752954</v>
      </c>
      <c r="J24" s="46">
        <f t="shared" si="7"/>
        <v>41036.58045398313</v>
      </c>
      <c r="K24" s="46">
        <f t="shared" si="8"/>
        <v>248924.29458834152</v>
      </c>
    </row>
    <row r="25" spans="2:18">
      <c r="B25" s="45">
        <v>2012</v>
      </c>
      <c r="C25" s="46">
        <f t="shared" si="0"/>
        <v>291490.19181611651</v>
      </c>
      <c r="D25" s="46">
        <f t="shared" si="1"/>
        <v>146999.98819557499</v>
      </c>
      <c r="E25" s="46">
        <f t="shared" si="2"/>
        <v>810739.85894595669</v>
      </c>
      <c r="F25" s="46">
        <f t="shared" si="3"/>
        <v>206034.94341646146</v>
      </c>
      <c r="G25" s="46">
        <f t="shared" si="4"/>
        <v>104034.40438734622</v>
      </c>
      <c r="H25" s="46">
        <f t="shared" si="5"/>
        <v>567536.98402795184</v>
      </c>
      <c r="I25" s="46">
        <f t="shared" si="6"/>
        <v>120533.19117642165</v>
      </c>
      <c r="J25" s="46">
        <f t="shared" si="7"/>
        <v>61053.813552596468</v>
      </c>
      <c r="K25" s="46">
        <f t="shared" si="8"/>
        <v>324164.45704253006</v>
      </c>
    </row>
    <row r="32" spans="2:18">
      <c r="B32" s="1"/>
      <c r="C32" s="18" t="s">
        <v>56</v>
      </c>
      <c r="K32" s="18" t="s">
        <v>57</v>
      </c>
      <c r="R32" s="18" t="s">
        <v>58</v>
      </c>
    </row>
    <row r="33" spans="2:21">
      <c r="C33" s="1" t="s">
        <v>43</v>
      </c>
      <c r="D33" s="1" t="s">
        <v>45</v>
      </c>
      <c r="E33" s="1" t="s">
        <v>44</v>
      </c>
      <c r="K33" s="1" t="s">
        <v>43</v>
      </c>
      <c r="L33" s="1" t="s">
        <v>45</v>
      </c>
      <c r="M33" s="1" t="s">
        <v>44</v>
      </c>
      <c r="R33" s="1" t="s">
        <v>43</v>
      </c>
      <c r="S33" s="1" t="s">
        <v>45</v>
      </c>
      <c r="T33" s="1" t="s">
        <v>44</v>
      </c>
    </row>
    <row r="34" spans="2:21" ht="56">
      <c r="B34" s="38" t="s">
        <v>46</v>
      </c>
      <c r="C34" s="39">
        <v>0.5</v>
      </c>
      <c r="D34" s="39">
        <v>0.35</v>
      </c>
      <c r="E34" s="39">
        <v>0.2</v>
      </c>
      <c r="J34" s="38" t="s">
        <v>46</v>
      </c>
      <c r="K34" s="39">
        <v>0.5</v>
      </c>
      <c r="L34" s="39">
        <v>0.35</v>
      </c>
      <c r="M34" s="39">
        <v>0.2</v>
      </c>
      <c r="Q34" s="38" t="s">
        <v>46</v>
      </c>
      <c r="R34" s="39">
        <v>0.5</v>
      </c>
      <c r="S34" s="39">
        <v>0.35</v>
      </c>
      <c r="T34" s="39">
        <v>0.2</v>
      </c>
    </row>
    <row r="35" spans="2:21">
      <c r="B35" s="40" t="s">
        <v>15</v>
      </c>
      <c r="C35" s="41">
        <f>C34*'Q4'!$D$44</f>
        <v>2418908.5207645008</v>
      </c>
      <c r="D35" s="41">
        <f>D34*'Q4'!$D$44</f>
        <v>1693235.9645351504</v>
      </c>
      <c r="E35" s="41">
        <f>E34*'Q4'!$D$44</f>
        <v>967563.4083058004</v>
      </c>
      <c r="J35" s="40" t="s">
        <v>15</v>
      </c>
      <c r="K35" s="41">
        <f>K34*'Q4'!$D$44</f>
        <v>2418908.5207645008</v>
      </c>
      <c r="L35" s="41">
        <f>L34*'Q4'!$D$44</f>
        <v>1693235.9645351504</v>
      </c>
      <c r="M35" s="41">
        <f>M34*'Q4'!$D$44</f>
        <v>967563.4083058004</v>
      </c>
      <c r="Q35" s="40" t="s">
        <v>15</v>
      </c>
      <c r="R35" s="41">
        <f>R34*'Q4'!$D$44</f>
        <v>2418908.5207645008</v>
      </c>
      <c r="S35" s="41">
        <f>S34*'Q4'!$D$44</f>
        <v>1693235.9645351504</v>
      </c>
      <c r="T35" s="41">
        <f>T34*'Q4'!$D$44</f>
        <v>967563.4083058004</v>
      </c>
    </row>
    <row r="36" spans="2:21">
      <c r="B36" s="40" t="s">
        <v>7</v>
      </c>
      <c r="C36" s="13">
        <f>WorkSheet!$D$2</f>
        <v>1.3958841350547174E-2</v>
      </c>
      <c r="D36" s="13">
        <f>WorkSheet!$D$2</f>
        <v>1.3958841350547174E-2</v>
      </c>
      <c r="E36" s="13">
        <f>WorkSheet!$D$2</f>
        <v>1.3958841350547174E-2</v>
      </c>
      <c r="J36" s="40" t="s">
        <v>7</v>
      </c>
      <c r="K36" s="13">
        <f>WorkSheet!$D$3</f>
        <v>1.0489269342267364E-2</v>
      </c>
      <c r="L36" s="13">
        <f>WorkSheet!$D$3</f>
        <v>1.0489269342267364E-2</v>
      </c>
      <c r="M36" s="13">
        <f>WorkSheet!$D$3</f>
        <v>1.0489269342267364E-2</v>
      </c>
      <c r="Q36" s="40" t="s">
        <v>7</v>
      </c>
      <c r="R36" s="13">
        <f>WorkSheet!$D$4</f>
        <v>2.9015271983294375E-2</v>
      </c>
      <c r="S36" s="13">
        <f>WorkSheet!$D$4</f>
        <v>2.9015271983294375E-2</v>
      </c>
      <c r="T36" s="13">
        <f>WorkSheet!$D$4</f>
        <v>2.9015271983294375E-2</v>
      </c>
    </row>
    <row r="37" spans="2:21">
      <c r="B37" s="40" t="s">
        <v>8</v>
      </c>
      <c r="C37" s="13">
        <f>WorkSheet!$E$2</f>
        <v>0.80519842096788197</v>
      </c>
      <c r="D37" s="13">
        <f>WorkSheet!$E$2</f>
        <v>0.80519842096788197</v>
      </c>
      <c r="E37" s="13">
        <f>WorkSheet!$E$2</f>
        <v>0.80519842096788197</v>
      </c>
      <c r="J37" s="40" t="s">
        <v>8</v>
      </c>
      <c r="K37" s="13">
        <f>WorkSheet!$E$3</f>
        <v>0.5925073001622736</v>
      </c>
      <c r="L37" s="13">
        <f>WorkSheet!$E$3</f>
        <v>0.5925073001622736</v>
      </c>
      <c r="M37" s="13">
        <f>WorkSheet!$E$3</f>
        <v>0.5925073001622736</v>
      </c>
      <c r="Q37" s="40" t="s">
        <v>8</v>
      </c>
      <c r="R37" s="13">
        <f>WorkSheet!$E$4</f>
        <v>1.2820324859651451</v>
      </c>
      <c r="S37" s="13">
        <f>WorkSheet!$E$4</f>
        <v>1.2820324859651451</v>
      </c>
      <c r="T37" s="13">
        <f>WorkSheet!$E$4</f>
        <v>1.2820324859651451</v>
      </c>
    </row>
    <row r="39" spans="2:21">
      <c r="C39" s="18"/>
      <c r="J39" s="18"/>
      <c r="Q39" s="18"/>
    </row>
    <row r="41" spans="2:21">
      <c r="B41" t="s">
        <v>0</v>
      </c>
      <c r="C41" s="1" t="s">
        <v>3</v>
      </c>
      <c r="D41" s="1" t="s">
        <v>13</v>
      </c>
      <c r="E41" s="16" t="s">
        <v>9</v>
      </c>
      <c r="F41" s="22" t="s">
        <v>10</v>
      </c>
      <c r="G41" s="22" t="s">
        <v>29</v>
      </c>
      <c r="I41" t="s">
        <v>0</v>
      </c>
      <c r="J41" s="1" t="s">
        <v>3</v>
      </c>
      <c r="K41" s="1" t="s">
        <v>13</v>
      </c>
      <c r="L41" s="16" t="s">
        <v>9</v>
      </c>
      <c r="M41" s="22" t="s">
        <v>10</v>
      </c>
      <c r="N41" s="22" t="s">
        <v>29</v>
      </c>
      <c r="P41" t="s">
        <v>0</v>
      </c>
      <c r="Q41" s="1" t="s">
        <v>3</v>
      </c>
      <c r="R41" s="1" t="s">
        <v>13</v>
      </c>
      <c r="S41" s="16" t="s">
        <v>9</v>
      </c>
      <c r="T41" s="22" t="s">
        <v>10</v>
      </c>
      <c r="U41" s="22" t="s">
        <v>29</v>
      </c>
    </row>
    <row r="42" spans="2:21">
      <c r="B42" s="42">
        <v>2007</v>
      </c>
      <c r="C42" s="42">
        <v>1389</v>
      </c>
      <c r="D42" s="43">
        <f>$C$36+$C$37*(F42/$C$35)</f>
        <v>1.3958841350547174E-2</v>
      </c>
      <c r="E42" s="44">
        <f>$C$35-F42</f>
        <v>2418908.5207645008</v>
      </c>
      <c r="F42" s="42">
        <v>0</v>
      </c>
      <c r="G42" s="44">
        <f>D42*E42</f>
        <v>33765.160282838413</v>
      </c>
      <c r="I42" s="42">
        <v>2007</v>
      </c>
      <c r="J42" s="42">
        <v>1389</v>
      </c>
      <c r="K42" s="43">
        <f>$K$36+$K$37*(M42/$K$35)</f>
        <v>1.0489269342267364E-2</v>
      </c>
      <c r="L42" s="44">
        <f>$K$35-M42</f>
        <v>2418908.5207645008</v>
      </c>
      <c r="M42" s="42">
        <v>0</v>
      </c>
      <c r="N42" s="44">
        <f>K42*L42</f>
        <v>25372.582988604379</v>
      </c>
      <c r="P42" s="42">
        <v>2007</v>
      </c>
      <c r="Q42" s="42">
        <v>1389</v>
      </c>
      <c r="R42" s="43">
        <f>$R$36+$R$37*(T42/$R$35)</f>
        <v>2.9015271983294375E-2</v>
      </c>
      <c r="S42" s="44">
        <f>$R$35-T42</f>
        <v>2418908.5207645008</v>
      </c>
      <c r="T42" s="42">
        <v>0</v>
      </c>
      <c r="U42" s="44">
        <f>R42*S42</f>
        <v>70185.288632690266</v>
      </c>
    </row>
    <row r="43" spans="2:21">
      <c r="B43" s="42">
        <v>2008</v>
      </c>
      <c r="C43" s="42"/>
      <c r="D43" s="43">
        <f t="shared" ref="D43:D47" si="9">$C$36+$C$37*(F43/$C$35)</f>
        <v>1.4421207164352695E-2</v>
      </c>
      <c r="E43" s="44">
        <f t="shared" ref="E43:E47" si="10">$C$35-F43</f>
        <v>2417519.5207645008</v>
      </c>
      <c r="F43" s="42">
        <f>C42</f>
        <v>1389</v>
      </c>
      <c r="G43" s="44">
        <f t="shared" ref="G43:G47" si="11">D43*E43</f>
        <v>34863.549832811514</v>
      </c>
      <c r="I43" s="42">
        <v>2008</v>
      </c>
      <c r="J43" s="42"/>
      <c r="K43" s="43">
        <f t="shared" ref="K43:K47" si="12">$K$36+$K$37*(M43/$K$35)</f>
        <v>1.0829502398978947E-2</v>
      </c>
      <c r="L43" s="44">
        <f t="shared" ref="L43:L47" si="13">$K$35-M43</f>
        <v>2417519.5207645008</v>
      </c>
      <c r="M43" s="42">
        <f>J42</f>
        <v>1389</v>
      </c>
      <c r="N43" s="44">
        <f t="shared" ref="N43:N47" si="14">K43*L43</f>
        <v>26180.533449697596</v>
      </c>
      <c r="P43" s="42">
        <v>2008</v>
      </c>
      <c r="Q43" s="42"/>
      <c r="R43" s="43">
        <f t="shared" ref="R43:R47" si="15">$R$36+$R$37*(T43/$R$35)</f>
        <v>2.9751448282529857E-2</v>
      </c>
      <c r="S43" s="44">
        <f t="shared" ref="S43:S47" si="16">$R$35-T43</f>
        <v>2417519.5207645008</v>
      </c>
      <c r="T43" s="42">
        <f>Q42</f>
        <v>1389</v>
      </c>
      <c r="U43" s="44">
        <f t="shared" ref="U43:U47" si="17">R43*S43</f>
        <v>71924.70699403141</v>
      </c>
    </row>
    <row r="44" spans="2:21">
      <c r="B44" s="42">
        <v>2009</v>
      </c>
      <c r="C44" s="42"/>
      <c r="D44" s="43">
        <f t="shared" si="9"/>
        <v>2.6026472528353588E-2</v>
      </c>
      <c r="E44" s="44">
        <f t="shared" si="10"/>
        <v>2382655.9709316893</v>
      </c>
      <c r="F44" s="44">
        <f>F43+G43</f>
        <v>36252.549832811514</v>
      </c>
      <c r="G44" s="44">
        <f t="shared" si="11"/>
        <v>62012.130171971257</v>
      </c>
      <c r="I44" s="42">
        <v>2009</v>
      </c>
      <c r="J44" s="42"/>
      <c r="K44" s="43">
        <f t="shared" si="12"/>
        <v>1.7242377072794957E-2</v>
      </c>
      <c r="L44" s="44">
        <f t="shared" si="13"/>
        <v>2391338.9873148031</v>
      </c>
      <c r="M44" s="44">
        <f>M43+N43</f>
        <v>27569.533449697596</v>
      </c>
      <c r="N44" s="44">
        <f t="shared" si="14"/>
        <v>41232.368528157473</v>
      </c>
      <c r="P44" s="42">
        <v>2009</v>
      </c>
      <c r="Q44" s="42"/>
      <c r="R44" s="43">
        <f t="shared" si="15"/>
        <v>6.7871869174151528E-2</v>
      </c>
      <c r="S44" s="44">
        <f t="shared" si="16"/>
        <v>2345594.8137704693</v>
      </c>
      <c r="T44" s="44">
        <f>T43+U43</f>
        <v>73313.70699403141</v>
      </c>
      <c r="U44" s="44">
        <f t="shared" si="17"/>
        <v>159199.90433579762</v>
      </c>
    </row>
    <row r="45" spans="2:21">
      <c r="B45" s="42">
        <v>2010</v>
      </c>
      <c r="C45" s="42"/>
      <c r="D45" s="43">
        <f t="shared" si="9"/>
        <v>4.6668869240216376E-2</v>
      </c>
      <c r="E45" s="44">
        <f t="shared" si="10"/>
        <v>2320643.8407597179</v>
      </c>
      <c r="F45" s="42">
        <f>F44+G44</f>
        <v>98264.680004782771</v>
      </c>
      <c r="G45" s="44">
        <f t="shared" si="11"/>
        <v>108301.82395752879</v>
      </c>
      <c r="I45" s="42">
        <v>2010</v>
      </c>
      <c r="J45" s="42"/>
      <c r="K45" s="43">
        <f t="shared" si="12"/>
        <v>2.7342171730673624E-2</v>
      </c>
      <c r="L45" s="44">
        <f t="shared" si="13"/>
        <v>2350106.6187866456</v>
      </c>
      <c r="M45" s="42">
        <f>M44+N44</f>
        <v>68801.901977855072</v>
      </c>
      <c r="N45" s="44">
        <f t="shared" si="14"/>
        <v>64257.018756257195</v>
      </c>
      <c r="P45" s="42">
        <v>2010</v>
      </c>
      <c r="Q45" s="42"/>
      <c r="R45" s="43">
        <f t="shared" si="15"/>
        <v>0.15224854045749955</v>
      </c>
      <c r="S45" s="44">
        <f t="shared" si="16"/>
        <v>2186394.909434672</v>
      </c>
      <c r="T45" s="42">
        <f>T44+U44</f>
        <v>232513.61132982903</v>
      </c>
      <c r="U45" s="44">
        <f t="shared" si="17"/>
        <v>332875.43382513575</v>
      </c>
    </row>
    <row r="46" spans="2:21">
      <c r="B46" s="42">
        <v>2011</v>
      </c>
      <c r="C46" s="42"/>
      <c r="D46" s="43">
        <f t="shared" si="9"/>
        <v>8.2720029046368354E-2</v>
      </c>
      <c r="E46" s="44">
        <f t="shared" si="10"/>
        <v>2212342.0168021894</v>
      </c>
      <c r="F46" s="42">
        <f t="shared" ref="F46:F47" si="18">F45+G45</f>
        <v>206566.50396231154</v>
      </c>
      <c r="G46" s="44">
        <f t="shared" si="11"/>
        <v>183004.99589037825</v>
      </c>
      <c r="I46" s="42">
        <v>2011</v>
      </c>
      <c r="J46" s="42"/>
      <c r="K46" s="43">
        <f t="shared" si="12"/>
        <v>4.3081813132124204E-2</v>
      </c>
      <c r="L46" s="44">
        <f t="shared" si="13"/>
        <v>2285849.6000303887</v>
      </c>
      <c r="M46" s="42">
        <f t="shared" ref="M46:M47" si="19">M45+N45</f>
        <v>133058.92073411227</v>
      </c>
      <c r="N46" s="44">
        <f t="shared" si="14"/>
        <v>98478.545316650052</v>
      </c>
      <c r="P46" s="42">
        <v>2011</v>
      </c>
      <c r="Q46" s="42"/>
      <c r="R46" s="43">
        <f t="shared" si="15"/>
        <v>0.32867403000378775</v>
      </c>
      <c r="S46" s="44">
        <f t="shared" si="16"/>
        <v>1853519.475609536</v>
      </c>
      <c r="T46" s="42">
        <f t="shared" ref="T46:T47" si="20">T45+U45</f>
        <v>565389.04515496478</v>
      </c>
      <c r="U46" s="44">
        <f t="shared" si="17"/>
        <v>609203.7157390936</v>
      </c>
    </row>
    <row r="47" spans="2:21">
      <c r="B47" s="42">
        <v>2012</v>
      </c>
      <c r="C47" s="42"/>
      <c r="D47" s="43">
        <f t="shared" si="9"/>
        <v>0.14363813837346034</v>
      </c>
      <c r="E47" s="44">
        <f t="shared" si="10"/>
        <v>2029337.0209118109</v>
      </c>
      <c r="F47" s="42">
        <f t="shared" si="18"/>
        <v>389571.4998526898</v>
      </c>
      <c r="G47" s="44">
        <f t="shared" si="11"/>
        <v>291490.19181611651</v>
      </c>
      <c r="I47" s="42">
        <v>2012</v>
      </c>
      <c r="J47" s="42"/>
      <c r="K47" s="43">
        <f t="shared" si="12"/>
        <v>6.7203956036079524E-2</v>
      </c>
      <c r="L47" s="44">
        <f t="shared" si="13"/>
        <v>2187371.0547137386</v>
      </c>
      <c r="M47" s="42">
        <f t="shared" si="19"/>
        <v>231537.46605076233</v>
      </c>
      <c r="N47" s="44">
        <f t="shared" si="14"/>
        <v>146999.98819557499</v>
      </c>
      <c r="P47" s="42">
        <v>2012</v>
      </c>
      <c r="Q47" s="42"/>
      <c r="R47" s="43">
        <f t="shared" si="15"/>
        <v>0.65155476213720098</v>
      </c>
      <c r="S47" s="44">
        <f t="shared" si="16"/>
        <v>1244315.7598704426</v>
      </c>
      <c r="T47" s="42">
        <f t="shared" si="20"/>
        <v>1174592.7608940583</v>
      </c>
      <c r="U47" s="44">
        <f t="shared" si="17"/>
        <v>810739.85894595669</v>
      </c>
    </row>
    <row r="49" spans="2:21">
      <c r="B49" t="s">
        <v>0</v>
      </c>
      <c r="C49" s="1" t="s">
        <v>3</v>
      </c>
      <c r="D49" s="1" t="s">
        <v>13</v>
      </c>
      <c r="E49" s="16" t="s">
        <v>9</v>
      </c>
      <c r="F49" s="22" t="s">
        <v>10</v>
      </c>
      <c r="G49" s="22" t="s">
        <v>29</v>
      </c>
      <c r="I49" t="s">
        <v>0</v>
      </c>
      <c r="J49" s="1" t="s">
        <v>3</v>
      </c>
      <c r="K49" s="1" t="s">
        <v>13</v>
      </c>
      <c r="L49" s="16" t="s">
        <v>9</v>
      </c>
      <c r="M49" s="22" t="s">
        <v>10</v>
      </c>
      <c r="N49" s="22" t="s">
        <v>29</v>
      </c>
      <c r="P49" t="s">
        <v>0</v>
      </c>
      <c r="Q49" s="1" t="s">
        <v>3</v>
      </c>
      <c r="R49" s="1" t="s">
        <v>13</v>
      </c>
      <c r="S49" s="16" t="s">
        <v>9</v>
      </c>
      <c r="T49" s="22" t="s">
        <v>10</v>
      </c>
      <c r="U49" s="22" t="s">
        <v>29</v>
      </c>
    </row>
    <row r="50" spans="2:21">
      <c r="B50" s="42">
        <v>2007</v>
      </c>
      <c r="C50" s="42">
        <v>1389</v>
      </c>
      <c r="D50" s="43">
        <f>$D$36+$D$37*(F50/$D$35)</f>
        <v>1.3958841350547174E-2</v>
      </c>
      <c r="E50" s="44">
        <f>$D$35-F50</f>
        <v>1693235.9645351504</v>
      </c>
      <c r="F50" s="42">
        <v>0</v>
      </c>
      <c r="G50" s="44">
        <f>D50*E50</f>
        <v>23635.612197986888</v>
      </c>
      <c r="I50" s="42">
        <v>2007</v>
      </c>
      <c r="J50" s="42">
        <v>1389</v>
      </c>
      <c r="K50" s="43">
        <f>$L$36+$L$37*(M50/$L$35)</f>
        <v>1.0489269342267364E-2</v>
      </c>
      <c r="L50" s="44">
        <f>$L$35-M50</f>
        <v>1693235.9645351504</v>
      </c>
      <c r="M50" s="42">
        <v>0</v>
      </c>
      <c r="N50" s="44">
        <f>K50*L50</f>
        <v>17760.808092023064</v>
      </c>
      <c r="P50" s="42">
        <v>2007</v>
      </c>
      <c r="Q50" s="42">
        <v>1389</v>
      </c>
      <c r="R50" s="43">
        <f>$S$36+$S$37*(T50/$S$35)</f>
        <v>2.9015271983294375E-2</v>
      </c>
      <c r="S50" s="44">
        <f>$D$35-T50</f>
        <v>1693235.9645351504</v>
      </c>
      <c r="T50" s="42">
        <v>0</v>
      </c>
      <c r="U50" s="44">
        <f>R50*S50</f>
        <v>49129.702042883182</v>
      </c>
    </row>
    <row r="51" spans="2:21">
      <c r="B51" s="42">
        <v>2008</v>
      </c>
      <c r="C51" s="42"/>
      <c r="D51" s="43">
        <f t="shared" ref="D51:D55" si="21">$D$36+$D$37*(F51/$D$35)</f>
        <v>1.4619363941697919E-2</v>
      </c>
      <c r="E51" s="44">
        <f t="shared" ref="E51:E55" si="22">$D$35-F51</f>
        <v>1691846.9645351504</v>
      </c>
      <c r="F51" s="42">
        <f>C50</f>
        <v>1389</v>
      </c>
      <c r="G51" s="44">
        <f t="shared" ref="G51:G55" si="23">D51*E51</f>
        <v>24733.726508196258</v>
      </c>
      <c r="I51" s="42">
        <v>2008</v>
      </c>
      <c r="J51" s="42"/>
      <c r="K51" s="43">
        <f t="shared" ref="K51:K55" si="24">$L$36+$L$37*(M51/$L$35)</f>
        <v>1.0975316566141053E-2</v>
      </c>
      <c r="L51" s="44">
        <f t="shared" ref="L51:L55" si="25">$L$35-M51</f>
        <v>1691846.9645351504</v>
      </c>
      <c r="M51" s="42">
        <f>J50</f>
        <v>1389</v>
      </c>
      <c r="N51" s="44">
        <f t="shared" ref="N51:N55" si="26">K51*L51</f>
        <v>18568.55601723809</v>
      </c>
      <c r="P51" s="42">
        <v>2008</v>
      </c>
      <c r="Q51" s="42"/>
      <c r="R51" s="43">
        <f t="shared" ref="R51:R55" si="27">$S$36+$S$37*(T51/$S$35)</f>
        <v>3.0066952410773638E-2</v>
      </c>
      <c r="S51" s="44">
        <f t="shared" ref="S51:S55" si="28">$D$35-T51</f>
        <v>1691846.9645351504</v>
      </c>
      <c r="T51" s="42">
        <f>Q50</f>
        <v>1389</v>
      </c>
      <c r="U51" s="44">
        <f t="shared" ref="U51:U55" si="29">R51*S51</f>
        <v>50868.682168990206</v>
      </c>
    </row>
    <row r="52" spans="2:21">
      <c r="B52" s="42">
        <v>2009</v>
      </c>
      <c r="C52" s="42"/>
      <c r="D52" s="43">
        <f t="shared" si="21"/>
        <v>2.6381196282956126E-2</v>
      </c>
      <c r="E52" s="44">
        <f t="shared" si="22"/>
        <v>1667113.2380269542</v>
      </c>
      <c r="F52" s="44">
        <f>F51+G51</f>
        <v>26122.726508196258</v>
      </c>
      <c r="G52" s="44">
        <f t="shared" si="23"/>
        <v>43980.441558303639</v>
      </c>
      <c r="I52" s="42">
        <v>2009</v>
      </c>
      <c r="J52" s="42"/>
      <c r="K52" s="43">
        <f t="shared" si="24"/>
        <v>1.7472937231023458E-2</v>
      </c>
      <c r="L52" s="44">
        <f t="shared" si="25"/>
        <v>1673278.4085179123</v>
      </c>
      <c r="M52" s="44">
        <f>M51+N51</f>
        <v>19957.55601723809</v>
      </c>
      <c r="N52" s="44">
        <f t="shared" si="26"/>
        <v>29237.08860206031</v>
      </c>
      <c r="P52" s="42">
        <v>2009</v>
      </c>
      <c r="Q52" s="42"/>
      <c r="R52" s="43">
        <f t="shared" si="27"/>
        <v>6.8582141329989119E-2</v>
      </c>
      <c r="S52" s="44">
        <f t="shared" si="28"/>
        <v>1640978.2823661603</v>
      </c>
      <c r="T52" s="44">
        <f>T51+U51</f>
        <v>52257.682168990206</v>
      </c>
      <c r="U52" s="44">
        <f t="shared" si="29"/>
        <v>112541.80448067879</v>
      </c>
    </row>
    <row r="53" spans="2:21">
      <c r="B53" s="42">
        <v>2010</v>
      </c>
      <c r="C53" s="42"/>
      <c r="D53" s="43">
        <f t="shared" si="21"/>
        <v>4.7295577289467733E-2</v>
      </c>
      <c r="E53" s="44">
        <f t="shared" si="22"/>
        <v>1623132.7964686505</v>
      </c>
      <c r="F53" s="42">
        <f>F52+G52</f>
        <v>70103.1680664999</v>
      </c>
      <c r="G53" s="44">
        <f t="shared" si="23"/>
        <v>76767.002626452959</v>
      </c>
      <c r="I53" s="42">
        <v>2010</v>
      </c>
      <c r="J53" s="42"/>
      <c r="K53" s="43">
        <f t="shared" si="24"/>
        <v>2.7703754905019487E-2</v>
      </c>
      <c r="L53" s="44">
        <f t="shared" si="25"/>
        <v>1644041.319915852</v>
      </c>
      <c r="M53" s="42">
        <f>M52+N52</f>
        <v>49194.6446192984</v>
      </c>
      <c r="N53" s="44">
        <f t="shared" si="26"/>
        <v>45546.1177806735</v>
      </c>
      <c r="P53" s="42">
        <v>2010</v>
      </c>
      <c r="Q53" s="42"/>
      <c r="R53" s="43">
        <f t="shared" si="27"/>
        <v>0.15379309384656778</v>
      </c>
      <c r="S53" s="44">
        <f t="shared" si="28"/>
        <v>1528436.4778854814</v>
      </c>
      <c r="T53" s="42">
        <f>T52+U52</f>
        <v>164799.48664966901</v>
      </c>
      <c r="U53" s="44">
        <f t="shared" si="29"/>
        <v>235062.97468195937</v>
      </c>
    </row>
    <row r="54" spans="2:21">
      <c r="B54" s="42">
        <v>2011</v>
      </c>
      <c r="C54" s="42"/>
      <c r="D54" s="43">
        <f t="shared" si="21"/>
        <v>8.3801221270533785E-2</v>
      </c>
      <c r="E54" s="44">
        <f t="shared" si="22"/>
        <v>1546365.7938421976</v>
      </c>
      <c r="F54" s="42">
        <f t="shared" ref="F54:F55" si="30">F53+G53</f>
        <v>146870.17069295287</v>
      </c>
      <c r="G54" s="44">
        <f t="shared" si="23"/>
        <v>129587.34205495463</v>
      </c>
      <c r="I54" s="42">
        <v>2011</v>
      </c>
      <c r="J54" s="42"/>
      <c r="K54" s="43">
        <f t="shared" si="24"/>
        <v>4.3641526039303442E-2</v>
      </c>
      <c r="L54" s="44">
        <f t="shared" si="25"/>
        <v>1598495.2021351785</v>
      </c>
      <c r="M54" s="42">
        <f t="shared" ref="M54:M55" si="31">M53+N53</f>
        <v>94740.762399971893</v>
      </c>
      <c r="N54" s="44">
        <f t="shared" si="26"/>
        <v>69760.769987684005</v>
      </c>
      <c r="P54" s="42">
        <v>2011</v>
      </c>
      <c r="Q54" s="42"/>
      <c r="R54" s="43">
        <f t="shared" si="27"/>
        <v>0.33177086900716524</v>
      </c>
      <c r="S54" s="44">
        <f t="shared" si="28"/>
        <v>1293373.5032035219</v>
      </c>
      <c r="T54" s="42">
        <f t="shared" ref="T54:T55" si="32">T53+U53</f>
        <v>399862.46133162838</v>
      </c>
      <c r="U54" s="44">
        <f t="shared" si="29"/>
        <v>429103.65110867406</v>
      </c>
    </row>
    <row r="55" spans="2:21">
      <c r="B55" s="42">
        <v>2012</v>
      </c>
      <c r="C55" s="42"/>
      <c r="D55" s="43">
        <f t="shared" si="21"/>
        <v>0.14542495557901219</v>
      </c>
      <c r="E55" s="44">
        <f t="shared" si="22"/>
        <v>1416778.4517872429</v>
      </c>
      <c r="F55" s="42">
        <f t="shared" si="30"/>
        <v>276457.51274790749</v>
      </c>
      <c r="G55" s="44">
        <f t="shared" si="23"/>
        <v>206034.94341646146</v>
      </c>
      <c r="I55" s="42">
        <v>2012</v>
      </c>
      <c r="J55" s="42"/>
      <c r="K55" s="43">
        <f t="shared" si="24"/>
        <v>6.8052633733907311E-2</v>
      </c>
      <c r="L55" s="44">
        <f t="shared" si="25"/>
        <v>1528734.4321474945</v>
      </c>
      <c r="M55" s="42">
        <f t="shared" si="31"/>
        <v>164501.5323876559</v>
      </c>
      <c r="N55" s="44">
        <f t="shared" si="26"/>
        <v>104034.40438734622</v>
      </c>
      <c r="P55" s="42">
        <v>2012</v>
      </c>
      <c r="Q55" s="42"/>
      <c r="R55" s="43">
        <f t="shared" si="27"/>
        <v>0.656666413449845</v>
      </c>
      <c r="S55" s="44">
        <f t="shared" si="28"/>
        <v>864269.85209484794</v>
      </c>
      <c r="T55" s="42">
        <f t="shared" si="32"/>
        <v>828966.1124403025</v>
      </c>
      <c r="U55" s="44">
        <f t="shared" si="29"/>
        <v>567536.98402795184</v>
      </c>
    </row>
    <row r="58" spans="2:21">
      <c r="B58" t="s">
        <v>0</v>
      </c>
      <c r="C58" s="1" t="s">
        <v>3</v>
      </c>
      <c r="D58" s="1" t="s">
        <v>13</v>
      </c>
      <c r="E58" s="16" t="s">
        <v>9</v>
      </c>
      <c r="F58" s="22" t="s">
        <v>10</v>
      </c>
      <c r="G58" s="22" t="s">
        <v>29</v>
      </c>
      <c r="I58" t="s">
        <v>0</v>
      </c>
      <c r="J58" s="1" t="s">
        <v>3</v>
      </c>
      <c r="K58" s="1" t="s">
        <v>13</v>
      </c>
      <c r="L58" s="16" t="s">
        <v>9</v>
      </c>
      <c r="M58" s="22" t="s">
        <v>10</v>
      </c>
      <c r="N58" s="22" t="s">
        <v>29</v>
      </c>
      <c r="P58" t="s">
        <v>0</v>
      </c>
      <c r="Q58" s="1" t="s">
        <v>3</v>
      </c>
      <c r="R58" s="1" t="s">
        <v>13</v>
      </c>
      <c r="S58" s="16" t="s">
        <v>9</v>
      </c>
      <c r="T58" s="22" t="s">
        <v>10</v>
      </c>
      <c r="U58" s="22" t="s">
        <v>29</v>
      </c>
    </row>
    <row r="59" spans="2:21">
      <c r="B59" s="42">
        <v>2007</v>
      </c>
      <c r="C59" s="42">
        <v>1389</v>
      </c>
      <c r="D59" s="43">
        <f>$E$36+$E$37*(F59/$E$35)</f>
        <v>1.3958841350547174E-2</v>
      </c>
      <c r="E59" s="44">
        <f>$E$35-F59</f>
        <v>967563.4083058004</v>
      </c>
      <c r="F59" s="42">
        <v>0</v>
      </c>
      <c r="G59" s="44">
        <f>D59*E59</f>
        <v>13506.064113135366</v>
      </c>
      <c r="I59" s="42">
        <v>2007</v>
      </c>
      <c r="J59" s="42">
        <v>1389</v>
      </c>
      <c r="K59" s="43">
        <f>$M$36+$M$37*(M59/$M$35)</f>
        <v>1.0489269342267364E-2</v>
      </c>
      <c r="L59" s="44">
        <f>$M$35-M59</f>
        <v>967563.4083058004</v>
      </c>
      <c r="M59" s="42">
        <v>0</v>
      </c>
      <c r="N59" s="44">
        <f>K59*L59</f>
        <v>10149.033195441752</v>
      </c>
      <c r="P59" s="42">
        <v>2007</v>
      </c>
      <c r="Q59" s="42">
        <v>1389</v>
      </c>
      <c r="R59" s="43">
        <f>$T$36+$T$37*(T59/$T$35)</f>
        <v>2.9015271983294375E-2</v>
      </c>
      <c r="S59" s="44">
        <f t="shared" ref="S59:S64" si="33">$E$35-T59</f>
        <v>967563.4083058004</v>
      </c>
      <c r="T59" s="42">
        <v>0</v>
      </c>
      <c r="U59" s="44">
        <f>R59*S59</f>
        <v>28074.115453076105</v>
      </c>
    </row>
    <row r="60" spans="2:21">
      <c r="B60" s="42">
        <v>2008</v>
      </c>
      <c r="C60" s="42"/>
      <c r="D60" s="43">
        <f t="shared" ref="D60:D64" si="34">$E$36+$E$37*(F60/$E$35)</f>
        <v>1.5114755885060976E-2</v>
      </c>
      <c r="E60" s="44">
        <f t="shared" ref="E60:E64" si="35">$E$35-F60</f>
        <v>966174.4083058004</v>
      </c>
      <c r="F60" s="42">
        <f>C59</f>
        <v>1389</v>
      </c>
      <c r="G60" s="44">
        <f t="shared" ref="G60:G64" si="36">D60*E60</f>
        <v>14603.490323935403</v>
      </c>
      <c r="I60" s="42">
        <v>2008</v>
      </c>
      <c r="J60" s="42"/>
      <c r="K60" s="43">
        <f t="shared" ref="K60:K64" si="37">$M$36+$M$37*(M60/$M$35)</f>
        <v>1.133985198404632E-2</v>
      </c>
      <c r="L60" s="44">
        <f t="shared" ref="L60:L64" si="38">$M$35-M60</f>
        <v>966174.4083058004</v>
      </c>
      <c r="M60" s="42">
        <f>J59</f>
        <v>1389</v>
      </c>
      <c r="N60" s="44">
        <f t="shared" ref="N60:N64" si="39">K60*L60</f>
        <v>10956.27478096131</v>
      </c>
      <c r="P60" s="42">
        <v>2008</v>
      </c>
      <c r="Q60" s="42"/>
      <c r="R60" s="43">
        <f t="shared" ref="R60:R64" si="40">$T$36+$T$37*(T60/$T$35)</f>
        <v>3.0855712731383083E-2</v>
      </c>
      <c r="S60" s="44">
        <f t="shared" si="33"/>
        <v>966174.4083058004</v>
      </c>
      <c r="T60" s="42">
        <f>Q59</f>
        <v>1389</v>
      </c>
      <c r="U60" s="44">
        <f t="shared" ref="U60:U64" si="41">R60*S60</f>
        <v>29811.999991097804</v>
      </c>
    </row>
    <row r="61" spans="2:21">
      <c r="B61" s="42">
        <v>2009</v>
      </c>
      <c r="C61" s="42"/>
      <c r="D61" s="43">
        <f t="shared" si="34"/>
        <v>2.7267662091013906E-2</v>
      </c>
      <c r="E61" s="44">
        <f t="shared" si="35"/>
        <v>951570.917981865</v>
      </c>
      <c r="F61" s="44">
        <f>F60+G60</f>
        <v>15992.490323935403</v>
      </c>
      <c r="G61" s="44">
        <f t="shared" si="36"/>
        <v>25947.114247165402</v>
      </c>
      <c r="I61" s="42">
        <v>2009</v>
      </c>
      <c r="J61" s="42"/>
      <c r="K61" s="43">
        <f t="shared" si="37"/>
        <v>1.8049151586095435E-2</v>
      </c>
      <c r="L61" s="44">
        <f t="shared" si="38"/>
        <v>955218.13352483907</v>
      </c>
      <c r="M61" s="44">
        <f>M60+N60</f>
        <v>12345.27478096131</v>
      </c>
      <c r="N61" s="44">
        <f t="shared" si="39"/>
        <v>17240.87688977697</v>
      </c>
      <c r="P61" s="42">
        <v>2009</v>
      </c>
      <c r="Q61" s="42"/>
      <c r="R61" s="43">
        <f t="shared" si="40"/>
        <v>7.0356950719602351E-2</v>
      </c>
      <c r="S61" s="44">
        <f t="shared" si="33"/>
        <v>936362.40831470257</v>
      </c>
      <c r="T61" s="44">
        <f>T60+U60</f>
        <v>31200.999991097804</v>
      </c>
      <c r="U61" s="44">
        <f t="shared" si="41"/>
        <v>65879.603817485709</v>
      </c>
    </row>
    <row r="62" spans="2:21">
      <c r="B62" s="42">
        <v>2010</v>
      </c>
      <c r="C62" s="42"/>
      <c r="D62" s="43">
        <f t="shared" si="34"/>
        <v>4.8860640123403153E-2</v>
      </c>
      <c r="E62" s="44">
        <f t="shared" si="35"/>
        <v>925623.80373469961</v>
      </c>
      <c r="F62" s="42">
        <f>F61+G61</f>
        <v>41939.604571100805</v>
      </c>
      <c r="G62" s="44">
        <f t="shared" si="36"/>
        <v>45226.571563936712</v>
      </c>
      <c r="I62" s="42">
        <v>2010</v>
      </c>
      <c r="J62" s="42"/>
      <c r="K62" s="43">
        <f t="shared" si="37"/>
        <v>2.8606956202000572E-2</v>
      </c>
      <c r="L62" s="44">
        <f t="shared" si="38"/>
        <v>937977.25663506216</v>
      </c>
      <c r="M62" s="42">
        <f>M61+N61</f>
        <v>29586.15167073828</v>
      </c>
      <c r="N62" s="44">
        <f t="shared" si="39"/>
        <v>26832.674299031874</v>
      </c>
      <c r="P62" s="42">
        <v>2010</v>
      </c>
      <c r="Q62" s="42"/>
      <c r="R62" s="43">
        <f t="shared" si="40"/>
        <v>0.15764817270206533</v>
      </c>
      <c r="S62" s="44">
        <f t="shared" si="33"/>
        <v>870482.80449721683</v>
      </c>
      <c r="T62" s="42">
        <f>T61+U61</f>
        <v>97080.603808583517</v>
      </c>
      <c r="U62" s="44">
        <f t="shared" si="41"/>
        <v>137230.0234975554</v>
      </c>
    </row>
    <row r="63" spans="2:21">
      <c r="B63" s="42">
        <v>2011</v>
      </c>
      <c r="C63" s="42"/>
      <c r="D63" s="43">
        <f t="shared" si="34"/>
        <v>8.6497826168747363E-2</v>
      </c>
      <c r="E63" s="44">
        <f t="shared" si="35"/>
        <v>880397.23217076284</v>
      </c>
      <c r="F63" s="42">
        <f t="shared" ref="F63:F64" si="42">F62+G62</f>
        <v>87166.176135037516</v>
      </c>
      <c r="G63" s="44">
        <f t="shared" si="36"/>
        <v>76152.446747752954</v>
      </c>
      <c r="I63" s="42">
        <v>2011</v>
      </c>
      <c r="J63" s="42"/>
      <c r="K63" s="43">
        <f t="shared" si="37"/>
        <v>4.5038494712630397E-2</v>
      </c>
      <c r="L63" s="44">
        <f t="shared" si="38"/>
        <v>911144.5823360302</v>
      </c>
      <c r="M63" s="42">
        <f t="shared" ref="M63:M64" si="43">M62+N62</f>
        <v>56418.825969770158</v>
      </c>
      <c r="N63" s="44">
        <f t="shared" si="39"/>
        <v>41036.58045398313</v>
      </c>
      <c r="P63" s="42">
        <v>2011</v>
      </c>
      <c r="Q63" s="42"/>
      <c r="R63" s="43">
        <f t="shared" si="40"/>
        <v>0.33947950971147622</v>
      </c>
      <c r="S63" s="44">
        <f t="shared" si="33"/>
        <v>733252.78099966142</v>
      </c>
      <c r="T63" s="42">
        <f t="shared" ref="T63:T64" si="44">T62+U62</f>
        <v>234310.62730613892</v>
      </c>
      <c r="U63" s="44">
        <f t="shared" si="41"/>
        <v>248924.29458834152</v>
      </c>
    </row>
    <row r="64" spans="2:21">
      <c r="B64" s="42">
        <v>2012</v>
      </c>
      <c r="C64" s="42"/>
      <c r="D64" s="43">
        <f t="shared" si="34"/>
        <v>0.14987127471771497</v>
      </c>
      <c r="E64" s="44">
        <f t="shared" si="35"/>
        <v>804244.78542300989</v>
      </c>
      <c r="F64" s="42">
        <f t="shared" si="42"/>
        <v>163318.62288279046</v>
      </c>
      <c r="G64" s="44">
        <f t="shared" si="36"/>
        <v>120533.19117642165</v>
      </c>
      <c r="I64" s="42">
        <v>2012</v>
      </c>
      <c r="J64" s="42"/>
      <c r="K64" s="43">
        <f t="shared" si="37"/>
        <v>7.0168086514015293E-2</v>
      </c>
      <c r="L64" s="44">
        <f t="shared" si="38"/>
        <v>870108.00188204716</v>
      </c>
      <c r="M64" s="42">
        <f t="shared" si="43"/>
        <v>97455.406423753288</v>
      </c>
      <c r="N64" s="44">
        <f t="shared" si="39"/>
        <v>61053.813552596468</v>
      </c>
      <c r="P64" s="42">
        <v>2012</v>
      </c>
      <c r="Q64" s="42"/>
      <c r="R64" s="43">
        <f t="shared" si="40"/>
        <v>0.66930702227419836</v>
      </c>
      <c r="S64" s="44">
        <f t="shared" si="33"/>
        <v>484328.48641131993</v>
      </c>
      <c r="T64" s="42">
        <f t="shared" si="44"/>
        <v>483234.92189448047</v>
      </c>
      <c r="U64" s="44">
        <f t="shared" si="41"/>
        <v>324164.45704253006</v>
      </c>
    </row>
  </sheetData>
  <mergeCells count="3">
    <mergeCell ref="C18:E18"/>
    <mergeCell ref="F18:H18"/>
    <mergeCell ref="I18:K18"/>
  </mergeCells>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9"/>
  <sheetViews>
    <sheetView tabSelected="1" zoomScaleNormal="100" workbookViewId="0">
      <selection activeCell="M20" sqref="M20"/>
    </sheetView>
  </sheetViews>
  <sheetFormatPr baseColWidth="10" defaultColWidth="8.83203125" defaultRowHeight="13"/>
  <cols>
    <col min="3" max="3" width="30.83203125" customWidth="1"/>
  </cols>
  <sheetData>
    <row r="1" spans="3:9">
      <c r="D1" s="13" t="s">
        <v>7</v>
      </c>
      <c r="E1" s="13" t="s">
        <v>8</v>
      </c>
    </row>
    <row r="2" spans="3:9">
      <c r="C2" s="40" t="s">
        <v>50</v>
      </c>
      <c r="D2" s="13">
        <f>SUMPRODUCT(D9:D10,I9:I10)</f>
        <v>1.3958841350547174E-2</v>
      </c>
      <c r="E2" s="13">
        <f>SUMPRODUCT(E9:E10,I9:I10)</f>
        <v>0.80519842096788197</v>
      </c>
    </row>
    <row r="3" spans="3:9">
      <c r="C3" s="40" t="s">
        <v>51</v>
      </c>
      <c r="D3" s="13">
        <f>SUMPRODUCT(D15:D16,I15:I16)</f>
        <v>1.0489269342267364E-2</v>
      </c>
      <c r="E3" s="13">
        <f>SUMPRODUCT(E15:E16,I15:I16)</f>
        <v>0.5925073001622736</v>
      </c>
    </row>
    <row r="4" spans="3:9">
      <c r="C4" s="40" t="s">
        <v>52</v>
      </c>
      <c r="D4" s="13">
        <f>SUMPRODUCT(D21:D22,I21:I22)</f>
        <v>2.9015271983294375E-2</v>
      </c>
      <c r="E4" s="13">
        <f>SUMPRODUCT(E21:E22,I21:I22)</f>
        <v>1.2820324859651451</v>
      </c>
    </row>
    <row r="7" spans="3:9">
      <c r="F7">
        <v>0.4</v>
      </c>
      <c r="G7">
        <v>0.6</v>
      </c>
    </row>
    <row r="8" spans="3:9">
      <c r="D8" t="s">
        <v>7</v>
      </c>
      <c r="E8" t="s">
        <v>8</v>
      </c>
      <c r="F8" t="s">
        <v>19</v>
      </c>
      <c r="G8" t="s">
        <v>20</v>
      </c>
      <c r="H8" t="s">
        <v>17</v>
      </c>
    </row>
    <row r="9" spans="3:9">
      <c r="C9" t="s">
        <v>18</v>
      </c>
      <c r="D9">
        <f>'Q3'!I8</f>
        <v>2.7429125797277736E-2</v>
      </c>
      <c r="E9">
        <f>'Q3'!I9</f>
        <v>1.1744504778649223</v>
      </c>
      <c r="F9">
        <v>3</v>
      </c>
      <c r="G9">
        <v>5</v>
      </c>
      <c r="H9">
        <f>$F$7*F9+$G$7*G9</f>
        <v>4.2</v>
      </c>
      <c r="I9">
        <f>H9/$H$11</f>
        <v>0.34426229508196726</v>
      </c>
    </row>
    <row r="10" spans="3:9">
      <c r="C10" s="1" t="s">
        <v>53</v>
      </c>
      <c r="D10">
        <f>D31</f>
        <v>6.8869420160136271E-3</v>
      </c>
      <c r="E10">
        <f>D39</f>
        <v>0.61134109109693557</v>
      </c>
      <c r="F10">
        <v>8</v>
      </c>
      <c r="G10">
        <v>8</v>
      </c>
      <c r="H10">
        <f>$F$7*F10+$G$7*G10</f>
        <v>8</v>
      </c>
      <c r="I10">
        <f>H10/$H$11</f>
        <v>0.65573770491803285</v>
      </c>
    </row>
    <row r="11" spans="3:9">
      <c r="H11">
        <f>SUM(H9:H10)</f>
        <v>12.2</v>
      </c>
    </row>
    <row r="14" spans="3:9">
      <c r="D14" t="s">
        <v>7</v>
      </c>
      <c r="E14" t="s">
        <v>8</v>
      </c>
      <c r="F14" t="s">
        <v>19</v>
      </c>
      <c r="G14" t="s">
        <v>20</v>
      </c>
      <c r="H14" t="s">
        <v>17</v>
      </c>
    </row>
    <row r="15" spans="3:9">
      <c r="C15" t="s">
        <v>18</v>
      </c>
      <c r="D15">
        <f>'Q3'!I8</f>
        <v>2.7429125797277736E-2</v>
      </c>
      <c r="E15">
        <f>'Q3'!I9</f>
        <v>1.1744504778649223</v>
      </c>
      <c r="F15">
        <v>3</v>
      </c>
      <c r="G15">
        <v>5</v>
      </c>
      <c r="H15">
        <f>$F$7*F15+$G$7*G15</f>
        <v>4.2</v>
      </c>
      <c r="I15">
        <f>H15/$H$11</f>
        <v>0.34426229508196726</v>
      </c>
    </row>
    <row r="16" spans="3:9">
      <c r="C16" s="1" t="s">
        <v>54</v>
      </c>
      <c r="D16">
        <f>E31</f>
        <v>1.5958447033869181E-3</v>
      </c>
      <c r="E16">
        <f>E39</f>
        <v>0.28698713186838293</v>
      </c>
      <c r="F16">
        <v>8</v>
      </c>
      <c r="G16">
        <v>8</v>
      </c>
      <c r="H16">
        <f>$F$7*F16+$G$7*G16</f>
        <v>8</v>
      </c>
      <c r="I16">
        <f>H16/$H$11</f>
        <v>0.65573770491803285</v>
      </c>
    </row>
    <row r="17" spans="3:9">
      <c r="H17">
        <f>SUM(H15:H16)</f>
        <v>12.2</v>
      </c>
    </row>
    <row r="20" spans="3:9">
      <c r="D20" t="s">
        <v>7</v>
      </c>
      <c r="E20" t="s">
        <v>8</v>
      </c>
      <c r="F20" t="s">
        <v>19</v>
      </c>
      <c r="G20" t="s">
        <v>20</v>
      </c>
      <c r="H20" t="s">
        <v>17</v>
      </c>
    </row>
    <row r="21" spans="3:9">
      <c r="C21" t="s">
        <v>18</v>
      </c>
      <c r="D21">
        <f>'Q3'!I8</f>
        <v>2.7429125797277736E-2</v>
      </c>
      <c r="E21">
        <f>'Q3'!I9</f>
        <v>1.1744504778649223</v>
      </c>
      <c r="F21">
        <v>3</v>
      </c>
      <c r="G21">
        <v>5</v>
      </c>
      <c r="H21">
        <f>$F$7*F21+$G$7*G21</f>
        <v>4.2</v>
      </c>
      <c r="I21">
        <f>H21/$H$11</f>
        <v>0.34426229508196726</v>
      </c>
    </row>
    <row r="22" spans="3:9">
      <c r="C22" s="1" t="s">
        <v>55</v>
      </c>
      <c r="D22">
        <f>F31</f>
        <v>2.9847998730953108E-2</v>
      </c>
      <c r="E22">
        <f>F39</f>
        <v>1.3385130402177619</v>
      </c>
      <c r="F22">
        <v>8</v>
      </c>
      <c r="G22">
        <v>8</v>
      </c>
      <c r="H22">
        <f>$F$7*F22+$G$7*G22</f>
        <v>8</v>
      </c>
      <c r="I22">
        <f>H22/$H$11</f>
        <v>0.65573770491803285</v>
      </c>
    </row>
    <row r="23" spans="3:9">
      <c r="H23">
        <f>SUM(H21:H22)</f>
        <v>12.2</v>
      </c>
    </row>
    <row r="25" spans="3:9">
      <c r="D25" s="1" t="s">
        <v>47</v>
      </c>
      <c r="E25" s="1" t="s">
        <v>48</v>
      </c>
      <c r="F25" s="1" t="s">
        <v>49</v>
      </c>
    </row>
    <row r="26" spans="3:9">
      <c r="C26" t="s">
        <v>26</v>
      </c>
    </row>
    <row r="27" spans="3:9">
      <c r="C27" t="s">
        <v>22</v>
      </c>
      <c r="D27">
        <v>1.6E-2</v>
      </c>
      <c r="E27">
        <v>1.2E-2</v>
      </c>
      <c r="F27">
        <v>2.1000000000000001E-2</v>
      </c>
    </row>
    <row r="28" spans="3:9">
      <c r="C28" t="s">
        <v>23</v>
      </c>
      <c r="D28">
        <v>0.22600000000000001</v>
      </c>
      <c r="E28">
        <v>0.125</v>
      </c>
      <c r="F28">
        <v>0.40899999999999997</v>
      </c>
    </row>
    <row r="29" spans="3:9">
      <c r="C29" t="s">
        <v>24</v>
      </c>
      <c r="D29">
        <v>1.0209999999999999</v>
      </c>
      <c r="E29">
        <v>1.002</v>
      </c>
      <c r="F29">
        <v>1.0409999999999999</v>
      </c>
    </row>
    <row r="30" spans="3:9">
      <c r="C30" t="s">
        <v>28</v>
      </c>
      <c r="D30">
        <f>2007-1976</f>
        <v>31</v>
      </c>
      <c r="E30">
        <f t="shared" ref="E30:F30" si="0">2007-1976</f>
        <v>31</v>
      </c>
      <c r="F30">
        <f t="shared" si="0"/>
        <v>31</v>
      </c>
    </row>
    <row r="31" spans="3:9">
      <c r="C31" t="s">
        <v>7</v>
      </c>
      <c r="D31">
        <f>D27*D28*(D29^D30)</f>
        <v>6.8869420160136271E-3</v>
      </c>
      <c r="E31">
        <f t="shared" ref="E31:F31" si="1">E27*E28*(E29^E30)</f>
        <v>1.5958447033869181E-3</v>
      </c>
      <c r="F31">
        <f t="shared" si="1"/>
        <v>2.9847998730953108E-2</v>
      </c>
    </row>
    <row r="33" spans="3:6">
      <c r="D33" s="1" t="s">
        <v>47</v>
      </c>
      <c r="E33" s="1" t="s">
        <v>48</v>
      </c>
      <c r="F33" s="1" t="s">
        <v>49</v>
      </c>
    </row>
    <row r="34" spans="3:6">
      <c r="C34" t="s">
        <v>25</v>
      </c>
    </row>
    <row r="35" spans="3:6">
      <c r="C35" t="s">
        <v>22</v>
      </c>
      <c r="D35">
        <v>0.40899999999999997</v>
      </c>
      <c r="E35">
        <v>0.35499999999999998</v>
      </c>
      <c r="F35">
        <v>0.47099999999999997</v>
      </c>
    </row>
    <row r="36" spans="3:6">
      <c r="C36" t="s">
        <v>23</v>
      </c>
      <c r="D36">
        <v>0.63500000000000001</v>
      </c>
      <c r="E36">
        <v>0.46500000000000002</v>
      </c>
      <c r="F36">
        <v>0.86799999999999999</v>
      </c>
    </row>
    <row r="37" spans="3:6">
      <c r="C37" t="s">
        <v>24</v>
      </c>
      <c r="D37">
        <v>1.028</v>
      </c>
      <c r="E37">
        <v>1.018</v>
      </c>
      <c r="F37">
        <v>1.0389999999999999</v>
      </c>
    </row>
    <row r="38" spans="3:6">
      <c r="C38" t="s">
        <v>28</v>
      </c>
      <c r="D38">
        <f>2007-1976</f>
        <v>31</v>
      </c>
      <c r="E38">
        <f t="shared" ref="E38:F38" si="2">2007-1976</f>
        <v>31</v>
      </c>
      <c r="F38">
        <f t="shared" si="2"/>
        <v>31</v>
      </c>
    </row>
    <row r="39" spans="3:6">
      <c r="C39" t="s">
        <v>8</v>
      </c>
      <c r="D39">
        <f>D35*D36*(D37^D38)</f>
        <v>0.61134109109693557</v>
      </c>
      <c r="E39">
        <f t="shared" ref="E39:F39" si="3">E35*E36*(E37^E38)</f>
        <v>0.28698713186838293</v>
      </c>
      <c r="F39">
        <f t="shared" si="3"/>
        <v>1.3385130402177619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Q1</vt:lpstr>
      <vt:lpstr>Q2</vt:lpstr>
      <vt:lpstr>Q3</vt:lpstr>
      <vt:lpstr>Q4</vt:lpstr>
      <vt:lpstr>Q5</vt:lpstr>
      <vt:lpstr>Q6</vt:lpstr>
      <vt:lpstr>WorkSheet</vt:lpstr>
    </vt:vector>
  </TitlesOfParts>
  <Company>UMD Robert H. Smith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Moe</dc:creator>
  <cp:lastModifiedBy>Pranav Deo</cp:lastModifiedBy>
  <dcterms:created xsi:type="dcterms:W3CDTF">2008-02-04T16:53:13Z</dcterms:created>
  <dcterms:modified xsi:type="dcterms:W3CDTF">2020-08-12T18:32:23Z</dcterms:modified>
</cp:coreProperties>
</file>