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manaswi1999\Downloads\"/>
    </mc:Choice>
  </mc:AlternateContent>
  <xr:revisionPtr revIDLastSave="0" documentId="13_ncr:1_{EB68E899-3841-47D6-AD28-2665CD00867E}" xr6:coauthVersionLast="47" xr6:coauthVersionMax="47" xr10:uidLastSave="{00000000-0000-0000-0000-000000000000}"/>
  <bookViews>
    <workbookView xWindow="-120" yWindow="-120" windowWidth="20730" windowHeight="11160" xr2:uid="{5AA25D68-CD87-4534-B14F-8CC3C4E550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22" i="1" l="1"/>
  <c r="J323" i="1"/>
  <c r="J324" i="1"/>
  <c r="J325" i="1"/>
  <c r="J321" i="1"/>
  <c r="I322" i="1"/>
  <c r="I323" i="1"/>
  <c r="I324" i="1"/>
  <c r="I325" i="1"/>
  <c r="I321" i="1"/>
  <c r="D351" i="1"/>
  <c r="D350" i="1"/>
  <c r="E348" i="1"/>
  <c r="D349" i="1"/>
  <c r="D348" i="1"/>
  <c r="D347" i="1"/>
  <c r="D346" i="1"/>
  <c r="D344" i="1"/>
  <c r="D343" i="1"/>
  <c r="D342" i="1"/>
  <c r="D341" i="1"/>
  <c r="D340" i="1"/>
  <c r="F338" i="1"/>
  <c r="D338" i="1"/>
  <c r="D337" i="1"/>
  <c r="D336" i="1"/>
  <c r="D335" i="1"/>
  <c r="E334" i="1"/>
  <c r="D334" i="1"/>
  <c r="H325" i="1"/>
  <c r="D332" i="1"/>
  <c r="D331" i="1"/>
  <c r="D330" i="1"/>
  <c r="D329" i="1"/>
  <c r="H324" i="1"/>
  <c r="H323" i="1"/>
  <c r="H322" i="1"/>
  <c r="H321" i="1"/>
  <c r="Q309" i="1"/>
  <c r="Q310" i="1"/>
  <c r="Q311" i="1"/>
  <c r="Q312" i="1"/>
  <c r="Q308" i="1"/>
  <c r="P308" i="1"/>
  <c r="P309" i="1"/>
  <c r="P310" i="1"/>
  <c r="P311" i="1"/>
  <c r="P312" i="1"/>
  <c r="O309" i="1"/>
  <c r="O310" i="1"/>
  <c r="O311" i="1"/>
  <c r="O312" i="1"/>
  <c r="O308" i="1"/>
  <c r="K317" i="1"/>
  <c r="K316" i="1"/>
  <c r="K315" i="1"/>
  <c r="N309" i="1"/>
  <c r="N310" i="1"/>
  <c r="N311" i="1"/>
  <c r="N312" i="1"/>
  <c r="N308" i="1"/>
  <c r="M309" i="1"/>
  <c r="M310" i="1"/>
  <c r="M311" i="1"/>
  <c r="M312" i="1"/>
  <c r="M308" i="1"/>
  <c r="L309" i="1"/>
  <c r="L310" i="1"/>
  <c r="L311" i="1"/>
  <c r="L312" i="1"/>
  <c r="L308" i="1"/>
  <c r="K309" i="1"/>
  <c r="K310" i="1"/>
  <c r="K311" i="1"/>
  <c r="K312" i="1"/>
  <c r="K308" i="1"/>
  <c r="B316" i="1"/>
  <c r="B315" i="1"/>
  <c r="J309" i="1"/>
  <c r="J310" i="1"/>
  <c r="J311" i="1"/>
  <c r="J312" i="1"/>
  <c r="J308" i="1"/>
  <c r="I309" i="1"/>
  <c r="H308" i="1"/>
  <c r="I310" i="1"/>
  <c r="I311" i="1"/>
  <c r="I312" i="1"/>
  <c r="I308" i="1"/>
  <c r="H309" i="1"/>
  <c r="H310" i="1"/>
  <c r="H311" i="1"/>
  <c r="H312" i="1"/>
  <c r="G309" i="1"/>
  <c r="G310" i="1"/>
  <c r="G311" i="1"/>
  <c r="G312" i="1"/>
  <c r="G308" i="1"/>
  <c r="H295" i="1"/>
  <c r="H296" i="1"/>
  <c r="H297" i="1"/>
  <c r="H294" i="1"/>
  <c r="G295" i="1"/>
  <c r="G296" i="1"/>
  <c r="G297" i="1"/>
  <c r="G294" i="1"/>
  <c r="E285" i="1"/>
  <c r="I273" i="1"/>
  <c r="I274" i="1"/>
  <c r="I275" i="1"/>
  <c r="I272" i="1"/>
  <c r="D273" i="1"/>
  <c r="D274" i="1"/>
  <c r="D275" i="1"/>
  <c r="D272" i="1"/>
  <c r="H263" i="1"/>
  <c r="H262" i="1"/>
  <c r="G263" i="1"/>
  <c r="G262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07" i="1"/>
  <c r="C206" i="1"/>
  <c r="C207" i="1"/>
  <c r="C208" i="1"/>
  <c r="C209" i="1"/>
  <c r="C210" i="1"/>
  <c r="C211" i="1"/>
  <c r="C212" i="1"/>
  <c r="C213" i="1"/>
  <c r="C214" i="1"/>
  <c r="C205" i="1"/>
  <c r="B198" i="1"/>
  <c r="C198" i="1"/>
  <c r="D198" i="1"/>
  <c r="E198" i="1"/>
  <c r="F198" i="1"/>
  <c r="G198" i="1"/>
  <c r="G191" i="1"/>
  <c r="G192" i="1"/>
  <c r="G193" i="1"/>
  <c r="G194" i="1"/>
  <c r="G195" i="1"/>
  <c r="G196" i="1"/>
  <c r="G197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C191" i="1"/>
  <c r="D191" i="1"/>
  <c r="E191" i="1"/>
  <c r="F191" i="1"/>
  <c r="B191" i="1"/>
  <c r="B187" i="1"/>
  <c r="I173" i="1"/>
  <c r="J172" i="1"/>
  <c r="I172" i="1"/>
  <c r="F175" i="1"/>
  <c r="F176" i="1"/>
  <c r="F177" i="1"/>
  <c r="F178" i="1"/>
  <c r="F174" i="1"/>
  <c r="C166" i="1"/>
  <c r="C163" i="1"/>
  <c r="C160" i="1"/>
  <c r="H157" i="1"/>
  <c r="H156" i="1"/>
  <c r="H151" i="1"/>
  <c r="H152" i="1"/>
  <c r="H153" i="1"/>
  <c r="H154" i="1"/>
  <c r="H155" i="1"/>
  <c r="H150" i="1"/>
  <c r="G143" i="1"/>
  <c r="F143" i="1"/>
  <c r="J140" i="1"/>
  <c r="I140" i="1"/>
  <c r="I138" i="1"/>
  <c r="I137" i="1"/>
  <c r="H140" i="1"/>
  <c r="H139" i="1"/>
  <c r="H138" i="1"/>
  <c r="H137" i="1"/>
  <c r="H141" i="1" s="1"/>
  <c r="K128" i="1"/>
  <c r="K127" i="1"/>
  <c r="K126" i="1"/>
  <c r="I130" i="1"/>
  <c r="H130" i="1"/>
  <c r="I127" i="1"/>
  <c r="I128" i="1"/>
  <c r="I129" i="1"/>
  <c r="I126" i="1"/>
  <c r="H127" i="1"/>
  <c r="H128" i="1"/>
  <c r="H129" i="1"/>
  <c r="H126" i="1"/>
  <c r="D120" i="1"/>
  <c r="D119" i="1"/>
  <c r="B115" i="1"/>
  <c r="C116" i="1" s="1"/>
  <c r="J103" i="1"/>
  <c r="J102" i="1"/>
  <c r="I103" i="1"/>
  <c r="I102" i="1"/>
  <c r="K102" i="1" s="1"/>
  <c r="H103" i="1"/>
  <c r="H102" i="1"/>
  <c r="C109" i="1"/>
  <c r="B107" i="1"/>
  <c r="G103" i="1"/>
  <c r="K103" i="1" s="1"/>
  <c r="G104" i="1"/>
  <c r="G105" i="1"/>
  <c r="G102" i="1"/>
  <c r="B96" i="1"/>
  <c r="B97" i="1" s="1"/>
  <c r="B95" i="1"/>
  <c r="F91" i="1"/>
  <c r="F92" i="1"/>
  <c r="F93" i="1"/>
  <c r="F90" i="1"/>
  <c r="G91" i="1"/>
  <c r="G92" i="1"/>
  <c r="G93" i="1"/>
  <c r="G90" i="1"/>
  <c r="E91" i="1"/>
  <c r="E92" i="1"/>
  <c r="E93" i="1"/>
  <c r="E90" i="1"/>
  <c r="D91" i="1"/>
  <c r="D92" i="1"/>
  <c r="D93" i="1"/>
  <c r="D90" i="1"/>
  <c r="N79" i="1"/>
  <c r="M80" i="1"/>
  <c r="M81" i="1"/>
  <c r="M82" i="1"/>
  <c r="M79" i="1"/>
  <c r="L80" i="1"/>
  <c r="L81" i="1"/>
  <c r="L82" i="1"/>
  <c r="L79" i="1"/>
  <c r="K80" i="1"/>
  <c r="K81" i="1"/>
  <c r="K82" i="1"/>
  <c r="K79" i="1"/>
  <c r="B85" i="1"/>
  <c r="B84" i="1"/>
  <c r="J80" i="1"/>
  <c r="J81" i="1"/>
  <c r="J82" i="1"/>
  <c r="J79" i="1"/>
  <c r="I80" i="1"/>
  <c r="I81" i="1"/>
  <c r="I82" i="1"/>
  <c r="I79" i="1"/>
  <c r="H80" i="1"/>
  <c r="N80" i="1" s="1"/>
  <c r="H81" i="1"/>
  <c r="N81" i="1" s="1"/>
  <c r="H82" i="1"/>
  <c r="N82" i="1" s="1"/>
  <c r="H79" i="1"/>
  <c r="I73" i="1"/>
  <c r="I72" i="1"/>
  <c r="E73" i="1"/>
  <c r="E74" i="1"/>
  <c r="E75" i="1"/>
  <c r="E72" i="1"/>
  <c r="D73" i="1"/>
  <c r="D74" i="1"/>
  <c r="D75" i="1"/>
  <c r="D72" i="1"/>
  <c r="I67" i="1"/>
  <c r="I68" i="1"/>
  <c r="I66" i="1"/>
  <c r="H67" i="1"/>
  <c r="H68" i="1"/>
  <c r="H66" i="1"/>
  <c r="G67" i="1"/>
  <c r="G68" i="1"/>
  <c r="G66" i="1"/>
  <c r="B53" i="1"/>
  <c r="B56" i="1" s="1"/>
  <c r="E49" i="1"/>
  <c r="B46" i="1"/>
  <c r="B44" i="1"/>
  <c r="E40" i="1"/>
  <c r="E39" i="1"/>
  <c r="E38" i="1"/>
  <c r="E37" i="1"/>
  <c r="E36" i="1"/>
  <c r="E35" i="1"/>
  <c r="E34" i="1"/>
  <c r="E33" i="1"/>
  <c r="E32" i="1"/>
  <c r="N18" i="1"/>
  <c r="H18" i="1"/>
  <c r="H19" i="1"/>
  <c r="H20" i="1"/>
  <c r="H17" i="1"/>
  <c r="L5" i="1"/>
  <c r="K5" i="1"/>
  <c r="K6" i="1"/>
  <c r="H5" i="1"/>
  <c r="K8" i="1"/>
  <c r="B12" i="1"/>
  <c r="D13" i="1"/>
  <c r="D12" i="1"/>
  <c r="C7" i="1"/>
  <c r="D7" i="1"/>
  <c r="B7" i="1"/>
  <c r="E5" i="1"/>
  <c r="G5" i="1" s="1"/>
  <c r="J5" i="1" s="1"/>
  <c r="E6" i="1"/>
  <c r="G6" i="1" s="1"/>
  <c r="L6" i="1" s="1"/>
  <c r="E4" i="1"/>
  <c r="E7" i="1" s="1"/>
  <c r="J6" i="1" l="1"/>
  <c r="H105" i="1"/>
  <c r="I105" i="1"/>
  <c r="K105" i="1" s="1"/>
  <c r="J105" i="1"/>
  <c r="H6" i="1"/>
  <c r="H104" i="1"/>
  <c r="I104" i="1"/>
  <c r="J104" i="1"/>
  <c r="K104" i="1" s="1"/>
  <c r="B61" i="1"/>
  <c r="B62" i="1"/>
  <c r="B60" i="1"/>
  <c r="B59" i="1"/>
  <c r="B58" i="1"/>
  <c r="B57" i="1"/>
  <c r="B55" i="1"/>
  <c r="G4" i="1"/>
  <c r="K4" i="1" l="1"/>
  <c r="I5" i="1"/>
  <c r="J4" i="1"/>
  <c r="L4" i="1"/>
  <c r="I6" i="1"/>
  <c r="H4" i="1"/>
  <c r="I4" i="1"/>
</calcChain>
</file>

<file path=xl/sharedStrings.xml><?xml version="1.0" encoding="utf-8"?>
<sst xmlns="http://schemas.openxmlformats.org/spreadsheetml/2006/main" count="477" uniqueCount="223">
  <si>
    <t>Emp_ID</t>
  </si>
  <si>
    <t>Basic</t>
  </si>
  <si>
    <t>Allowance1</t>
  </si>
  <si>
    <t>TA</t>
  </si>
  <si>
    <t>Payout</t>
  </si>
  <si>
    <t>A001</t>
  </si>
  <si>
    <t>A002</t>
  </si>
  <si>
    <t>A003</t>
  </si>
  <si>
    <t xml:space="preserve"> Total</t>
  </si>
  <si>
    <t>%Increment</t>
  </si>
  <si>
    <t>Payout(After Increment)</t>
  </si>
  <si>
    <t>Bonus</t>
  </si>
  <si>
    <t>Bonus given to each employee</t>
  </si>
  <si>
    <t>Payout(After Increment) is relative cell reference</t>
  </si>
  <si>
    <t>Bonus1</t>
  </si>
  <si>
    <t>Bonus1 is absolute cell reference</t>
  </si>
  <si>
    <t>Bonus2</t>
  </si>
  <si>
    <t>Fixed Bonus</t>
  </si>
  <si>
    <t>Total</t>
  </si>
  <si>
    <t>Total is mixed cell reference</t>
  </si>
  <si>
    <t>Total1</t>
  </si>
  <si>
    <t>Employee Code</t>
  </si>
  <si>
    <t>DOJ</t>
  </si>
  <si>
    <t>Vintage(Year)</t>
  </si>
  <si>
    <t>Gender</t>
  </si>
  <si>
    <t>Department</t>
  </si>
  <si>
    <t>No. of Hours</t>
  </si>
  <si>
    <t>Pay per Hours</t>
  </si>
  <si>
    <t>Total Payout</t>
  </si>
  <si>
    <t>A014</t>
  </si>
  <si>
    <t>A006</t>
  </si>
  <si>
    <t>A010</t>
  </si>
  <si>
    <t>Male</t>
  </si>
  <si>
    <t>Female</t>
  </si>
  <si>
    <t>Sales</t>
  </si>
  <si>
    <t>Admin</t>
  </si>
  <si>
    <t>Support</t>
  </si>
  <si>
    <t>HR</t>
  </si>
  <si>
    <t>NOW</t>
  </si>
  <si>
    <t>Today</t>
  </si>
  <si>
    <t>Date</t>
  </si>
  <si>
    <t>Year</t>
  </si>
  <si>
    <t>Month</t>
  </si>
  <si>
    <t>Day</t>
  </si>
  <si>
    <t>Current Date &amp; Time</t>
  </si>
  <si>
    <t>Hour</t>
  </si>
  <si>
    <t>Minute</t>
  </si>
  <si>
    <t>Second</t>
  </si>
  <si>
    <t>Weeknum</t>
  </si>
  <si>
    <t>Weekday</t>
  </si>
  <si>
    <t>Name</t>
  </si>
  <si>
    <t>Date-Time Sales</t>
  </si>
  <si>
    <t>Number of Week</t>
  </si>
  <si>
    <t>Which day of the week is this?</t>
  </si>
  <si>
    <t>Anil Kumar</t>
  </si>
  <si>
    <t>Amit Kumar</t>
  </si>
  <si>
    <t>Kunal Jain</t>
  </si>
  <si>
    <t>Advisor Code</t>
  </si>
  <si>
    <t>License_date</t>
  </si>
  <si>
    <t>License_Expiry_date</t>
  </si>
  <si>
    <t>EOMONTH</t>
  </si>
  <si>
    <t>A004</t>
  </si>
  <si>
    <t>Start Date</t>
  </si>
  <si>
    <t>End Date</t>
  </si>
  <si>
    <t>Networking Days</t>
  </si>
  <si>
    <t>List of Holidays</t>
  </si>
  <si>
    <t>Sunil Ray</t>
  </si>
  <si>
    <t>this is similar to left function</t>
  </si>
  <si>
    <t>this is similar to right function</t>
  </si>
  <si>
    <t>Candidate ID</t>
  </si>
  <si>
    <t>Skill</t>
  </si>
  <si>
    <t>Python</t>
  </si>
  <si>
    <t>Machine Learning</t>
  </si>
  <si>
    <t>Deep Learning</t>
  </si>
  <si>
    <t>Tableau</t>
  </si>
  <si>
    <t>C001</t>
  </si>
  <si>
    <t>C002</t>
  </si>
  <si>
    <t>C003</t>
  </si>
  <si>
    <t>C004</t>
  </si>
  <si>
    <t>Python, Excel, SQL, R, Sklearn, Machine Learning, Tableau, AI, Qlik, Time Series</t>
  </si>
  <si>
    <t>Python, Excel, SQL, R, MongoDB, Analytics, Tableau, AI, Qlik, Time Series, Pandas</t>
  </si>
  <si>
    <t>Excel, Python, SQL, R, MongoDB, Hadoop, sklearn, Machine Learning, Deep learning</t>
  </si>
  <si>
    <t xml:space="preserve"> Tableau,Sklearn, Machine Learning, deep learning, analytics, AI, Qlik</t>
  </si>
  <si>
    <t>Email ID</t>
  </si>
  <si>
    <t>anil@xyz.com</t>
  </si>
  <si>
    <t>sunil@xyz.com</t>
  </si>
  <si>
    <t>amitk@ryif.com</t>
  </si>
  <si>
    <t>kjain@xyz1.com</t>
  </si>
  <si>
    <t>Substitute</t>
  </si>
  <si>
    <t>Replace</t>
  </si>
  <si>
    <t>Sunil Kumar Verma Verma</t>
  </si>
  <si>
    <t>Position of @</t>
  </si>
  <si>
    <t>Position of .</t>
  </si>
  <si>
    <t>Replace_new</t>
  </si>
  <si>
    <t>This report is of 09-Apr-2020</t>
  </si>
  <si>
    <t>Hello</t>
  </si>
  <si>
    <t>Total Payout = Pay per Hours * No. of Hours</t>
  </si>
  <si>
    <t>Calculate Total Payout of Male Employee</t>
  </si>
  <si>
    <t>A005</t>
  </si>
  <si>
    <t>Calculate Total Payout of Male of department Support</t>
  </si>
  <si>
    <t>Calculate Total Payout of Female, those with working hours more than 15</t>
  </si>
  <si>
    <t>A007</t>
  </si>
  <si>
    <t>A008</t>
  </si>
  <si>
    <t>Discount Rate</t>
  </si>
  <si>
    <t>CashInflows</t>
  </si>
  <si>
    <t>CashOutflows</t>
  </si>
  <si>
    <t>Net CashFlows</t>
  </si>
  <si>
    <t>Present Value</t>
  </si>
  <si>
    <t>NetPresentValue</t>
  </si>
  <si>
    <t>IRR</t>
  </si>
  <si>
    <t>Initial Investment</t>
  </si>
  <si>
    <t>PROJECT 1</t>
  </si>
  <si>
    <t>CAR LOAN</t>
  </si>
  <si>
    <t>Car Value</t>
  </si>
  <si>
    <t>Yearly Rate of Interest</t>
  </si>
  <si>
    <t>N. of Years to Pay</t>
  </si>
  <si>
    <t>Future Value</t>
  </si>
  <si>
    <t>PMT</t>
  </si>
  <si>
    <t>Rate</t>
  </si>
  <si>
    <t>Number</t>
  </si>
  <si>
    <t>of</t>
  </si>
  <si>
    <t>Years</t>
  </si>
  <si>
    <t>Investment(in Rs.)</t>
  </si>
  <si>
    <t>Total Value(in Rs.)</t>
  </si>
  <si>
    <t>Yearly Investment</t>
  </si>
  <si>
    <t>Policy details</t>
  </si>
  <si>
    <t>Customer id</t>
  </si>
  <si>
    <t>Policy_id</t>
  </si>
  <si>
    <t>Product id</t>
  </si>
  <si>
    <t>Premium ($)</t>
  </si>
  <si>
    <t>Customer details</t>
  </si>
  <si>
    <t>Age</t>
  </si>
  <si>
    <t>City</t>
  </si>
  <si>
    <t>Mark</t>
  </si>
  <si>
    <t>Anthony</t>
  </si>
  <si>
    <t>Chris</t>
  </si>
  <si>
    <t>Rita</t>
  </si>
  <si>
    <t>Prasad</t>
  </si>
  <si>
    <t>Natasha</t>
  </si>
  <si>
    <t>Andy</t>
  </si>
  <si>
    <t>Alex</t>
  </si>
  <si>
    <t>Lucy</t>
  </si>
  <si>
    <t>Catherine</t>
  </si>
  <si>
    <t>Jon</t>
  </si>
  <si>
    <t>Joe</t>
  </si>
  <si>
    <t>M</t>
  </si>
  <si>
    <t>F</t>
  </si>
  <si>
    <t>London</t>
  </si>
  <si>
    <t>Nottingham</t>
  </si>
  <si>
    <t>Birmingham</t>
  </si>
  <si>
    <t>Manchester</t>
  </si>
  <si>
    <t>Edinburgh</t>
  </si>
  <si>
    <t>Oxford</t>
  </si>
  <si>
    <t>Brandford</t>
  </si>
  <si>
    <t>(in months)</t>
  </si>
  <si>
    <t>Product details</t>
  </si>
  <si>
    <t>Product type</t>
  </si>
  <si>
    <t>Child Plan</t>
  </si>
  <si>
    <t>Protection</t>
  </si>
  <si>
    <t>Investment</t>
  </si>
  <si>
    <t>Pension</t>
  </si>
  <si>
    <t>Position</t>
  </si>
  <si>
    <t>Returns the position of higher number if exzct match not found</t>
  </si>
  <si>
    <t>Range1</t>
  </si>
  <si>
    <t>Lookup Values</t>
  </si>
  <si>
    <t>Return the position of lower number if exact match not found</t>
  </si>
  <si>
    <t>Rabge</t>
  </si>
  <si>
    <t>Access value of 4th row and 2nd column of Range</t>
  </si>
  <si>
    <t>Amit</t>
  </si>
  <si>
    <t>Sam</t>
  </si>
  <si>
    <t>Ravi</t>
  </si>
  <si>
    <t>Jenifer</t>
  </si>
  <si>
    <t>Kunal</t>
  </si>
  <si>
    <t>Tavish</t>
  </si>
  <si>
    <t>Tony</t>
  </si>
  <si>
    <t>Peter</t>
  </si>
  <si>
    <t>Sunil</t>
  </si>
  <si>
    <t>Rakesh</t>
  </si>
  <si>
    <t>A009</t>
  </si>
  <si>
    <t>ECODE</t>
  </si>
  <si>
    <t>Actual (No. of Hours)</t>
  </si>
  <si>
    <t>Target (No. of Hours)</t>
  </si>
  <si>
    <t>Pay per Hour</t>
  </si>
  <si>
    <t>% Archiv</t>
  </si>
  <si>
    <t>AND</t>
  </si>
  <si>
    <t>OR</t>
  </si>
  <si>
    <t>NOT</t>
  </si>
  <si>
    <t>ISERROR</t>
  </si>
  <si>
    <t>ISNUMBER</t>
  </si>
  <si>
    <t>ISTEXT</t>
  </si>
  <si>
    <t>ISBLANK</t>
  </si>
  <si>
    <t>IF</t>
  </si>
  <si>
    <t>IFERROR</t>
  </si>
  <si>
    <t>Multiple Conditions</t>
  </si>
  <si>
    <t>Statistical Measures</t>
  </si>
  <si>
    <t>Output</t>
  </si>
  <si>
    <t>Minimum number of hours</t>
  </si>
  <si>
    <t>Maximum number of hours</t>
  </si>
  <si>
    <t>3rd smallest value for number of hours</t>
  </si>
  <si>
    <t>2nd largest value for number of hours</t>
  </si>
  <si>
    <t>Count Number of Employee</t>
  </si>
  <si>
    <t>Count Number of Male Employee</t>
  </si>
  <si>
    <t>Count Number of Male Employee belongs to ADMIN</t>
  </si>
  <si>
    <t>Count Number of Male Employee belongs to ADMIN and worked for more than 15  hours</t>
  </si>
  <si>
    <t>How many employees are less than the 4th largest value in terms of no. of hours?</t>
  </si>
  <si>
    <t>Average of No. of Hours</t>
  </si>
  <si>
    <t>Median of No. of Hours</t>
  </si>
  <si>
    <t>Mode for Pay per hours</t>
  </si>
  <si>
    <t>Average of the number of hours for Male Employee</t>
  </si>
  <si>
    <t>Average of the number of hours for Male Employee those belong to ADMIN</t>
  </si>
  <si>
    <t>Find the range of No. of Hours</t>
  </si>
  <si>
    <t>Find the first Quartile of No. of Hours</t>
  </si>
  <si>
    <t>Find the third Quartile of No. of Hours</t>
  </si>
  <si>
    <t>Find the second Quartile of No. of Hours (Median)</t>
  </si>
  <si>
    <t>Find the standard deviation for No. of Hours</t>
  </si>
  <si>
    <t>Rank</t>
  </si>
  <si>
    <t xml:space="preserve">STD.P </t>
  </si>
  <si>
    <t>standard deviation for population</t>
  </si>
  <si>
    <t>STD.S</t>
  </si>
  <si>
    <t>standard deviation for sample</t>
  </si>
  <si>
    <t>Find the correlation between Pay per Hour &amp; Total Payout</t>
  </si>
  <si>
    <t>excel generates rank in descending order, by default</t>
  </si>
  <si>
    <t>to generate in ascending order, put 1 at last in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</si>
</sst>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15" fontId="0" fillId="3" borderId="0" xfId="0" applyNumberFormat="1" applyFill="1"/>
    <xf numFmtId="0" fontId="0" fillId="4" borderId="0" xfId="0" applyFill="1"/>
    <xf numFmtId="15" fontId="0" fillId="4" borderId="0" xfId="0" applyNumberFormat="1" applyFill="1"/>
    <xf numFmtId="0" fontId="0" fillId="5" borderId="0" xfId="0" applyFill="1"/>
    <xf numFmtId="22" fontId="0" fillId="0" borderId="0" xfId="0" applyNumberFormat="1"/>
    <xf numFmtId="14" fontId="0" fillId="0" borderId="0" xfId="0" applyNumberFormat="1"/>
    <xf numFmtId="15" fontId="0" fillId="0" borderId="0" xfId="0" applyNumberFormat="1"/>
    <xf numFmtId="0" fontId="1" fillId="0" borderId="0" xfId="1"/>
    <xf numFmtId="6" fontId="0" fillId="0" borderId="0" xfId="0" applyNumberFormat="1"/>
    <xf numFmtId="10" fontId="0" fillId="0" borderId="0" xfId="0" applyNumberFormat="1"/>
    <xf numFmtId="8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jain@xyz1.com" TargetMode="External"/><Relationship Id="rId2" Type="http://schemas.openxmlformats.org/officeDocument/2006/relationships/hyperlink" Target="mailto:amitk@ryif.com" TargetMode="External"/><Relationship Id="rId1" Type="http://schemas.openxmlformats.org/officeDocument/2006/relationships/hyperlink" Target="mailto:anil@xyz.com" TargetMode="External"/><Relationship Id="rId4" Type="http://schemas.openxmlformats.org/officeDocument/2006/relationships/hyperlink" Target="mailto:sunil@xy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9D314-0D12-4DF2-A63E-CD25BD72D557}">
  <dimension ref="A1:Q351"/>
  <sheetViews>
    <sheetView tabSelected="1" topLeftCell="A333" workbookViewId="0">
      <selection activeCell="C57" sqref="C57"/>
    </sheetView>
  </sheetViews>
  <sheetFormatPr defaultRowHeight="15" x14ac:dyDescent="0.25"/>
  <cols>
    <col min="1" max="1" width="22" customWidth="1"/>
    <col min="2" max="2" width="24" customWidth="1"/>
    <col min="3" max="3" width="79.28515625" customWidth="1"/>
    <col min="4" max="4" width="19.28515625" customWidth="1"/>
    <col min="5" max="5" width="19" customWidth="1"/>
    <col min="6" max="6" width="17.42578125" customWidth="1"/>
    <col min="7" max="7" width="22.7109375" customWidth="1"/>
    <col min="8" max="8" width="27.7109375" customWidth="1"/>
    <col min="9" max="9" width="16.7109375" customWidth="1"/>
    <col min="10" max="10" width="11.5703125" customWidth="1"/>
    <col min="11" max="11" width="15.7109375" customWidth="1"/>
    <col min="12" max="12" width="25" customWidth="1"/>
    <col min="13" max="13" width="17.7109375" customWidth="1"/>
    <col min="14" max="14" width="16.28515625" customWidth="1"/>
    <col min="15" max="15" width="11.42578125" customWidth="1"/>
    <col min="16" max="16" width="11.28515625" customWidth="1"/>
    <col min="17" max="17" width="18.85546875" customWidth="1"/>
  </cols>
  <sheetData>
    <row r="1" spans="1:12" x14ac:dyDescent="0.25">
      <c r="A1" t="s">
        <v>12</v>
      </c>
      <c r="D1" s="1">
        <v>0.1</v>
      </c>
      <c r="F1" t="s">
        <v>17</v>
      </c>
      <c r="G1">
        <v>1000</v>
      </c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9</v>
      </c>
      <c r="G3" t="s">
        <v>10</v>
      </c>
      <c r="H3" t="s">
        <v>11</v>
      </c>
      <c r="I3" t="s">
        <v>14</v>
      </c>
      <c r="J3" t="s">
        <v>16</v>
      </c>
      <c r="K3" t="s">
        <v>18</v>
      </c>
      <c r="L3" t="s">
        <v>20</v>
      </c>
    </row>
    <row r="4" spans="1:12" x14ac:dyDescent="0.25">
      <c r="A4" t="s">
        <v>5</v>
      </c>
      <c r="B4">
        <v>6565</v>
      </c>
      <c r="C4">
        <v>525</v>
      </c>
      <c r="D4">
        <v>657</v>
      </c>
      <c r="E4">
        <f>SUM(B4:D4)</f>
        <v>7747</v>
      </c>
      <c r="F4" s="1">
        <v>0.09</v>
      </c>
      <c r="G4">
        <f>E4+E4*F4</f>
        <v>8444.23</v>
      </c>
      <c r="H4">
        <f>G4*D1</f>
        <v>844.423</v>
      </c>
      <c r="I4">
        <f xml:space="preserve"> $G$4 * $D$1</f>
        <v>844.423</v>
      </c>
      <c r="J4">
        <f xml:space="preserve"> G4 * $D$1</f>
        <v>844.423</v>
      </c>
      <c r="K4">
        <f>$G4 + G$1</f>
        <v>9444.23</v>
      </c>
      <c r="L4">
        <f>$G4 + $G$1</f>
        <v>9444.23</v>
      </c>
    </row>
    <row r="5" spans="1:12" x14ac:dyDescent="0.25">
      <c r="A5" t="s">
        <v>6</v>
      </c>
      <c r="B5">
        <v>6090</v>
      </c>
      <c r="C5">
        <v>487</v>
      </c>
      <c r="D5">
        <v>609</v>
      </c>
      <c r="E5">
        <f t="shared" ref="E5:E6" si="0">SUM(B5:D5)</f>
        <v>7186</v>
      </c>
      <c r="F5" s="1">
        <v>0.08</v>
      </c>
      <c r="G5">
        <f>E5+E5*F5</f>
        <v>7760.88</v>
      </c>
      <c r="H5">
        <f t="shared" ref="H5:H6" si="1">G5*D2</f>
        <v>0</v>
      </c>
      <c r="I5">
        <f t="shared" ref="I5:I6" si="2" xml:space="preserve"> $G$4 * $D$1</f>
        <v>844.423</v>
      </c>
      <c r="J5">
        <f t="shared" ref="J5:J6" si="3" xml:space="preserve"> G5 * $D$1</f>
        <v>776.08800000000008</v>
      </c>
      <c r="K5">
        <f t="shared" ref="K5:K6" si="4">$G5 + G$1</f>
        <v>8760.880000000001</v>
      </c>
      <c r="L5">
        <f t="shared" ref="L5:L6" si="5">$G5 + $G$1</f>
        <v>8760.880000000001</v>
      </c>
    </row>
    <row r="6" spans="1:12" x14ac:dyDescent="0.25">
      <c r="A6" t="s">
        <v>7</v>
      </c>
      <c r="B6">
        <v>5922</v>
      </c>
      <c r="C6">
        <v>474</v>
      </c>
      <c r="D6">
        <v>592</v>
      </c>
      <c r="E6">
        <f t="shared" si="0"/>
        <v>6988</v>
      </c>
      <c r="F6" s="1">
        <v>0.05</v>
      </c>
      <c r="G6">
        <f>E6+E6*F6</f>
        <v>7337.4</v>
      </c>
      <c r="H6" t="e">
        <f t="shared" si="1"/>
        <v>#VALUE!</v>
      </c>
      <c r="I6">
        <f t="shared" si="2"/>
        <v>844.423</v>
      </c>
      <c r="J6">
        <f t="shared" si="3"/>
        <v>733.74</v>
      </c>
      <c r="K6">
        <f t="shared" si="4"/>
        <v>8337.4</v>
      </c>
      <c r="L6">
        <f t="shared" si="5"/>
        <v>8337.4</v>
      </c>
    </row>
    <row r="7" spans="1:12" x14ac:dyDescent="0.25">
      <c r="A7" t="s">
        <v>8</v>
      </c>
      <c r="B7">
        <f>SUM(B4:B6)</f>
        <v>18577</v>
      </c>
      <c r="C7">
        <f t="shared" ref="C7:E7" si="6">SUM(C4:C6)</f>
        <v>1486</v>
      </c>
      <c r="D7">
        <f t="shared" si="6"/>
        <v>1858</v>
      </c>
      <c r="E7">
        <f t="shared" si="6"/>
        <v>21921</v>
      </c>
    </row>
    <row r="8" spans="1:12" x14ac:dyDescent="0.25">
      <c r="K8">
        <f>I8+I8*J8</f>
        <v>0</v>
      </c>
    </row>
    <row r="12" spans="1:12" x14ac:dyDescent="0.25">
      <c r="B12">
        <f>(2+3)*5*3+5*3</f>
        <v>90</v>
      </c>
      <c r="D12" t="b">
        <f xml:space="preserve"> 65 &gt; 30</f>
        <v>1</v>
      </c>
      <c r="F12" t="s">
        <v>13</v>
      </c>
    </row>
    <row r="13" spans="1:12" x14ac:dyDescent="0.25">
      <c r="D13" t="b">
        <f xml:space="preserve"> 65 &gt; 90</f>
        <v>0</v>
      </c>
      <c r="F13" t="s">
        <v>15</v>
      </c>
    </row>
    <row r="14" spans="1:12" x14ac:dyDescent="0.25">
      <c r="F14" t="s">
        <v>19</v>
      </c>
    </row>
    <row r="16" spans="1:12" x14ac:dyDescent="0.25">
      <c r="A16" s="2" t="s">
        <v>21</v>
      </c>
      <c r="B16" s="2" t="s">
        <v>22</v>
      </c>
      <c r="C16" s="2" t="s">
        <v>23</v>
      </c>
      <c r="D16" s="2" t="s">
        <v>24</v>
      </c>
      <c r="E16" s="2" t="s">
        <v>25</v>
      </c>
      <c r="F16" s="2" t="s">
        <v>26</v>
      </c>
      <c r="G16" s="2" t="s">
        <v>27</v>
      </c>
      <c r="H16" s="2" t="s">
        <v>28</v>
      </c>
    </row>
    <row r="17" spans="1:14" x14ac:dyDescent="0.25">
      <c r="A17" s="3" t="s">
        <v>29</v>
      </c>
      <c r="B17" s="4">
        <v>41102</v>
      </c>
      <c r="C17" s="3">
        <v>2.0699999999999998</v>
      </c>
      <c r="D17" s="3" t="s">
        <v>32</v>
      </c>
      <c r="E17" s="3" t="s">
        <v>34</v>
      </c>
      <c r="F17" s="3">
        <v>16</v>
      </c>
      <c r="G17" s="3">
        <v>41</v>
      </c>
      <c r="H17" s="3">
        <f>G17*F17</f>
        <v>656</v>
      </c>
    </row>
    <row r="18" spans="1:14" x14ac:dyDescent="0.25">
      <c r="A18" s="5" t="s">
        <v>30</v>
      </c>
      <c r="B18" s="6">
        <v>41123</v>
      </c>
      <c r="C18" s="5">
        <v>2.02</v>
      </c>
      <c r="D18" s="5" t="s">
        <v>32</v>
      </c>
      <c r="E18" s="5" t="s">
        <v>35</v>
      </c>
      <c r="F18" s="5">
        <v>15</v>
      </c>
      <c r="G18" s="5">
        <v>32</v>
      </c>
      <c r="H18" s="5">
        <f t="shared" ref="H18:H20" si="7">G18*F18</f>
        <v>480</v>
      </c>
      <c r="K18">
        <v>656</v>
      </c>
      <c r="N18">
        <f>M18*L18</f>
        <v>0</v>
      </c>
    </row>
    <row r="19" spans="1:14" x14ac:dyDescent="0.25">
      <c r="A19" s="3" t="s">
        <v>31</v>
      </c>
      <c r="B19" s="4">
        <v>41316</v>
      </c>
      <c r="C19" s="3">
        <v>1.49</v>
      </c>
      <c r="D19" s="3" t="s">
        <v>32</v>
      </c>
      <c r="E19" s="3" t="s">
        <v>36</v>
      </c>
      <c r="F19" s="3">
        <v>16</v>
      </c>
      <c r="G19" s="3">
        <v>28</v>
      </c>
      <c r="H19" s="3">
        <f t="shared" si="7"/>
        <v>448</v>
      </c>
      <c r="L19">
        <v>656</v>
      </c>
    </row>
    <row r="20" spans="1:14" x14ac:dyDescent="0.25">
      <c r="A20" s="5" t="s">
        <v>6</v>
      </c>
      <c r="B20" s="6">
        <v>41551</v>
      </c>
      <c r="C20" s="5">
        <v>0.84</v>
      </c>
      <c r="D20" s="5" t="s">
        <v>33</v>
      </c>
      <c r="E20" s="5" t="s">
        <v>37</v>
      </c>
      <c r="F20" s="5">
        <v>17</v>
      </c>
      <c r="G20" s="5">
        <v>29</v>
      </c>
      <c r="H20" s="5">
        <f t="shared" si="7"/>
        <v>493</v>
      </c>
    </row>
    <row r="22" spans="1:14" x14ac:dyDescent="0.25">
      <c r="J22">
        <v>2</v>
      </c>
    </row>
    <row r="23" spans="1:14" x14ac:dyDescent="0.25">
      <c r="J23">
        <v>4</v>
      </c>
    </row>
    <row r="24" spans="1:14" x14ac:dyDescent="0.25">
      <c r="A24" t="s">
        <v>28</v>
      </c>
      <c r="C24" t="s">
        <v>28</v>
      </c>
      <c r="D24">
        <v>656</v>
      </c>
      <c r="E24">
        <v>480</v>
      </c>
      <c r="F24">
        <v>448</v>
      </c>
      <c r="G24">
        <v>493</v>
      </c>
      <c r="M24">
        <v>656</v>
      </c>
    </row>
    <row r="25" spans="1:14" x14ac:dyDescent="0.25">
      <c r="A25">
        <v>656</v>
      </c>
    </row>
    <row r="26" spans="1:14" x14ac:dyDescent="0.25">
      <c r="A26">
        <v>480</v>
      </c>
    </row>
    <row r="27" spans="1:14" x14ac:dyDescent="0.25">
      <c r="A27">
        <v>448</v>
      </c>
    </row>
    <row r="28" spans="1:14" x14ac:dyDescent="0.25">
      <c r="A28">
        <v>493</v>
      </c>
    </row>
    <row r="31" spans="1:14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</row>
    <row r="32" spans="1:14" x14ac:dyDescent="0.25">
      <c r="A32" s="5" t="s">
        <v>5</v>
      </c>
      <c r="B32" s="5">
        <v>6565</v>
      </c>
      <c r="C32" s="5">
        <v>525</v>
      </c>
      <c r="D32" s="5">
        <v>657</v>
      </c>
      <c r="E32" s="5">
        <f>SUM(B32:D32)</f>
        <v>7747</v>
      </c>
    </row>
    <row r="33" spans="1:5" x14ac:dyDescent="0.25">
      <c r="A33" s="7" t="s">
        <v>6</v>
      </c>
      <c r="B33" s="7">
        <v>6090</v>
      </c>
      <c r="C33" s="7">
        <v>487</v>
      </c>
      <c r="D33" s="7">
        <v>609</v>
      </c>
      <c r="E33" s="7">
        <f t="shared" ref="E33:E34" si="8">SUM(B33:D33)</f>
        <v>7186</v>
      </c>
    </row>
    <row r="34" spans="1:5" x14ac:dyDescent="0.25">
      <c r="A34" s="7" t="s">
        <v>7</v>
      </c>
      <c r="B34" s="7">
        <v>5922</v>
      </c>
      <c r="C34" s="7">
        <v>474</v>
      </c>
      <c r="D34" s="7">
        <v>592</v>
      </c>
      <c r="E34" s="7">
        <f t="shared" si="8"/>
        <v>6988</v>
      </c>
    </row>
    <row r="35" spans="1:5" x14ac:dyDescent="0.25">
      <c r="A35" s="5" t="s">
        <v>5</v>
      </c>
      <c r="B35" s="5">
        <v>6565</v>
      </c>
      <c r="C35" s="5">
        <v>525</v>
      </c>
      <c r="D35" s="5">
        <v>657</v>
      </c>
      <c r="E35" s="5">
        <f>SUM(B35:D35)</f>
        <v>7747</v>
      </c>
    </row>
    <row r="36" spans="1:5" x14ac:dyDescent="0.25">
      <c r="A36" s="7" t="s">
        <v>6</v>
      </c>
      <c r="B36" s="7">
        <v>6090</v>
      </c>
      <c r="C36" s="7">
        <v>487</v>
      </c>
      <c r="D36" s="7">
        <v>609</v>
      </c>
      <c r="E36" s="7">
        <f t="shared" ref="E36:E37" si="9">SUM(B36:D36)</f>
        <v>7186</v>
      </c>
    </row>
    <row r="37" spans="1:5" x14ac:dyDescent="0.25">
      <c r="A37" s="5" t="s">
        <v>7</v>
      </c>
      <c r="B37" s="5">
        <v>5922</v>
      </c>
      <c r="C37" s="5">
        <v>474</v>
      </c>
      <c r="D37" s="5">
        <v>592</v>
      </c>
      <c r="E37" s="5">
        <f t="shared" si="9"/>
        <v>6988</v>
      </c>
    </row>
    <row r="38" spans="1:5" x14ac:dyDescent="0.25">
      <c r="A38" s="7" t="s">
        <v>5</v>
      </c>
      <c r="B38" s="7">
        <v>6565</v>
      </c>
      <c r="C38" s="7">
        <v>525</v>
      </c>
      <c r="D38" s="7">
        <v>657</v>
      </c>
      <c r="E38" s="7">
        <f>SUM(B38:D38)</f>
        <v>7747</v>
      </c>
    </row>
    <row r="39" spans="1:5" x14ac:dyDescent="0.25">
      <c r="A39" s="7" t="s">
        <v>6</v>
      </c>
      <c r="B39" s="7">
        <v>6090</v>
      </c>
      <c r="C39" s="7">
        <v>487</v>
      </c>
      <c r="D39" s="7">
        <v>609</v>
      </c>
      <c r="E39" s="7">
        <f t="shared" ref="E39:E40" si="10">SUM(B39:D39)</f>
        <v>7186</v>
      </c>
    </row>
    <row r="40" spans="1:5" x14ac:dyDescent="0.25">
      <c r="A40" s="5" t="s">
        <v>7</v>
      </c>
      <c r="B40" s="5">
        <v>5922</v>
      </c>
      <c r="C40" s="5">
        <v>474</v>
      </c>
      <c r="D40" s="5">
        <v>592</v>
      </c>
      <c r="E40" s="5">
        <f t="shared" si="10"/>
        <v>6988</v>
      </c>
    </row>
    <row r="44" spans="1:5" x14ac:dyDescent="0.25">
      <c r="A44" t="s">
        <v>38</v>
      </c>
      <c r="B44" s="8">
        <f ca="1">NOW()</f>
        <v>44875.845654976853</v>
      </c>
    </row>
    <row r="46" spans="1:5" x14ac:dyDescent="0.25">
      <c r="A46" t="s">
        <v>39</v>
      </c>
      <c r="B46" s="9">
        <f ca="1">TODAY()</f>
        <v>44875</v>
      </c>
    </row>
    <row r="48" spans="1:5" x14ac:dyDescent="0.25">
      <c r="A48" t="s">
        <v>40</v>
      </c>
    </row>
    <row r="49" spans="1:5" x14ac:dyDescent="0.25">
      <c r="B49" t="s">
        <v>41</v>
      </c>
      <c r="C49">
        <v>2022</v>
      </c>
      <c r="E49" s="9">
        <f>DATE(C49,C50,C51)</f>
        <v>44868</v>
      </c>
    </row>
    <row r="50" spans="1:5" x14ac:dyDescent="0.25">
      <c r="B50" t="s">
        <v>42</v>
      </c>
      <c r="C50">
        <v>11</v>
      </c>
    </row>
    <row r="51" spans="1:5" x14ac:dyDescent="0.25">
      <c r="B51" t="s">
        <v>43</v>
      </c>
      <c r="C51">
        <v>3</v>
      </c>
    </row>
    <row r="53" spans="1:5" x14ac:dyDescent="0.25">
      <c r="A53" t="s">
        <v>44</v>
      </c>
      <c r="B53" s="9">
        <f ca="1">NOW()</f>
        <v>44875.845654976853</v>
      </c>
    </row>
    <row r="55" spans="1:5" x14ac:dyDescent="0.25">
      <c r="A55" t="s">
        <v>41</v>
      </c>
      <c r="B55">
        <f ca="1">YEAR(B53)</f>
        <v>2022</v>
      </c>
    </row>
    <row r="56" spans="1:5" x14ac:dyDescent="0.25">
      <c r="A56" t="s">
        <v>42</v>
      </c>
      <c r="B56">
        <f ca="1">MONTH(B53)</f>
        <v>11</v>
      </c>
    </row>
    <row r="57" spans="1:5" x14ac:dyDescent="0.25">
      <c r="A57" t="s">
        <v>43</v>
      </c>
      <c r="B57">
        <f ca="1">DAY(B53)</f>
        <v>10</v>
      </c>
    </row>
    <row r="58" spans="1:5" x14ac:dyDescent="0.25">
      <c r="A58" t="s">
        <v>45</v>
      </c>
      <c r="B58">
        <f ca="1">HOUR(B53)</f>
        <v>20</v>
      </c>
    </row>
    <row r="59" spans="1:5" x14ac:dyDescent="0.25">
      <c r="A59" t="s">
        <v>46</v>
      </c>
      <c r="B59">
        <f ca="1">MINUTE(B53)</f>
        <v>17</v>
      </c>
    </row>
    <row r="60" spans="1:5" x14ac:dyDescent="0.25">
      <c r="A60" t="s">
        <v>47</v>
      </c>
      <c r="B60">
        <f ca="1">SECOND(B53)</f>
        <v>45</v>
      </c>
    </row>
    <row r="61" spans="1:5" x14ac:dyDescent="0.25">
      <c r="A61" t="s">
        <v>48</v>
      </c>
      <c r="B61">
        <f ca="1">WEEKNUM(B53)</f>
        <v>46</v>
      </c>
    </row>
    <row r="62" spans="1:5" x14ac:dyDescent="0.25">
      <c r="A62" t="s">
        <v>49</v>
      </c>
      <c r="B62">
        <f ca="1">WEEKDAY(B53)</f>
        <v>5</v>
      </c>
    </row>
    <row r="65" spans="1:14" x14ac:dyDescent="0.25">
      <c r="A65" t="s">
        <v>21</v>
      </c>
      <c r="B65" t="s">
        <v>50</v>
      </c>
      <c r="C65" t="s">
        <v>22</v>
      </c>
      <c r="D65" t="s">
        <v>51</v>
      </c>
      <c r="E65" t="s">
        <v>26</v>
      </c>
      <c r="F65" t="s">
        <v>27</v>
      </c>
      <c r="G65" t="s">
        <v>52</v>
      </c>
      <c r="H65" t="s">
        <v>53</v>
      </c>
      <c r="I65" t="s">
        <v>41</v>
      </c>
    </row>
    <row r="66" spans="1:14" x14ac:dyDescent="0.25">
      <c r="A66" t="s">
        <v>5</v>
      </c>
      <c r="B66" t="s">
        <v>54</v>
      </c>
      <c r="C66" s="10">
        <v>41072</v>
      </c>
      <c r="D66" s="8">
        <v>43913.853576388887</v>
      </c>
      <c r="E66">
        <v>15.45</v>
      </c>
      <c r="F66">
        <v>45</v>
      </c>
      <c r="G66">
        <f>WEEKNUM(C66)</f>
        <v>24</v>
      </c>
      <c r="H66">
        <f>WEEKDAY(C66)</f>
        <v>3</v>
      </c>
      <c r="I66">
        <f>YEAR(C66)</f>
        <v>2012</v>
      </c>
    </row>
    <row r="67" spans="1:14" x14ac:dyDescent="0.25">
      <c r="A67" t="s">
        <v>6</v>
      </c>
      <c r="B67" t="s">
        <v>55</v>
      </c>
      <c r="C67" s="10">
        <v>41552</v>
      </c>
      <c r="D67" s="9">
        <v>43912.813576388886</v>
      </c>
      <c r="E67">
        <v>13.75</v>
      </c>
      <c r="F67">
        <v>29</v>
      </c>
      <c r="G67">
        <f t="shared" ref="G67:G68" si="11">WEEKNUM(C67)</f>
        <v>40</v>
      </c>
      <c r="H67">
        <f t="shared" ref="H67:H68" si="12">WEEKDAY(C67)</f>
        <v>7</v>
      </c>
      <c r="I67">
        <f t="shared" ref="I67:I68" si="13">YEAR(C67)</f>
        <v>2013</v>
      </c>
    </row>
    <row r="68" spans="1:14" x14ac:dyDescent="0.25">
      <c r="A68" t="s">
        <v>7</v>
      </c>
      <c r="B68" t="s">
        <v>56</v>
      </c>
      <c r="C68" s="10">
        <v>42390</v>
      </c>
      <c r="D68" s="8">
        <v>43917.873576388891</v>
      </c>
      <c r="E68">
        <v>14.6</v>
      </c>
      <c r="F68">
        <v>25</v>
      </c>
      <c r="G68">
        <f t="shared" si="11"/>
        <v>4</v>
      </c>
      <c r="H68">
        <f t="shared" si="12"/>
        <v>5</v>
      </c>
      <c r="I68">
        <f t="shared" si="13"/>
        <v>2016</v>
      </c>
    </row>
    <row r="71" spans="1:14" x14ac:dyDescent="0.25">
      <c r="A71" t="s">
        <v>57</v>
      </c>
      <c r="B71" t="s">
        <v>58</v>
      </c>
      <c r="C71" t="s">
        <v>59</v>
      </c>
      <c r="D71" t="s">
        <v>60</v>
      </c>
      <c r="E71" t="s">
        <v>23</v>
      </c>
      <c r="G71" t="s">
        <v>62</v>
      </c>
      <c r="H71" t="s">
        <v>63</v>
      </c>
      <c r="I71" t="s">
        <v>64</v>
      </c>
      <c r="M71" t="s">
        <v>65</v>
      </c>
    </row>
    <row r="72" spans="1:14" x14ac:dyDescent="0.25">
      <c r="A72" t="s">
        <v>5</v>
      </c>
      <c r="B72" s="10">
        <v>41072</v>
      </c>
      <c r="C72" s="10">
        <v>42898</v>
      </c>
      <c r="D72">
        <f>EOMONTH(C72,0)</f>
        <v>42916</v>
      </c>
      <c r="E72">
        <f ca="1">DATEDIF(B72,TODAY(),"Y")</f>
        <v>10</v>
      </c>
      <c r="G72" s="10">
        <v>41852</v>
      </c>
      <c r="H72" s="10">
        <v>41912</v>
      </c>
      <c r="I72">
        <f>NETWORKDAYS(G72,H72)</f>
        <v>43</v>
      </c>
      <c r="M72" s="10">
        <v>41866</v>
      </c>
    </row>
    <row r="73" spans="1:14" x14ac:dyDescent="0.25">
      <c r="A73" t="s">
        <v>6</v>
      </c>
      <c r="B73" s="10">
        <v>41552</v>
      </c>
      <c r="C73" s="10">
        <v>43378</v>
      </c>
      <c r="D73">
        <f t="shared" ref="D73:D75" si="14">EOMONTH(C73,0)</f>
        <v>43404</v>
      </c>
      <c r="E73">
        <f t="shared" ref="E73:E75" ca="1" si="15">DATEDIF(B73,TODAY(),"Y")</f>
        <v>9</v>
      </c>
      <c r="G73" s="10">
        <v>41852</v>
      </c>
      <c r="H73" s="10">
        <v>41912</v>
      </c>
      <c r="I73">
        <f>NETWORKDAYS(G73,H73,M72:M74)</f>
        <v>40</v>
      </c>
      <c r="M73" s="10">
        <v>41880</v>
      </c>
    </row>
    <row r="74" spans="1:14" x14ac:dyDescent="0.25">
      <c r="A74" t="s">
        <v>7</v>
      </c>
      <c r="B74" s="10">
        <v>40929</v>
      </c>
      <c r="C74" s="10">
        <v>42756</v>
      </c>
      <c r="D74">
        <f t="shared" si="14"/>
        <v>42766</v>
      </c>
      <c r="E74">
        <f t="shared" ca="1" si="15"/>
        <v>10</v>
      </c>
      <c r="M74" s="10">
        <v>41894</v>
      </c>
    </row>
    <row r="75" spans="1:14" x14ac:dyDescent="0.25">
      <c r="A75" t="s">
        <v>61</v>
      </c>
      <c r="B75" s="10">
        <v>41203</v>
      </c>
      <c r="C75" s="10">
        <v>43029</v>
      </c>
      <c r="D75">
        <f t="shared" si="14"/>
        <v>43039</v>
      </c>
      <c r="E75">
        <f t="shared" ca="1" si="15"/>
        <v>10</v>
      </c>
    </row>
    <row r="78" spans="1:14" x14ac:dyDescent="0.25">
      <c r="A78" t="s">
        <v>21</v>
      </c>
      <c r="B78" t="s">
        <v>50</v>
      </c>
      <c r="C78" t="s">
        <v>22</v>
      </c>
      <c r="D78" t="s">
        <v>23</v>
      </c>
      <c r="E78" t="s">
        <v>25</v>
      </c>
      <c r="F78" t="s">
        <v>26</v>
      </c>
      <c r="G78" t="s">
        <v>27</v>
      </c>
    </row>
    <row r="79" spans="1:14" x14ac:dyDescent="0.25">
      <c r="A79" t="s">
        <v>5</v>
      </c>
      <c r="B79" t="s">
        <v>54</v>
      </c>
      <c r="C79" s="10">
        <v>41072</v>
      </c>
      <c r="D79">
        <v>2.15</v>
      </c>
      <c r="E79" t="s">
        <v>35</v>
      </c>
      <c r="F79">
        <v>15.45</v>
      </c>
      <c r="G79">
        <v>49</v>
      </c>
      <c r="H79" t="str">
        <f>LEFT(B79,4)</f>
        <v>Anil</v>
      </c>
      <c r="I79" t="str">
        <f>RIGHT(B79,5)</f>
        <v>Kumar</v>
      </c>
      <c r="J79" t="str">
        <f>MID(B79,4,5)</f>
        <v>l Kum</v>
      </c>
      <c r="K79">
        <f>LEN(B79)</f>
        <v>10</v>
      </c>
      <c r="L79" t="str">
        <f>_xlfn.CONCAT(B79," works in ",E79)</f>
        <v>Anil Kumar works in Admin</v>
      </c>
      <c r="M79" t="str">
        <f>B79 &amp; " " &amp; E79</f>
        <v>Anil Kumar Admin</v>
      </c>
      <c r="N79" t="str">
        <f>CONCATENATE(H79,I79,E79)</f>
        <v>AnilKumarAdmin</v>
      </c>
    </row>
    <row r="80" spans="1:14" x14ac:dyDescent="0.25">
      <c r="A80" t="s">
        <v>6</v>
      </c>
      <c r="B80" t="s">
        <v>55</v>
      </c>
      <c r="C80" s="10">
        <v>41552</v>
      </c>
      <c r="D80">
        <v>0.84</v>
      </c>
      <c r="E80" t="s">
        <v>34</v>
      </c>
      <c r="F80">
        <v>13.75</v>
      </c>
      <c r="G80">
        <v>29</v>
      </c>
      <c r="H80" t="str">
        <f t="shared" ref="H80:H82" si="16">LEFT(B80,4)</f>
        <v>Amit</v>
      </c>
      <c r="I80" t="str">
        <f t="shared" ref="I80:I82" si="17">RIGHT(B80,5)</f>
        <v>Kumar</v>
      </c>
      <c r="J80" t="str">
        <f t="shared" ref="J80:J82" si="18">MID(B80,4,5)</f>
        <v>t Kum</v>
      </c>
      <c r="K80">
        <f t="shared" ref="K80:K82" si="19">LEN(B80)</f>
        <v>10</v>
      </c>
      <c r="L80" t="str">
        <f t="shared" ref="L80:L82" si="20">_xlfn.CONCAT(B80," works in ",E80)</f>
        <v>Amit Kumar works in Sales</v>
      </c>
      <c r="M80" t="str">
        <f t="shared" ref="M80:M82" si="21">B80 &amp; " " &amp; E80</f>
        <v>Amit Kumar Sales</v>
      </c>
      <c r="N80" t="str">
        <f t="shared" ref="N80:N82" si="22">CONCATENATE(H80,I80,E80)</f>
        <v>AmitKumarSales</v>
      </c>
    </row>
    <row r="81" spans="1:14" x14ac:dyDescent="0.25">
      <c r="A81" t="s">
        <v>7</v>
      </c>
      <c r="B81" t="s">
        <v>56</v>
      </c>
      <c r="C81" s="10">
        <v>42390</v>
      </c>
      <c r="D81">
        <v>2.5499999999999998</v>
      </c>
      <c r="E81" t="s">
        <v>36</v>
      </c>
      <c r="F81">
        <v>14.6</v>
      </c>
      <c r="G81">
        <v>25</v>
      </c>
      <c r="H81" t="str">
        <f t="shared" si="16"/>
        <v>Kuna</v>
      </c>
      <c r="I81" t="str">
        <f t="shared" si="17"/>
        <v xml:space="preserve"> Jain</v>
      </c>
      <c r="J81" t="str">
        <f t="shared" si="18"/>
        <v>al Ja</v>
      </c>
      <c r="K81">
        <f t="shared" si="19"/>
        <v>10</v>
      </c>
      <c r="L81" t="str">
        <f t="shared" si="20"/>
        <v>Kunal Jain works in Support</v>
      </c>
      <c r="M81" t="str">
        <f t="shared" si="21"/>
        <v>Kunal Jain Support</v>
      </c>
      <c r="N81" t="str">
        <f t="shared" si="22"/>
        <v>Kuna JainSupport</v>
      </c>
    </row>
    <row r="82" spans="1:14" x14ac:dyDescent="0.25">
      <c r="A82" t="s">
        <v>61</v>
      </c>
      <c r="B82" t="s">
        <v>66</v>
      </c>
      <c r="C82" s="10">
        <v>44125</v>
      </c>
      <c r="D82">
        <v>1.8</v>
      </c>
      <c r="E82" t="s">
        <v>37</v>
      </c>
      <c r="F82">
        <v>15.49</v>
      </c>
      <c r="G82">
        <v>25</v>
      </c>
      <c r="H82" t="str">
        <f t="shared" si="16"/>
        <v>Suni</v>
      </c>
      <c r="I82" t="str">
        <f t="shared" si="17"/>
        <v>l Ray</v>
      </c>
      <c r="J82" t="str">
        <f t="shared" si="18"/>
        <v>il Ra</v>
      </c>
      <c r="K82">
        <f t="shared" si="19"/>
        <v>9</v>
      </c>
      <c r="L82" t="str">
        <f t="shared" si="20"/>
        <v>Sunil Ray works in HR</v>
      </c>
      <c r="M82" t="str">
        <f t="shared" si="21"/>
        <v>Sunil Ray HR</v>
      </c>
      <c r="N82" t="str">
        <f t="shared" si="22"/>
        <v>Sunil RayHR</v>
      </c>
    </row>
    <row r="84" spans="1:14" x14ac:dyDescent="0.25">
      <c r="B84" t="str">
        <f>MID(B79,1,9)</f>
        <v>Anil Kuma</v>
      </c>
      <c r="C84" t="s">
        <v>67</v>
      </c>
    </row>
    <row r="85" spans="1:14" x14ac:dyDescent="0.25">
      <c r="B85" t="str">
        <f>MID(B79,LEN(B79)-1,2)</f>
        <v>ar</v>
      </c>
      <c r="C85" t="s">
        <v>68</v>
      </c>
    </row>
    <row r="89" spans="1:14" x14ac:dyDescent="0.25">
      <c r="A89" t="s">
        <v>69</v>
      </c>
      <c r="B89" t="s">
        <v>50</v>
      </c>
      <c r="C89" t="s">
        <v>70</v>
      </c>
      <c r="D89" t="s">
        <v>71</v>
      </c>
      <c r="E89" t="s">
        <v>72</v>
      </c>
      <c r="F89" t="s">
        <v>73</v>
      </c>
      <c r="G89" t="s">
        <v>74</v>
      </c>
    </row>
    <row r="90" spans="1:14" x14ac:dyDescent="0.25">
      <c r="A90" t="s">
        <v>75</v>
      </c>
      <c r="B90" t="s">
        <v>54</v>
      </c>
      <c r="C90" t="s">
        <v>79</v>
      </c>
      <c r="D90">
        <f>FIND("Python",C90)</f>
        <v>1</v>
      </c>
      <c r="E90" t="e">
        <f>FIND("Machine learning",C90)</f>
        <v>#VALUE!</v>
      </c>
      <c r="F90" t="e">
        <f>SEARCH("Deep Learning",C90)</f>
        <v>#VALUE!</v>
      </c>
      <c r="G90">
        <f>SEARCH("tableau",C90,6)</f>
        <v>51</v>
      </c>
    </row>
    <row r="91" spans="1:14" x14ac:dyDescent="0.25">
      <c r="A91" t="s">
        <v>76</v>
      </c>
      <c r="B91" t="s">
        <v>55</v>
      </c>
      <c r="C91" t="s">
        <v>80</v>
      </c>
      <c r="D91">
        <f t="shared" ref="D91:D93" si="23">FIND("Python",C91)</f>
        <v>1</v>
      </c>
      <c r="E91" t="e">
        <f t="shared" ref="E91:E93" si="24">FIND("Machine learning",C91)</f>
        <v>#VALUE!</v>
      </c>
      <c r="F91" t="e">
        <f t="shared" ref="F91:F93" si="25">SEARCH("Deep Learning",C91)</f>
        <v>#VALUE!</v>
      </c>
      <c r="G91">
        <f t="shared" ref="G91:G93" si="26">SEARCH("tableau",C91,6)</f>
        <v>44</v>
      </c>
    </row>
    <row r="92" spans="1:14" x14ac:dyDescent="0.25">
      <c r="A92" t="s">
        <v>77</v>
      </c>
      <c r="B92" t="s">
        <v>56</v>
      </c>
      <c r="C92" t="s">
        <v>82</v>
      </c>
      <c r="D92" t="e">
        <f t="shared" si="23"/>
        <v>#VALUE!</v>
      </c>
      <c r="E92" t="e">
        <f t="shared" si="24"/>
        <v>#VALUE!</v>
      </c>
      <c r="F92">
        <f t="shared" si="25"/>
        <v>37</v>
      </c>
      <c r="G92" t="e">
        <f t="shared" si="26"/>
        <v>#VALUE!</v>
      </c>
    </row>
    <row r="93" spans="1:14" x14ac:dyDescent="0.25">
      <c r="A93" t="s">
        <v>78</v>
      </c>
      <c r="B93" t="s">
        <v>66</v>
      </c>
      <c r="C93" t="s">
        <v>81</v>
      </c>
      <c r="D93">
        <f t="shared" si="23"/>
        <v>8</v>
      </c>
      <c r="E93" t="e">
        <f t="shared" si="24"/>
        <v>#VALUE!</v>
      </c>
      <c r="F93">
        <f t="shared" si="25"/>
        <v>68</v>
      </c>
      <c r="G93" t="e">
        <f t="shared" si="26"/>
        <v>#VALUE!</v>
      </c>
    </row>
    <row r="95" spans="1:14" x14ac:dyDescent="0.25">
      <c r="B95" t="str">
        <f>UPPER(B90)</f>
        <v>ANIL KUMAR</v>
      </c>
    </row>
    <row r="96" spans="1:14" x14ac:dyDescent="0.25">
      <c r="B96" t="str">
        <f>LOWER(B95)</f>
        <v>anil kumar</v>
      </c>
    </row>
    <row r="97" spans="1:11" x14ac:dyDescent="0.25">
      <c r="B97" t="str">
        <f>PROPER(B96)</f>
        <v>Anil Kumar</v>
      </c>
    </row>
    <row r="101" spans="1:11" x14ac:dyDescent="0.25">
      <c r="A101" t="s">
        <v>21</v>
      </c>
      <c r="B101" t="s">
        <v>50</v>
      </c>
      <c r="C101" t="s">
        <v>83</v>
      </c>
      <c r="D101" t="s">
        <v>22</v>
      </c>
      <c r="E101" t="s">
        <v>23</v>
      </c>
      <c r="F101" t="s">
        <v>25</v>
      </c>
      <c r="G101" t="s">
        <v>88</v>
      </c>
      <c r="H101" t="s">
        <v>89</v>
      </c>
      <c r="I101" t="s">
        <v>91</v>
      </c>
      <c r="J101" t="s">
        <v>92</v>
      </c>
      <c r="K101" t="s">
        <v>93</v>
      </c>
    </row>
    <row r="102" spans="1:11" x14ac:dyDescent="0.25">
      <c r="A102" t="s">
        <v>5</v>
      </c>
      <c r="B102" t="s">
        <v>54</v>
      </c>
      <c r="C102" s="11" t="s">
        <v>84</v>
      </c>
      <c r="D102" s="10">
        <v>41072</v>
      </c>
      <c r="E102">
        <v>2.15</v>
      </c>
      <c r="F102" t="s">
        <v>35</v>
      </c>
      <c r="G102" t="str">
        <f>SUBSTITUTE(C102,".com",".org")</f>
        <v>anil@xyz.org</v>
      </c>
      <c r="H102" t="str">
        <f>REPLACE(G102,6,3,"abc")</f>
        <v>anil@abc.org</v>
      </c>
      <c r="I102">
        <f>FIND("@",G102)</f>
        <v>5</v>
      </c>
      <c r="J102">
        <f>FIND(".",G102)</f>
        <v>9</v>
      </c>
      <c r="K102" t="str">
        <f>REPLACE(G102,I102+1,J102-I102-1,"abc")</f>
        <v>anil@abc.org</v>
      </c>
    </row>
    <row r="103" spans="1:11" x14ac:dyDescent="0.25">
      <c r="A103" t="s">
        <v>6</v>
      </c>
      <c r="B103" t="s">
        <v>55</v>
      </c>
      <c r="C103" s="11" t="s">
        <v>86</v>
      </c>
      <c r="D103" s="10">
        <v>41552</v>
      </c>
      <c r="E103">
        <v>0.84</v>
      </c>
      <c r="F103" t="s">
        <v>34</v>
      </c>
      <c r="G103" t="str">
        <f t="shared" ref="G103:G105" si="27">SUBSTITUTE(C103,".com",".org")</f>
        <v>amitk@ryif.org</v>
      </c>
      <c r="H103" t="str">
        <f t="shared" ref="H103:H105" si="28">REPLACE(G103,6,3,"abc")</f>
        <v>amitkabcif.org</v>
      </c>
      <c r="I103">
        <f t="shared" ref="I103:I105" si="29">FIND("@",G103)</f>
        <v>6</v>
      </c>
      <c r="J103">
        <f t="shared" ref="J103:J105" si="30">FIND(".",G103)</f>
        <v>11</v>
      </c>
      <c r="K103" t="str">
        <f>REPLACE(G103,I103+1,J103-I103-1,"abc")</f>
        <v>amitk@abc.org</v>
      </c>
    </row>
    <row r="104" spans="1:11" x14ac:dyDescent="0.25">
      <c r="A104" t="s">
        <v>7</v>
      </c>
      <c r="B104" t="s">
        <v>56</v>
      </c>
      <c r="C104" s="11" t="s">
        <v>87</v>
      </c>
      <c r="D104" s="10">
        <v>42390</v>
      </c>
      <c r="E104">
        <v>2.5499999999999998</v>
      </c>
      <c r="F104" t="s">
        <v>36</v>
      </c>
      <c r="G104" t="str">
        <f t="shared" si="27"/>
        <v>kjain@xyz1.org</v>
      </c>
      <c r="H104" t="str">
        <f t="shared" si="28"/>
        <v>kjainabcz1.org</v>
      </c>
      <c r="I104">
        <f t="shared" si="29"/>
        <v>6</v>
      </c>
      <c r="J104">
        <f t="shared" si="30"/>
        <v>11</v>
      </c>
      <c r="K104" t="str">
        <f>REPLACE(G104,I104+1,J104-I104-1,"abc")</f>
        <v>kjain@abc.org</v>
      </c>
    </row>
    <row r="105" spans="1:11" x14ac:dyDescent="0.25">
      <c r="A105" t="s">
        <v>61</v>
      </c>
      <c r="B105" t="s">
        <v>66</v>
      </c>
      <c r="C105" s="11" t="s">
        <v>85</v>
      </c>
      <c r="D105" s="10">
        <v>44125</v>
      </c>
      <c r="E105">
        <v>1.8</v>
      </c>
      <c r="F105" t="s">
        <v>37</v>
      </c>
      <c r="G105" t="str">
        <f t="shared" si="27"/>
        <v>sunil@xyz.org</v>
      </c>
      <c r="H105" t="str">
        <f t="shared" si="28"/>
        <v>sunilabcz.org</v>
      </c>
      <c r="I105">
        <f t="shared" si="29"/>
        <v>6</v>
      </c>
      <c r="J105">
        <f t="shared" si="30"/>
        <v>10</v>
      </c>
      <c r="K105" t="str">
        <f>REPLACE(G105,I105+1,J105-I105-1,"abc")</f>
        <v>sunil@abc.org</v>
      </c>
    </row>
    <row r="107" spans="1:11" x14ac:dyDescent="0.25">
      <c r="B107" t="str">
        <f>SUBSTITUTE(B102,"Kumar","Sharma")</f>
        <v>Anil Sharma</v>
      </c>
    </row>
    <row r="109" spans="1:11" x14ac:dyDescent="0.25">
      <c r="B109" t="s">
        <v>90</v>
      </c>
      <c r="C109" t="str">
        <f>SUBSTITUTE(B109,"Verma","Kumar",2)</f>
        <v>Sunil Kumar Verma Kumar</v>
      </c>
    </row>
    <row r="114" spans="1:11" x14ac:dyDescent="0.25">
      <c r="C114" t="s">
        <v>94</v>
      </c>
    </row>
    <row r="115" spans="1:11" x14ac:dyDescent="0.25">
      <c r="B115" s="9">
        <f ca="1">TODAY()</f>
        <v>44875</v>
      </c>
    </row>
    <row r="116" spans="1:11" x14ac:dyDescent="0.25">
      <c r="C116" t="str">
        <f ca="1">"This report is of "&amp; TEXT(B115,"DD-MMM-YYYY")</f>
        <v>This report is of 10-Nov-2022</v>
      </c>
    </row>
    <row r="119" spans="1:11" x14ac:dyDescent="0.25">
      <c r="C119">
        <v>12345</v>
      </c>
      <c r="D119">
        <f>VALUE(C119)</f>
        <v>12345</v>
      </c>
    </row>
    <row r="120" spans="1:11" x14ac:dyDescent="0.25">
      <c r="C120" t="s">
        <v>95</v>
      </c>
      <c r="D120" t="e">
        <f>VALUE(C120)</f>
        <v>#VALUE!</v>
      </c>
    </row>
    <row r="125" spans="1:11" x14ac:dyDescent="0.25">
      <c r="A125" t="s">
        <v>21</v>
      </c>
      <c r="B125" t="s">
        <v>22</v>
      </c>
      <c r="C125" t="s">
        <v>23</v>
      </c>
      <c r="D125" t="s">
        <v>24</v>
      </c>
      <c r="E125" t="s">
        <v>25</v>
      </c>
      <c r="F125" t="s">
        <v>26</v>
      </c>
      <c r="G125" t="s">
        <v>27</v>
      </c>
      <c r="H125" t="s">
        <v>28</v>
      </c>
    </row>
    <row r="126" spans="1:11" x14ac:dyDescent="0.25">
      <c r="A126" t="s">
        <v>5</v>
      </c>
      <c r="B126" s="10">
        <v>41072</v>
      </c>
      <c r="C126">
        <v>2.15</v>
      </c>
      <c r="D126" t="s">
        <v>32</v>
      </c>
      <c r="E126" t="s">
        <v>35</v>
      </c>
      <c r="F126">
        <v>15.45</v>
      </c>
      <c r="G126">
        <v>49</v>
      </c>
      <c r="H126">
        <f>PRODUCT(G126*F126)</f>
        <v>757.05</v>
      </c>
      <c r="I126">
        <f>G126*F126</f>
        <v>757.05</v>
      </c>
      <c r="K126">
        <f>MOD(256,59)</f>
        <v>20</v>
      </c>
    </row>
    <row r="127" spans="1:11" x14ac:dyDescent="0.25">
      <c r="A127" t="s">
        <v>6</v>
      </c>
      <c r="B127" s="10">
        <v>41552</v>
      </c>
      <c r="C127">
        <v>0.84</v>
      </c>
      <c r="D127" t="s">
        <v>33</v>
      </c>
      <c r="E127" t="s">
        <v>34</v>
      </c>
      <c r="F127">
        <v>13.75</v>
      </c>
      <c r="G127">
        <v>29</v>
      </c>
      <c r="H127">
        <f t="shared" ref="H127:H129" si="31">PRODUCT(G127*F127)</f>
        <v>398.75</v>
      </c>
      <c r="I127">
        <f t="shared" ref="I127:I129" si="32">G127*F127</f>
        <v>398.75</v>
      </c>
      <c r="K127">
        <f>SQRT(64)</f>
        <v>8</v>
      </c>
    </row>
    <row r="128" spans="1:11" x14ac:dyDescent="0.25">
      <c r="A128" t="s">
        <v>7</v>
      </c>
      <c r="B128" s="10">
        <v>42390</v>
      </c>
      <c r="C128">
        <v>2.5499999999999998</v>
      </c>
      <c r="D128" t="s">
        <v>33</v>
      </c>
      <c r="E128" t="s">
        <v>36</v>
      </c>
      <c r="F128">
        <v>14.6</v>
      </c>
      <c r="G128">
        <v>25</v>
      </c>
      <c r="H128">
        <f t="shared" si="31"/>
        <v>365</v>
      </c>
      <c r="I128">
        <f t="shared" si="32"/>
        <v>365</v>
      </c>
      <c r="K128">
        <f>FACT(4)</f>
        <v>24</v>
      </c>
    </row>
    <row r="129" spans="1:10" x14ac:dyDescent="0.25">
      <c r="A129" t="s">
        <v>61</v>
      </c>
      <c r="B129" s="10">
        <v>44125</v>
      </c>
      <c r="C129">
        <v>1.8</v>
      </c>
      <c r="D129" t="s">
        <v>32</v>
      </c>
      <c r="E129" t="s">
        <v>37</v>
      </c>
      <c r="F129">
        <v>15.49</v>
      </c>
      <c r="G129">
        <v>25</v>
      </c>
      <c r="H129">
        <f t="shared" si="31"/>
        <v>387.25</v>
      </c>
      <c r="I129">
        <f t="shared" si="32"/>
        <v>387.25</v>
      </c>
    </row>
    <row r="130" spans="1:10" x14ac:dyDescent="0.25">
      <c r="H130">
        <f>SUM(H126:H129)</f>
        <v>1908.05</v>
      </c>
      <c r="I130">
        <f>SUM(I126:I129)</f>
        <v>1908.05</v>
      </c>
    </row>
    <row r="132" spans="1:10" x14ac:dyDescent="0.25">
      <c r="E132" t="s">
        <v>96</v>
      </c>
    </row>
    <row r="136" spans="1:10" x14ac:dyDescent="0.25">
      <c r="A136" t="s">
        <v>21</v>
      </c>
      <c r="B136" t="s">
        <v>22</v>
      </c>
      <c r="C136" t="s">
        <v>23</v>
      </c>
      <c r="D136" t="s">
        <v>24</v>
      </c>
      <c r="E136" t="s">
        <v>25</v>
      </c>
      <c r="F136" t="s">
        <v>26</v>
      </c>
      <c r="G136" t="s">
        <v>27</v>
      </c>
      <c r="H136" t="s">
        <v>28</v>
      </c>
    </row>
    <row r="137" spans="1:10" x14ac:dyDescent="0.25">
      <c r="A137" t="s">
        <v>5</v>
      </c>
      <c r="B137" s="10">
        <v>41072</v>
      </c>
      <c r="C137">
        <v>2.15</v>
      </c>
      <c r="D137" t="s">
        <v>32</v>
      </c>
      <c r="E137" t="s">
        <v>35</v>
      </c>
      <c r="F137">
        <v>15.45</v>
      </c>
      <c r="G137">
        <v>49</v>
      </c>
      <c r="H137">
        <f>PRODUCT(G137*F137)</f>
        <v>757.05</v>
      </c>
      <c r="I137">
        <f>INT(H137)</f>
        <v>757</v>
      </c>
    </row>
    <row r="138" spans="1:10" x14ac:dyDescent="0.25">
      <c r="A138" t="s">
        <v>6</v>
      </c>
      <c r="B138" s="10">
        <v>41552</v>
      </c>
      <c r="C138">
        <v>0.84</v>
      </c>
      <c r="D138" t="s">
        <v>33</v>
      </c>
      <c r="E138" t="s">
        <v>34</v>
      </c>
      <c r="F138">
        <v>13.75</v>
      </c>
      <c r="G138">
        <v>29</v>
      </c>
      <c r="H138">
        <f t="shared" ref="H138:H140" si="33">PRODUCT(G138*F138)</f>
        <v>398.75</v>
      </c>
      <c r="I138">
        <f>ROUND(H138,1)</f>
        <v>398.8</v>
      </c>
    </row>
    <row r="139" spans="1:10" x14ac:dyDescent="0.25">
      <c r="A139" t="s">
        <v>7</v>
      </c>
      <c r="B139" s="10">
        <v>42390</v>
      </c>
      <c r="C139">
        <v>2.5499999999999998</v>
      </c>
      <c r="D139" t="s">
        <v>33</v>
      </c>
      <c r="E139" t="s">
        <v>36</v>
      </c>
      <c r="F139">
        <v>14.6</v>
      </c>
      <c r="G139">
        <v>25</v>
      </c>
      <c r="H139">
        <f t="shared" si="33"/>
        <v>365</v>
      </c>
    </row>
    <row r="140" spans="1:10" x14ac:dyDescent="0.25">
      <c r="A140" t="s">
        <v>61</v>
      </c>
      <c r="B140" s="10">
        <v>44125</v>
      </c>
      <c r="C140">
        <v>1.8</v>
      </c>
      <c r="D140" t="s">
        <v>32</v>
      </c>
      <c r="E140" t="s">
        <v>37</v>
      </c>
      <c r="F140">
        <v>15.49</v>
      </c>
      <c r="G140">
        <v>25</v>
      </c>
      <c r="H140">
        <f t="shared" si="33"/>
        <v>387.25</v>
      </c>
      <c r="I140">
        <f>ROUNDUP(H140,1)</f>
        <v>387.3</v>
      </c>
      <c r="J140">
        <f>ROUNDDOWN(H140,1)</f>
        <v>387.2</v>
      </c>
    </row>
    <row r="141" spans="1:10" x14ac:dyDescent="0.25">
      <c r="H141">
        <f>SUM(H137:H140)</f>
        <v>1908.05</v>
      </c>
    </row>
    <row r="143" spans="1:10" x14ac:dyDescent="0.25">
      <c r="E143">
        <v>533.4</v>
      </c>
      <c r="F143">
        <f>CEILING(E143,5)</f>
        <v>535</v>
      </c>
      <c r="G143">
        <f>FLOOR(E143,5)</f>
        <v>530</v>
      </c>
    </row>
    <row r="149" spans="1:8" x14ac:dyDescent="0.25">
      <c r="A149" t="s">
        <v>21</v>
      </c>
      <c r="B149" t="s">
        <v>22</v>
      </c>
      <c r="C149" t="s">
        <v>23</v>
      </c>
      <c r="D149" t="s">
        <v>24</v>
      </c>
      <c r="E149" t="s">
        <v>25</v>
      </c>
      <c r="F149" t="s">
        <v>26</v>
      </c>
      <c r="G149" t="s">
        <v>27</v>
      </c>
      <c r="H149" t="s">
        <v>28</v>
      </c>
    </row>
    <row r="150" spans="1:8" x14ac:dyDescent="0.25">
      <c r="A150" t="s">
        <v>5</v>
      </c>
      <c r="B150" s="10">
        <v>41072</v>
      </c>
      <c r="C150">
        <v>2.15</v>
      </c>
      <c r="D150" t="s">
        <v>32</v>
      </c>
      <c r="E150" t="s">
        <v>35</v>
      </c>
      <c r="F150">
        <v>15.45</v>
      </c>
      <c r="G150">
        <v>49</v>
      </c>
      <c r="H150">
        <f>PRODUCT(G150*F150)</f>
        <v>757.05</v>
      </c>
    </row>
    <row r="151" spans="1:8" x14ac:dyDescent="0.25">
      <c r="A151" t="s">
        <v>6</v>
      </c>
      <c r="B151" s="10">
        <v>41552</v>
      </c>
      <c r="C151">
        <v>0.84</v>
      </c>
      <c r="D151" t="s">
        <v>33</v>
      </c>
      <c r="E151" t="s">
        <v>34</v>
      </c>
      <c r="F151">
        <v>13.75</v>
      </c>
      <c r="G151">
        <v>29</v>
      </c>
      <c r="H151">
        <f t="shared" ref="H151:H157" si="34">PRODUCT(G151*F151)</f>
        <v>398.75</v>
      </c>
    </row>
    <row r="152" spans="1:8" x14ac:dyDescent="0.25">
      <c r="A152" t="s">
        <v>7</v>
      </c>
      <c r="B152" s="10">
        <v>42390</v>
      </c>
      <c r="C152">
        <v>2.5499999999999998</v>
      </c>
      <c r="D152" t="s">
        <v>33</v>
      </c>
      <c r="E152" t="s">
        <v>36</v>
      </c>
      <c r="F152">
        <v>14.6</v>
      </c>
      <c r="G152">
        <v>25</v>
      </c>
      <c r="H152">
        <f t="shared" si="34"/>
        <v>365</v>
      </c>
    </row>
    <row r="153" spans="1:8" x14ac:dyDescent="0.25">
      <c r="A153" t="s">
        <v>61</v>
      </c>
      <c r="B153" s="10">
        <v>44125</v>
      </c>
      <c r="C153">
        <v>1.8</v>
      </c>
      <c r="D153" t="s">
        <v>32</v>
      </c>
      <c r="E153" t="s">
        <v>37</v>
      </c>
      <c r="F153">
        <v>15.49</v>
      </c>
      <c r="G153">
        <v>25</v>
      </c>
      <c r="H153">
        <f t="shared" si="34"/>
        <v>387.25</v>
      </c>
    </row>
    <row r="154" spans="1:8" x14ac:dyDescent="0.25">
      <c r="A154" t="s">
        <v>98</v>
      </c>
      <c r="B154" s="10">
        <v>41001</v>
      </c>
      <c r="C154">
        <v>2.35</v>
      </c>
      <c r="D154" t="s">
        <v>32</v>
      </c>
      <c r="E154" t="s">
        <v>35</v>
      </c>
      <c r="F154">
        <v>12.33</v>
      </c>
      <c r="G154">
        <v>29</v>
      </c>
      <c r="H154">
        <f t="shared" si="34"/>
        <v>357.57</v>
      </c>
    </row>
    <row r="155" spans="1:8" x14ac:dyDescent="0.25">
      <c r="A155" t="s">
        <v>30</v>
      </c>
      <c r="B155" s="10">
        <v>44410</v>
      </c>
      <c r="C155">
        <v>2.02</v>
      </c>
      <c r="D155" t="s">
        <v>32</v>
      </c>
      <c r="E155" t="s">
        <v>36</v>
      </c>
      <c r="F155">
        <v>13.75</v>
      </c>
      <c r="G155">
        <v>30</v>
      </c>
      <c r="H155">
        <f t="shared" si="34"/>
        <v>412.5</v>
      </c>
    </row>
    <row r="156" spans="1:8" x14ac:dyDescent="0.25">
      <c r="A156" t="s">
        <v>101</v>
      </c>
      <c r="B156" s="10">
        <v>42229</v>
      </c>
      <c r="C156">
        <v>1.98</v>
      </c>
      <c r="D156" t="s">
        <v>33</v>
      </c>
      <c r="E156" t="s">
        <v>36</v>
      </c>
      <c r="F156">
        <v>17.43</v>
      </c>
      <c r="G156">
        <v>34</v>
      </c>
      <c r="H156">
        <f t="shared" si="34"/>
        <v>592.62</v>
      </c>
    </row>
    <row r="157" spans="1:8" x14ac:dyDescent="0.25">
      <c r="A157" t="s">
        <v>102</v>
      </c>
      <c r="B157" s="10">
        <v>42961</v>
      </c>
      <c r="C157">
        <v>1.9</v>
      </c>
      <c r="D157" t="s">
        <v>33</v>
      </c>
      <c r="E157" t="s">
        <v>37</v>
      </c>
      <c r="F157">
        <v>16.350000000000001</v>
      </c>
      <c r="G157">
        <v>29</v>
      </c>
      <c r="H157">
        <f t="shared" si="34"/>
        <v>474.15000000000003</v>
      </c>
    </row>
    <row r="159" spans="1:8" x14ac:dyDescent="0.25">
      <c r="C159" t="s">
        <v>97</v>
      </c>
    </row>
    <row r="160" spans="1:8" x14ac:dyDescent="0.25">
      <c r="C160">
        <f>SUMIFS(H150:H157,D150:D157,"Male")</f>
        <v>1914.37</v>
      </c>
    </row>
    <row r="162" spans="1:10" x14ac:dyDescent="0.25">
      <c r="C162" t="s">
        <v>99</v>
      </c>
    </row>
    <row r="163" spans="1:10" x14ac:dyDescent="0.25">
      <c r="C163">
        <f>SUMIFS(H150:H157,D150:D157,"Male",E150:E157,"Support")</f>
        <v>412.5</v>
      </c>
    </row>
    <row r="165" spans="1:10" x14ac:dyDescent="0.25">
      <c r="C165" t="s">
        <v>100</v>
      </c>
    </row>
    <row r="166" spans="1:10" x14ac:dyDescent="0.25">
      <c r="C166">
        <f>SUMIFS(H150:H157,D150:D157,"Female",F150:F157,"&gt;15")</f>
        <v>1066.77</v>
      </c>
    </row>
    <row r="170" spans="1:10" x14ac:dyDescent="0.25">
      <c r="B170" t="s">
        <v>103</v>
      </c>
      <c r="C170" s="1">
        <v>0.1</v>
      </c>
    </row>
    <row r="171" spans="1:10" x14ac:dyDescent="0.25">
      <c r="A171" t="s">
        <v>111</v>
      </c>
    </row>
    <row r="172" spans="1:10" x14ac:dyDescent="0.25">
      <c r="B172" t="s">
        <v>41</v>
      </c>
      <c r="C172" t="s">
        <v>104</v>
      </c>
      <c r="D172" t="s">
        <v>105</v>
      </c>
      <c r="E172" t="s">
        <v>106</v>
      </c>
      <c r="F172" t="s">
        <v>107</v>
      </c>
      <c r="H172" t="s">
        <v>108</v>
      </c>
      <c r="I172">
        <f>SUM(F173:F178)</f>
        <v>-1569.099229436647</v>
      </c>
      <c r="J172" s="1">
        <f>NPV(C170,E174:E178)+E173</f>
        <v>-1569.0992294366442</v>
      </c>
    </row>
    <row r="173" spans="1:10" x14ac:dyDescent="0.25">
      <c r="B173" t="s">
        <v>110</v>
      </c>
      <c r="D173">
        <v>30000</v>
      </c>
      <c r="E173">
        <v>-30000</v>
      </c>
      <c r="F173">
        <v>-30000</v>
      </c>
      <c r="H173" t="s">
        <v>109</v>
      </c>
      <c r="I173" s="1">
        <f>IRR(E173:E178)</f>
        <v>7.9308261160397242E-2</v>
      </c>
    </row>
    <row r="174" spans="1:10" x14ac:dyDescent="0.25">
      <c r="B174">
        <v>1</v>
      </c>
      <c r="C174">
        <v>10000</v>
      </c>
      <c r="D174">
        <v>2500</v>
      </c>
      <c r="E174">
        <v>7500</v>
      </c>
      <c r="F174">
        <f>E174/POWER((1+$C$170),B174)</f>
        <v>6818.181818181818</v>
      </c>
    </row>
    <row r="175" spans="1:10" x14ac:dyDescent="0.25">
      <c r="B175">
        <v>2</v>
      </c>
      <c r="C175">
        <v>10000</v>
      </c>
      <c r="D175">
        <v>2500</v>
      </c>
      <c r="E175">
        <v>7500</v>
      </c>
      <c r="F175">
        <f t="shared" ref="F175:F178" si="35">E175/POWER((1+$C$170),B175)</f>
        <v>6198.3471074380159</v>
      </c>
    </row>
    <row r="176" spans="1:10" x14ac:dyDescent="0.25">
      <c r="B176">
        <v>3</v>
      </c>
      <c r="C176">
        <v>10000</v>
      </c>
      <c r="D176">
        <v>2500</v>
      </c>
      <c r="E176">
        <v>7500</v>
      </c>
      <c r="F176">
        <f t="shared" si="35"/>
        <v>5634.861006761831</v>
      </c>
    </row>
    <row r="177" spans="1:7" x14ac:dyDescent="0.25">
      <c r="B177">
        <v>4</v>
      </c>
      <c r="C177">
        <v>10000</v>
      </c>
      <c r="D177">
        <v>2500</v>
      </c>
      <c r="E177">
        <v>7500</v>
      </c>
      <c r="F177">
        <f t="shared" si="35"/>
        <v>5122.6009152380284</v>
      </c>
    </row>
    <row r="178" spans="1:7" x14ac:dyDescent="0.25">
      <c r="B178">
        <v>5</v>
      </c>
      <c r="C178">
        <v>10000</v>
      </c>
      <c r="D178">
        <v>2500</v>
      </c>
      <c r="E178">
        <v>7500</v>
      </c>
      <c r="F178">
        <f t="shared" si="35"/>
        <v>4656.9099229436624</v>
      </c>
    </row>
    <row r="182" spans="1:7" x14ac:dyDescent="0.25">
      <c r="A182" t="s">
        <v>112</v>
      </c>
    </row>
    <row r="183" spans="1:7" x14ac:dyDescent="0.25">
      <c r="A183" t="s">
        <v>113</v>
      </c>
      <c r="B183" s="12">
        <v>16000</v>
      </c>
    </row>
    <row r="184" spans="1:7" x14ac:dyDescent="0.25">
      <c r="A184" t="s">
        <v>114</v>
      </c>
      <c r="B184" s="1">
        <v>0.1</v>
      </c>
    </row>
    <row r="185" spans="1:7" x14ac:dyDescent="0.25">
      <c r="A185" t="s">
        <v>115</v>
      </c>
      <c r="B185">
        <v>5</v>
      </c>
    </row>
    <row r="186" spans="1:7" x14ac:dyDescent="0.25">
      <c r="A186" t="s">
        <v>116</v>
      </c>
      <c r="B186">
        <v>0</v>
      </c>
    </row>
    <row r="187" spans="1:7" x14ac:dyDescent="0.25">
      <c r="A187" t="s">
        <v>117</v>
      </c>
      <c r="B187" s="14">
        <f>PMT(B184/12,B185*12,B183,0,0)</f>
        <v>-339.95271538029237</v>
      </c>
    </row>
    <row r="189" spans="1:7" x14ac:dyDescent="0.25">
      <c r="C189" t="s">
        <v>119</v>
      </c>
      <c r="D189" t="s">
        <v>120</v>
      </c>
      <c r="E189" t="s">
        <v>121</v>
      </c>
    </row>
    <row r="190" spans="1:7" x14ac:dyDescent="0.25">
      <c r="A190" t="s">
        <v>118</v>
      </c>
      <c r="B190">
        <v>3</v>
      </c>
      <c r="C190">
        <v>4</v>
      </c>
      <c r="D190">
        <v>5</v>
      </c>
      <c r="E190">
        <v>6</v>
      </c>
      <c r="F190">
        <v>7</v>
      </c>
      <c r="G190">
        <v>8</v>
      </c>
    </row>
    <row r="191" spans="1:7" x14ac:dyDescent="0.25">
      <c r="A191" s="13">
        <v>7.0000000000000007E-2</v>
      </c>
      <c r="B191" s="14">
        <f>PMT($A191/12,B$190*12,$B$183)</f>
        <v>-494.03354984595109</v>
      </c>
      <c r="C191" s="14">
        <f t="shared" ref="C191:G198" si="36">PMT($A191/12,C$190*12,$B$183)</f>
        <v>-383.13991459908652</v>
      </c>
      <c r="D191" s="14">
        <f t="shared" si="36"/>
        <v>-316.81917664559256</v>
      </c>
      <c r="E191" s="14">
        <f t="shared" si="36"/>
        <v>-272.78410355151391</v>
      </c>
      <c r="F191" s="14">
        <f t="shared" si="36"/>
        <v>-241.48287971503029</v>
      </c>
      <c r="G191" s="14">
        <f>PMT($A191/12,G$190*12,$B$183)</f>
        <v>-218.1394732880504</v>
      </c>
    </row>
    <row r="192" spans="1:7" x14ac:dyDescent="0.25">
      <c r="A192" s="13">
        <v>7.4999999999999997E-2</v>
      </c>
      <c r="B192" s="14">
        <f t="shared" ref="B192:B198" si="37">PMT($A192/12,B$190*12,$B$183)</f>
        <v>-497.69949057050292</v>
      </c>
      <c r="C192" s="14">
        <f t="shared" si="36"/>
        <v>-386.86243100369973</v>
      </c>
      <c r="D192" s="14">
        <f t="shared" si="36"/>
        <v>-320.60717752998022</v>
      </c>
      <c r="E192" s="14">
        <f t="shared" si="36"/>
        <v>-276.64179670886847</v>
      </c>
      <c r="F192" s="14">
        <f t="shared" si="36"/>
        <v>-245.41241365000076</v>
      </c>
      <c r="G192" s="14">
        <f t="shared" si="36"/>
        <v>-222.14192908981383</v>
      </c>
    </row>
    <row r="193" spans="1:7" x14ac:dyDescent="0.25">
      <c r="A193" s="13">
        <v>0.08</v>
      </c>
      <c r="B193" s="14">
        <f t="shared" si="37"/>
        <v>-501.38184738289362</v>
      </c>
      <c r="C193" s="14">
        <f t="shared" si="36"/>
        <v>-390.60675746403973</v>
      </c>
      <c r="D193" s="14">
        <f t="shared" si="36"/>
        <v>-324.42230861461888</v>
      </c>
      <c r="E193" s="14">
        <f t="shared" si="36"/>
        <v>-280.53184979124467</v>
      </c>
      <c r="F193" s="14">
        <f t="shared" si="36"/>
        <v>-249.37943044271265</v>
      </c>
      <c r="G193" s="14">
        <f t="shared" si="36"/>
        <v>-226.18686807271686</v>
      </c>
    </row>
    <row r="194" spans="1:7" x14ac:dyDescent="0.25">
      <c r="A194" s="13">
        <v>8.5000000000000006E-2</v>
      </c>
      <c r="B194" s="14">
        <f t="shared" si="37"/>
        <v>-505.08059877691835</v>
      </c>
      <c r="C194" s="14">
        <f t="shared" si="36"/>
        <v>-394.37285374137133</v>
      </c>
      <c r="D194" s="14">
        <f t="shared" si="36"/>
        <v>-328.26450123282001</v>
      </c>
      <c r="E194" s="14">
        <f t="shared" si="36"/>
        <v>-284.45415384431823</v>
      </c>
      <c r="F194" s="14">
        <f t="shared" si="36"/>
        <v>-253.38376699425112</v>
      </c>
      <c r="G194" s="14">
        <f t="shared" si="36"/>
        <v>-230.27405733272511</v>
      </c>
    </row>
    <row r="195" spans="1:7" x14ac:dyDescent="0.25">
      <c r="A195" s="13">
        <v>0.09</v>
      </c>
      <c r="B195" s="14">
        <f t="shared" si="37"/>
        <v>-508.795722559051</v>
      </c>
      <c r="C195" s="14">
        <f t="shared" si="36"/>
        <v>-398.16067798294733</v>
      </c>
      <c r="D195" s="14">
        <f t="shared" si="36"/>
        <v>-332.13368362166409</v>
      </c>
      <c r="E195" s="14">
        <f t="shared" si="36"/>
        <v>-288.40859469234937</v>
      </c>
      <c r="F195" s="14">
        <f t="shared" si="36"/>
        <v>-257.42525216061676</v>
      </c>
      <c r="G195" s="14">
        <f t="shared" si="36"/>
        <v>-234.40325237908746</v>
      </c>
    </row>
    <row r="196" spans="1:7" x14ac:dyDescent="0.25">
      <c r="A196" s="13">
        <v>9.5000000000000001E-2</v>
      </c>
      <c r="B196" s="14">
        <f t="shared" si="37"/>
        <v>-512.52719585250702</v>
      </c>
      <c r="C196" s="14">
        <f t="shared" si="36"/>
        <v>-401.97018673497126</v>
      </c>
      <c r="D196" s="14">
        <f t="shared" si="36"/>
        <v>-336.02978095544813</v>
      </c>
      <c r="E196" s="14">
        <f t="shared" si="36"/>
        <v>-292.39505301257486</v>
      </c>
      <c r="F196" s="14">
        <f t="shared" si="36"/>
        <v>-261.50370690077472</v>
      </c>
      <c r="G196" s="14">
        <f t="shared" si="36"/>
        <v>-238.57419740447858</v>
      </c>
    </row>
    <row r="197" spans="1:7" x14ac:dyDescent="0.25">
      <c r="A197" s="13">
        <v>0.1</v>
      </c>
      <c r="B197" s="14">
        <f t="shared" si="37"/>
        <v>-516.27499510139978</v>
      </c>
      <c r="C197" s="14">
        <f t="shared" si="36"/>
        <v>-405.80133495595504</v>
      </c>
      <c r="D197" s="14">
        <f t="shared" si="36"/>
        <v>-339.95271538029237</v>
      </c>
      <c r="E197" s="14">
        <f t="shared" si="36"/>
        <v>-296.41340441232768</v>
      </c>
      <c r="F197" s="14">
        <f t="shared" si="36"/>
        <v>-265.61894443017451</v>
      </c>
      <c r="G197" s="14">
        <f t="shared" si="36"/>
        <v>-242.7866255648693</v>
      </c>
    </row>
    <row r="198" spans="1:7" x14ac:dyDescent="0.25">
      <c r="A198" s="13">
        <v>0.105</v>
      </c>
      <c r="B198" s="14">
        <f t="shared" si="37"/>
        <v>-520.03909607499088</v>
      </c>
      <c r="C198" s="14">
        <f t="shared" si="36"/>
        <v>-409.65407603046452</v>
      </c>
      <c r="D198" s="14">
        <f t="shared" si="36"/>
        <v>-343.90240604987935</v>
      </c>
      <c r="E198" s="14">
        <f t="shared" si="36"/>
        <v>-300.46351950879119</v>
      </c>
      <c r="F198" s="14">
        <f t="shared" si="36"/>
        <v>-269.77077037949817</v>
      </c>
      <c r="G198" s="14">
        <f t="shared" si="36"/>
        <v>-247.04025926855314</v>
      </c>
    </row>
    <row r="202" spans="1:7" x14ac:dyDescent="0.25">
      <c r="A202" t="s">
        <v>114</v>
      </c>
      <c r="B202" s="1">
        <v>0.1</v>
      </c>
    </row>
    <row r="204" spans="1:7" x14ac:dyDescent="0.25">
      <c r="A204" t="s">
        <v>41</v>
      </c>
      <c r="B204" t="s">
        <v>122</v>
      </c>
      <c r="C204" t="s">
        <v>123</v>
      </c>
      <c r="E204" t="s">
        <v>124</v>
      </c>
      <c r="F204" s="12">
        <v>6000</v>
      </c>
    </row>
    <row r="205" spans="1:7" x14ac:dyDescent="0.25">
      <c r="A205">
        <v>1</v>
      </c>
      <c r="B205" s="15">
        <v>60000</v>
      </c>
      <c r="C205" s="15">
        <f>B205*POWER((1+$B$202),$A$214-A205+1)</f>
        <v>155624.54760600012</v>
      </c>
      <c r="E205" t="s">
        <v>114</v>
      </c>
      <c r="F205" s="1">
        <v>0.1</v>
      </c>
    </row>
    <row r="206" spans="1:7" x14ac:dyDescent="0.25">
      <c r="A206">
        <v>2</v>
      </c>
      <c r="B206" s="15">
        <v>60000</v>
      </c>
      <c r="C206" s="15">
        <f t="shared" ref="C206:C214" si="38">B206*POWER((1+$B$202),$A$214-A206+1)</f>
        <v>141476.86146000007</v>
      </c>
      <c r="E206" t="s">
        <v>115</v>
      </c>
      <c r="F206">
        <v>10</v>
      </c>
    </row>
    <row r="207" spans="1:7" x14ac:dyDescent="0.25">
      <c r="A207">
        <v>3</v>
      </c>
      <c r="B207" s="15">
        <v>60000</v>
      </c>
      <c r="C207" s="15">
        <f t="shared" si="38"/>
        <v>128615.32860000007</v>
      </c>
      <c r="E207" t="s">
        <v>116</v>
      </c>
      <c r="F207" s="14">
        <f>FV(F205,F206,-F204)</f>
        <v>95624.547606000109</v>
      </c>
    </row>
    <row r="208" spans="1:7" x14ac:dyDescent="0.25">
      <c r="A208">
        <v>4</v>
      </c>
      <c r="B208" s="15">
        <v>60000</v>
      </c>
      <c r="C208" s="15">
        <f t="shared" si="38"/>
        <v>116923.02600000007</v>
      </c>
    </row>
    <row r="209" spans="1:16" x14ac:dyDescent="0.25">
      <c r="A209">
        <v>5</v>
      </c>
      <c r="B209" s="15">
        <v>60000</v>
      </c>
      <c r="C209" s="15">
        <f t="shared" si="38"/>
        <v>106293.66000000005</v>
      </c>
    </row>
    <row r="210" spans="1:16" x14ac:dyDescent="0.25">
      <c r="A210">
        <v>6</v>
      </c>
      <c r="B210" s="15">
        <v>60000</v>
      </c>
      <c r="C210" s="15">
        <f t="shared" si="38"/>
        <v>96630.600000000035</v>
      </c>
    </row>
    <row r="211" spans="1:16" x14ac:dyDescent="0.25">
      <c r="A211">
        <v>7</v>
      </c>
      <c r="B211" s="15">
        <v>60000</v>
      </c>
      <c r="C211" s="15">
        <f t="shared" si="38"/>
        <v>87846.000000000029</v>
      </c>
    </row>
    <row r="212" spans="1:16" x14ac:dyDescent="0.25">
      <c r="A212">
        <v>8</v>
      </c>
      <c r="B212" s="15">
        <v>60000</v>
      </c>
      <c r="C212" s="15">
        <f t="shared" si="38"/>
        <v>79860.000000000029</v>
      </c>
    </row>
    <row r="213" spans="1:16" x14ac:dyDescent="0.25">
      <c r="A213">
        <v>9</v>
      </c>
      <c r="B213" s="15">
        <v>60000</v>
      </c>
      <c r="C213" s="15">
        <f t="shared" si="38"/>
        <v>72600.000000000015</v>
      </c>
    </row>
    <row r="214" spans="1:16" x14ac:dyDescent="0.25">
      <c r="A214">
        <v>10</v>
      </c>
      <c r="B214" s="15">
        <v>60000</v>
      </c>
      <c r="C214" s="15">
        <f t="shared" si="38"/>
        <v>66000</v>
      </c>
    </row>
    <row r="221" spans="1:16" x14ac:dyDescent="0.25">
      <c r="A221" t="s">
        <v>125</v>
      </c>
      <c r="K221" t="s">
        <v>130</v>
      </c>
    </row>
    <row r="222" spans="1:16" x14ac:dyDescent="0.25">
      <c r="A222" t="s">
        <v>126</v>
      </c>
      <c r="B222" t="s">
        <v>127</v>
      </c>
      <c r="C222" t="s">
        <v>128</v>
      </c>
      <c r="D222" t="s">
        <v>129</v>
      </c>
      <c r="K222" t="s">
        <v>126</v>
      </c>
      <c r="L222" t="s">
        <v>50</v>
      </c>
      <c r="M222" t="s">
        <v>24</v>
      </c>
      <c r="N222" t="s">
        <v>131</v>
      </c>
      <c r="O222" t="s">
        <v>132</v>
      </c>
      <c r="P222" t="s">
        <v>154</v>
      </c>
    </row>
    <row r="223" spans="1:16" x14ac:dyDescent="0.25">
      <c r="A223">
        <v>1</v>
      </c>
      <c r="B223">
        <v>4010</v>
      </c>
      <c r="C223">
        <v>4</v>
      </c>
      <c r="D223">
        <v>2300</v>
      </c>
      <c r="K223">
        <v>1</v>
      </c>
      <c r="L223" t="s">
        <v>144</v>
      </c>
      <c r="M223" t="s">
        <v>145</v>
      </c>
      <c r="N223">
        <v>33</v>
      </c>
      <c r="O223" t="s">
        <v>147</v>
      </c>
      <c r="P223">
        <v>21</v>
      </c>
    </row>
    <row r="224" spans="1:16" x14ac:dyDescent="0.25">
      <c r="A224">
        <v>2</v>
      </c>
      <c r="B224">
        <v>1001</v>
      </c>
      <c r="C224">
        <v>1</v>
      </c>
      <c r="D224">
        <v>1500</v>
      </c>
      <c r="K224">
        <v>2</v>
      </c>
      <c r="L224" t="s">
        <v>143</v>
      </c>
      <c r="M224" t="s">
        <v>145</v>
      </c>
      <c r="N224">
        <v>30</v>
      </c>
      <c r="O224" t="s">
        <v>148</v>
      </c>
      <c r="P224">
        <v>10</v>
      </c>
    </row>
    <row r="225" spans="1:16" x14ac:dyDescent="0.25">
      <c r="A225">
        <v>3</v>
      </c>
      <c r="B225">
        <v>2030</v>
      </c>
      <c r="C225">
        <v>2</v>
      </c>
      <c r="D225">
        <v>5200</v>
      </c>
      <c r="K225">
        <v>3</v>
      </c>
      <c r="L225" t="s">
        <v>142</v>
      </c>
      <c r="M225" t="s">
        <v>146</v>
      </c>
      <c r="N225">
        <v>28</v>
      </c>
      <c r="O225" t="s">
        <v>149</v>
      </c>
      <c r="P225">
        <v>3</v>
      </c>
    </row>
    <row r="226" spans="1:16" x14ac:dyDescent="0.25">
      <c r="A226">
        <v>4</v>
      </c>
      <c r="B226">
        <v>1020</v>
      </c>
      <c r="C226">
        <v>1</v>
      </c>
      <c r="D226">
        <v>5600</v>
      </c>
      <c r="K226">
        <v>4</v>
      </c>
      <c r="L226" t="s">
        <v>141</v>
      </c>
      <c r="M226" t="s">
        <v>146</v>
      </c>
      <c r="N226">
        <v>36</v>
      </c>
      <c r="O226" t="s">
        <v>150</v>
      </c>
      <c r="P226">
        <v>5</v>
      </c>
    </row>
    <row r="227" spans="1:16" x14ac:dyDescent="0.25">
      <c r="A227">
        <v>5</v>
      </c>
      <c r="B227">
        <v>1025</v>
      </c>
      <c r="C227">
        <v>1</v>
      </c>
      <c r="D227">
        <v>18400</v>
      </c>
      <c r="K227">
        <v>5</v>
      </c>
      <c r="L227" t="s">
        <v>140</v>
      </c>
      <c r="M227" t="s">
        <v>145</v>
      </c>
      <c r="N227">
        <v>30</v>
      </c>
      <c r="O227" t="s">
        <v>147</v>
      </c>
      <c r="P227">
        <v>3</v>
      </c>
    </row>
    <row r="228" spans="1:16" x14ac:dyDescent="0.25">
      <c r="A228">
        <v>6</v>
      </c>
      <c r="B228">
        <v>4003</v>
      </c>
      <c r="C228">
        <v>4</v>
      </c>
      <c r="D228">
        <v>1500</v>
      </c>
      <c r="K228">
        <v>6</v>
      </c>
      <c r="L228" t="s">
        <v>139</v>
      </c>
      <c r="M228" t="s">
        <v>145</v>
      </c>
      <c r="N228">
        <v>35</v>
      </c>
      <c r="O228" t="s">
        <v>147</v>
      </c>
      <c r="P228">
        <v>21</v>
      </c>
    </row>
    <row r="229" spans="1:16" x14ac:dyDescent="0.25">
      <c r="A229">
        <v>7</v>
      </c>
      <c r="B229">
        <v>1090</v>
      </c>
      <c r="C229">
        <v>1</v>
      </c>
      <c r="D229">
        <v>17600</v>
      </c>
      <c r="K229">
        <v>7</v>
      </c>
      <c r="L229" t="s">
        <v>138</v>
      </c>
      <c r="M229" t="s">
        <v>146</v>
      </c>
      <c r="N229">
        <v>32</v>
      </c>
      <c r="O229" t="s">
        <v>147</v>
      </c>
      <c r="P229">
        <v>11</v>
      </c>
    </row>
    <row r="230" spans="1:16" x14ac:dyDescent="0.25">
      <c r="A230">
        <v>8</v>
      </c>
      <c r="B230">
        <v>4123</v>
      </c>
      <c r="C230">
        <v>4</v>
      </c>
      <c r="D230">
        <v>3000</v>
      </c>
      <c r="K230">
        <v>8</v>
      </c>
      <c r="L230" t="s">
        <v>137</v>
      </c>
      <c r="M230" t="s">
        <v>145</v>
      </c>
      <c r="N230">
        <v>47</v>
      </c>
      <c r="O230" t="s">
        <v>151</v>
      </c>
      <c r="P230">
        <v>20</v>
      </c>
    </row>
    <row r="231" spans="1:16" x14ac:dyDescent="0.25">
      <c r="A231">
        <v>9</v>
      </c>
      <c r="B231">
        <v>1111</v>
      </c>
      <c r="C231">
        <v>1</v>
      </c>
      <c r="D231">
        <v>9600</v>
      </c>
      <c r="K231">
        <v>9</v>
      </c>
      <c r="L231" t="s">
        <v>136</v>
      </c>
      <c r="M231" t="s">
        <v>146</v>
      </c>
      <c r="N231">
        <v>29</v>
      </c>
      <c r="O231" t="s">
        <v>148</v>
      </c>
      <c r="P231">
        <v>15</v>
      </c>
    </row>
    <row r="232" spans="1:16" x14ac:dyDescent="0.25">
      <c r="A232">
        <v>10</v>
      </c>
      <c r="B232">
        <v>1123</v>
      </c>
      <c r="C232">
        <v>1</v>
      </c>
      <c r="D232">
        <v>15800</v>
      </c>
      <c r="K232">
        <v>10</v>
      </c>
      <c r="L232" t="s">
        <v>135</v>
      </c>
      <c r="M232" t="s">
        <v>145</v>
      </c>
      <c r="N232">
        <v>28</v>
      </c>
      <c r="O232" t="s">
        <v>152</v>
      </c>
      <c r="P232">
        <v>0</v>
      </c>
    </row>
    <row r="233" spans="1:16" x14ac:dyDescent="0.25">
      <c r="A233">
        <v>11</v>
      </c>
      <c r="B233">
        <v>1233</v>
      </c>
      <c r="C233">
        <v>1</v>
      </c>
      <c r="D233">
        <v>6300</v>
      </c>
      <c r="K233">
        <v>11</v>
      </c>
      <c r="L233" t="s">
        <v>134</v>
      </c>
      <c r="M233" t="s">
        <v>145</v>
      </c>
      <c r="N233">
        <v>38</v>
      </c>
      <c r="O233" t="s">
        <v>153</v>
      </c>
      <c r="P233">
        <v>21</v>
      </c>
    </row>
    <row r="234" spans="1:16" x14ac:dyDescent="0.25">
      <c r="A234">
        <v>12</v>
      </c>
      <c r="B234">
        <v>3456</v>
      </c>
      <c r="C234">
        <v>3</v>
      </c>
      <c r="D234">
        <v>18400</v>
      </c>
      <c r="K234">
        <v>12</v>
      </c>
      <c r="L234" t="s">
        <v>133</v>
      </c>
      <c r="M234" t="s">
        <v>145</v>
      </c>
      <c r="N234">
        <v>36</v>
      </c>
      <c r="O234" t="s">
        <v>150</v>
      </c>
      <c r="P234">
        <v>20</v>
      </c>
    </row>
    <row r="236" spans="1:16" x14ac:dyDescent="0.25">
      <c r="A236" t="s">
        <v>155</v>
      </c>
    </row>
    <row r="237" spans="1:16" x14ac:dyDescent="0.25">
      <c r="A237" t="s">
        <v>128</v>
      </c>
      <c r="B237">
        <v>1</v>
      </c>
      <c r="C237">
        <v>2</v>
      </c>
      <c r="D237">
        <v>3</v>
      </c>
      <c r="E237">
        <v>4</v>
      </c>
    </row>
    <row r="238" spans="1:16" x14ac:dyDescent="0.25">
      <c r="A238" t="s">
        <v>156</v>
      </c>
      <c r="B238" t="s">
        <v>157</v>
      </c>
      <c r="C238" t="s">
        <v>160</v>
      </c>
      <c r="D238" t="s">
        <v>159</v>
      </c>
      <c r="E238" t="s">
        <v>158</v>
      </c>
    </row>
    <row r="242" spans="2:10" x14ac:dyDescent="0.25">
      <c r="B242" t="s">
        <v>126</v>
      </c>
      <c r="C242" t="s">
        <v>127</v>
      </c>
      <c r="D242" t="s">
        <v>128</v>
      </c>
      <c r="E242" t="s">
        <v>129</v>
      </c>
      <c r="F242" t="s">
        <v>50</v>
      </c>
      <c r="G242" t="s">
        <v>24</v>
      </c>
      <c r="H242" t="s">
        <v>131</v>
      </c>
      <c r="I242" t="s">
        <v>132</v>
      </c>
      <c r="J242" t="s">
        <v>156</v>
      </c>
    </row>
    <row r="243" spans="2:10" x14ac:dyDescent="0.25">
      <c r="B243">
        <v>1</v>
      </c>
      <c r="C243">
        <v>4010</v>
      </c>
      <c r="D243">
        <v>4</v>
      </c>
      <c r="E243">
        <v>2300</v>
      </c>
      <c r="F243" t="str">
        <f>VLOOKUP(B243,$K$223:$O$234,2,0)</f>
        <v>Joe</v>
      </c>
      <c r="G243" t="str">
        <f>VLOOKUP(B243,$K$223:$O$234,3,0)</f>
        <v>M</v>
      </c>
      <c r="H243">
        <f>VLOOKUP(B243,$K$223:$O$234,4,0)</f>
        <v>33</v>
      </c>
      <c r="I243" t="str">
        <f>VLOOKUP(B243,$K$223:$O$234,5,0)</f>
        <v>London</v>
      </c>
      <c r="J243" t="str">
        <f>HLOOKUP(D243,$A$237:$E$238,2,0)</f>
        <v>Protection</v>
      </c>
    </row>
    <row r="244" spans="2:10" x14ac:dyDescent="0.25">
      <c r="B244">
        <v>2</v>
      </c>
      <c r="C244">
        <v>1001</v>
      </c>
      <c r="D244">
        <v>1</v>
      </c>
      <c r="E244">
        <v>1500</v>
      </c>
      <c r="F244" t="str">
        <f t="shared" ref="F244:F254" si="39">VLOOKUP(B244,$K$223:$O$234,2,0)</f>
        <v>Jon</v>
      </c>
      <c r="G244" t="str">
        <f t="shared" ref="G244:G254" si="40">VLOOKUP(B244,$K$223:$O$234,3,0)</f>
        <v>M</v>
      </c>
      <c r="H244">
        <f t="shared" ref="H244:H254" si="41">VLOOKUP(B244,$K$223:$O$234,4,0)</f>
        <v>30</v>
      </c>
      <c r="I244" t="str">
        <f t="shared" ref="I244:I254" si="42">VLOOKUP(B244,$K$223:$O$234,5,0)</f>
        <v>Nottingham</v>
      </c>
      <c r="J244" t="str">
        <f t="shared" ref="J244:J254" si="43">HLOOKUP(D244,$A$237:$E$238,2,0)</f>
        <v>Child Plan</v>
      </c>
    </row>
    <row r="245" spans="2:10" x14ac:dyDescent="0.25">
      <c r="B245">
        <v>3</v>
      </c>
      <c r="C245">
        <v>2030</v>
      </c>
      <c r="D245">
        <v>2</v>
      </c>
      <c r="E245">
        <v>5200</v>
      </c>
      <c r="F245" t="str">
        <f t="shared" si="39"/>
        <v>Catherine</v>
      </c>
      <c r="G245" t="str">
        <f t="shared" si="40"/>
        <v>F</v>
      </c>
      <c r="H245">
        <f t="shared" si="41"/>
        <v>28</v>
      </c>
      <c r="I245" t="str">
        <f t="shared" si="42"/>
        <v>Birmingham</v>
      </c>
      <c r="J245" t="str">
        <f t="shared" si="43"/>
        <v>Pension</v>
      </c>
    </row>
    <row r="246" spans="2:10" x14ac:dyDescent="0.25">
      <c r="B246">
        <v>4</v>
      </c>
      <c r="C246">
        <v>1020</v>
      </c>
      <c r="D246">
        <v>1</v>
      </c>
      <c r="E246">
        <v>5600</v>
      </c>
      <c r="F246" t="str">
        <f t="shared" si="39"/>
        <v>Lucy</v>
      </c>
      <c r="G246" t="str">
        <f t="shared" si="40"/>
        <v>F</v>
      </c>
      <c r="H246">
        <f t="shared" si="41"/>
        <v>36</v>
      </c>
      <c r="I246" t="str">
        <f t="shared" si="42"/>
        <v>Manchester</v>
      </c>
      <c r="J246" t="str">
        <f t="shared" si="43"/>
        <v>Child Plan</v>
      </c>
    </row>
    <row r="247" spans="2:10" x14ac:dyDescent="0.25">
      <c r="B247">
        <v>5</v>
      </c>
      <c r="C247">
        <v>1025</v>
      </c>
      <c r="D247">
        <v>1</v>
      </c>
      <c r="E247">
        <v>18400</v>
      </c>
      <c r="F247" t="str">
        <f t="shared" si="39"/>
        <v>Alex</v>
      </c>
      <c r="G247" t="str">
        <f t="shared" si="40"/>
        <v>M</v>
      </c>
      <c r="H247">
        <f t="shared" si="41"/>
        <v>30</v>
      </c>
      <c r="I247" t="str">
        <f t="shared" si="42"/>
        <v>London</v>
      </c>
      <c r="J247" t="str">
        <f t="shared" si="43"/>
        <v>Child Plan</v>
      </c>
    </row>
    <row r="248" spans="2:10" x14ac:dyDescent="0.25">
      <c r="B248">
        <v>6</v>
      </c>
      <c r="C248">
        <v>4003</v>
      </c>
      <c r="D248">
        <v>4</v>
      </c>
      <c r="E248">
        <v>1500</v>
      </c>
      <c r="F248" t="str">
        <f t="shared" si="39"/>
        <v>Andy</v>
      </c>
      <c r="G248" t="str">
        <f t="shared" si="40"/>
        <v>M</v>
      </c>
      <c r="H248">
        <f t="shared" si="41"/>
        <v>35</v>
      </c>
      <c r="I248" t="str">
        <f t="shared" si="42"/>
        <v>London</v>
      </c>
      <c r="J248" t="str">
        <f t="shared" si="43"/>
        <v>Protection</v>
      </c>
    </row>
    <row r="249" spans="2:10" x14ac:dyDescent="0.25">
      <c r="B249">
        <v>7</v>
      </c>
      <c r="C249">
        <v>1090</v>
      </c>
      <c r="D249">
        <v>1</v>
      </c>
      <c r="E249">
        <v>17600</v>
      </c>
      <c r="F249" t="str">
        <f t="shared" si="39"/>
        <v>Natasha</v>
      </c>
      <c r="G249" t="str">
        <f t="shared" si="40"/>
        <v>F</v>
      </c>
      <c r="H249">
        <f t="shared" si="41"/>
        <v>32</v>
      </c>
      <c r="I249" t="str">
        <f t="shared" si="42"/>
        <v>London</v>
      </c>
      <c r="J249" t="str">
        <f t="shared" si="43"/>
        <v>Child Plan</v>
      </c>
    </row>
    <row r="250" spans="2:10" x14ac:dyDescent="0.25">
      <c r="B250">
        <v>8</v>
      </c>
      <c r="C250">
        <v>4123</v>
      </c>
      <c r="D250">
        <v>4</v>
      </c>
      <c r="E250">
        <v>3000</v>
      </c>
      <c r="F250" t="str">
        <f t="shared" si="39"/>
        <v>Prasad</v>
      </c>
      <c r="G250" t="str">
        <f t="shared" si="40"/>
        <v>M</v>
      </c>
      <c r="H250">
        <f t="shared" si="41"/>
        <v>47</v>
      </c>
      <c r="I250" t="str">
        <f t="shared" si="42"/>
        <v>Edinburgh</v>
      </c>
      <c r="J250" t="str">
        <f t="shared" si="43"/>
        <v>Protection</v>
      </c>
    </row>
    <row r="251" spans="2:10" x14ac:dyDescent="0.25">
      <c r="B251">
        <v>9</v>
      </c>
      <c r="C251">
        <v>1111</v>
      </c>
      <c r="D251">
        <v>1</v>
      </c>
      <c r="E251">
        <v>9600</v>
      </c>
      <c r="F251" t="str">
        <f t="shared" si="39"/>
        <v>Rita</v>
      </c>
      <c r="G251" t="str">
        <f t="shared" si="40"/>
        <v>F</v>
      </c>
      <c r="H251">
        <f t="shared" si="41"/>
        <v>29</v>
      </c>
      <c r="I251" t="str">
        <f t="shared" si="42"/>
        <v>Nottingham</v>
      </c>
      <c r="J251" t="str">
        <f t="shared" si="43"/>
        <v>Child Plan</v>
      </c>
    </row>
    <row r="252" spans="2:10" x14ac:dyDescent="0.25">
      <c r="B252">
        <v>10</v>
      </c>
      <c r="C252">
        <v>1123</v>
      </c>
      <c r="D252">
        <v>1</v>
      </c>
      <c r="E252">
        <v>15800</v>
      </c>
      <c r="F252" t="str">
        <f t="shared" si="39"/>
        <v>Chris</v>
      </c>
      <c r="G252" t="str">
        <f t="shared" si="40"/>
        <v>M</v>
      </c>
      <c r="H252">
        <f t="shared" si="41"/>
        <v>28</v>
      </c>
      <c r="I252" t="str">
        <f t="shared" si="42"/>
        <v>Oxford</v>
      </c>
      <c r="J252" t="str">
        <f t="shared" si="43"/>
        <v>Child Plan</v>
      </c>
    </row>
    <row r="253" spans="2:10" x14ac:dyDescent="0.25">
      <c r="B253">
        <v>11</v>
      </c>
      <c r="C253">
        <v>1233</v>
      </c>
      <c r="D253">
        <v>1</v>
      </c>
      <c r="E253">
        <v>6300</v>
      </c>
      <c r="F253" t="str">
        <f t="shared" si="39"/>
        <v>Anthony</v>
      </c>
      <c r="G253" t="str">
        <f t="shared" si="40"/>
        <v>M</v>
      </c>
      <c r="H253">
        <f t="shared" si="41"/>
        <v>38</v>
      </c>
      <c r="I253" t="str">
        <f t="shared" si="42"/>
        <v>Brandford</v>
      </c>
      <c r="J253" t="str">
        <f t="shared" si="43"/>
        <v>Child Plan</v>
      </c>
    </row>
    <row r="254" spans="2:10" x14ac:dyDescent="0.25">
      <c r="B254">
        <v>12</v>
      </c>
      <c r="C254">
        <v>3456</v>
      </c>
      <c r="D254">
        <v>3</v>
      </c>
      <c r="E254">
        <v>18400</v>
      </c>
      <c r="F254" t="str">
        <f t="shared" si="39"/>
        <v>Mark</v>
      </c>
      <c r="G254" t="str">
        <f t="shared" si="40"/>
        <v>M</v>
      </c>
      <c r="H254">
        <f t="shared" si="41"/>
        <v>36</v>
      </c>
      <c r="I254" t="str">
        <f t="shared" si="42"/>
        <v>Manchester</v>
      </c>
      <c r="J254" t="str">
        <f t="shared" si="43"/>
        <v>Investment</v>
      </c>
    </row>
    <row r="260" spans="1:9" x14ac:dyDescent="0.25">
      <c r="A260" t="s">
        <v>21</v>
      </c>
      <c r="B260" t="s">
        <v>22</v>
      </c>
      <c r="C260" t="s">
        <v>27</v>
      </c>
      <c r="D260" t="s">
        <v>28</v>
      </c>
    </row>
    <row r="261" spans="1:9" x14ac:dyDescent="0.25">
      <c r="A261" t="s">
        <v>5</v>
      </c>
      <c r="B261" s="10">
        <v>41072</v>
      </c>
      <c r="C261">
        <v>8</v>
      </c>
      <c r="D261">
        <v>123.6</v>
      </c>
      <c r="F261" t="s">
        <v>21</v>
      </c>
      <c r="G261" t="s">
        <v>22</v>
      </c>
      <c r="H261" t="s">
        <v>161</v>
      </c>
    </row>
    <row r="262" spans="1:9" x14ac:dyDescent="0.25">
      <c r="A262" t="s">
        <v>6</v>
      </c>
      <c r="B262" s="10">
        <v>41552</v>
      </c>
      <c r="C262">
        <v>9</v>
      </c>
      <c r="D262">
        <v>123.75</v>
      </c>
      <c r="F262" t="s">
        <v>7</v>
      </c>
      <c r="G262">
        <f>VLOOKUP(F262,$A$261:$B$265,2,0)</f>
        <v>40929</v>
      </c>
      <c r="H262">
        <f>MATCH(F262,$A$261:$A$265,0)</f>
        <v>3</v>
      </c>
    </row>
    <row r="263" spans="1:9" x14ac:dyDescent="0.25">
      <c r="A263" t="s">
        <v>7</v>
      </c>
      <c r="B263" s="10">
        <v>40929</v>
      </c>
      <c r="C263">
        <v>18</v>
      </c>
      <c r="D263">
        <v>262.8</v>
      </c>
      <c r="F263" t="s">
        <v>98</v>
      </c>
      <c r="G263">
        <f>VLOOKUP(F263,$A$261:$B$265,2,0)</f>
        <v>41001</v>
      </c>
      <c r="H263">
        <f>MATCH(F263,$A$261:$A$265,0)</f>
        <v>5</v>
      </c>
    </row>
    <row r="264" spans="1:9" x14ac:dyDescent="0.25">
      <c r="A264" t="s">
        <v>61</v>
      </c>
      <c r="B264" s="10">
        <v>41203</v>
      </c>
      <c r="C264">
        <v>32</v>
      </c>
      <c r="D264">
        <v>495.68</v>
      </c>
    </row>
    <row r="265" spans="1:9" x14ac:dyDescent="0.25">
      <c r="A265" t="s">
        <v>98</v>
      </c>
      <c r="B265" s="10">
        <v>41001</v>
      </c>
      <c r="C265">
        <v>38</v>
      </c>
      <c r="D265">
        <v>468.54</v>
      </c>
    </row>
    <row r="269" spans="1:9" x14ac:dyDescent="0.25">
      <c r="A269" t="s">
        <v>162</v>
      </c>
      <c r="F269" t="s">
        <v>165</v>
      </c>
    </row>
    <row r="271" spans="1:9" x14ac:dyDescent="0.25">
      <c r="A271" t="s">
        <v>163</v>
      </c>
      <c r="C271" t="s">
        <v>164</v>
      </c>
      <c r="D271" t="s">
        <v>161</v>
      </c>
      <c r="F271" t="s">
        <v>163</v>
      </c>
      <c r="H271" t="s">
        <v>164</v>
      </c>
      <c r="I271" t="s">
        <v>161</v>
      </c>
    </row>
    <row r="272" spans="1:9" x14ac:dyDescent="0.25">
      <c r="A272">
        <v>47</v>
      </c>
      <c r="C272">
        <v>5</v>
      </c>
      <c r="D272">
        <f>MATCH(C272,$A$272:$A$280,-1)</f>
        <v>8</v>
      </c>
      <c r="F272">
        <v>4</v>
      </c>
      <c r="H272">
        <v>5</v>
      </c>
      <c r="I272">
        <f>MATCH(H272,$F$272:$F$280,1)</f>
        <v>1</v>
      </c>
    </row>
    <row r="273" spans="1:9" x14ac:dyDescent="0.25">
      <c r="A273">
        <v>42</v>
      </c>
      <c r="C273">
        <v>25</v>
      </c>
      <c r="D273">
        <f t="shared" ref="D273:D275" si="44">MATCH(C273,$A$272:$A$280,-1)</f>
        <v>6</v>
      </c>
      <c r="F273">
        <v>19</v>
      </c>
      <c r="H273">
        <v>25</v>
      </c>
      <c r="I273">
        <f t="shared" ref="I273:I275" si="45">MATCH(H273,$F$272:$F$280,1)</f>
        <v>3</v>
      </c>
    </row>
    <row r="274" spans="1:9" x14ac:dyDescent="0.25">
      <c r="A274">
        <v>38</v>
      </c>
      <c r="C274">
        <v>35</v>
      </c>
      <c r="D274">
        <f t="shared" si="44"/>
        <v>3</v>
      </c>
      <c r="F274">
        <v>22</v>
      </c>
      <c r="H274">
        <v>35</v>
      </c>
      <c r="I274">
        <f t="shared" si="45"/>
        <v>6</v>
      </c>
    </row>
    <row r="275" spans="1:9" x14ac:dyDescent="0.25">
      <c r="A275">
        <v>34</v>
      </c>
      <c r="C275">
        <v>20</v>
      </c>
      <c r="D275">
        <f t="shared" si="44"/>
        <v>7</v>
      </c>
      <c r="F275">
        <v>27</v>
      </c>
      <c r="H275">
        <v>20</v>
      </c>
      <c r="I275">
        <f t="shared" si="45"/>
        <v>2</v>
      </c>
    </row>
    <row r="276" spans="1:9" x14ac:dyDescent="0.25">
      <c r="A276">
        <v>31</v>
      </c>
      <c r="F276">
        <v>31</v>
      </c>
    </row>
    <row r="277" spans="1:9" x14ac:dyDescent="0.25">
      <c r="A277">
        <v>27</v>
      </c>
      <c r="F277">
        <v>34</v>
      </c>
    </row>
    <row r="278" spans="1:9" x14ac:dyDescent="0.25">
      <c r="A278">
        <v>22</v>
      </c>
      <c r="F278">
        <v>38</v>
      </c>
    </row>
    <row r="279" spans="1:9" x14ac:dyDescent="0.25">
      <c r="A279">
        <v>15</v>
      </c>
      <c r="F279">
        <v>42</v>
      </c>
    </row>
    <row r="280" spans="1:9" x14ac:dyDescent="0.25">
      <c r="A280">
        <v>4</v>
      </c>
      <c r="F280">
        <v>47</v>
      </c>
    </row>
    <row r="284" spans="1:9" x14ac:dyDescent="0.25">
      <c r="B284" t="s">
        <v>166</v>
      </c>
      <c r="E284" t="s">
        <v>167</v>
      </c>
    </row>
    <row r="285" spans="1:9" x14ac:dyDescent="0.25">
      <c r="A285">
        <v>7</v>
      </c>
      <c r="B285">
        <v>14</v>
      </c>
      <c r="C285">
        <v>15</v>
      </c>
      <c r="E285">
        <f>INDEX($A$285:$C$291,4,2)</f>
        <v>22</v>
      </c>
    </row>
    <row r="286" spans="1:9" x14ac:dyDescent="0.25">
      <c r="A286">
        <v>8</v>
      </c>
      <c r="B286">
        <v>16</v>
      </c>
      <c r="C286">
        <v>17</v>
      </c>
    </row>
    <row r="287" spans="1:9" x14ac:dyDescent="0.25">
      <c r="A287">
        <v>9</v>
      </c>
      <c r="B287">
        <v>18</v>
      </c>
      <c r="C287">
        <v>19</v>
      </c>
    </row>
    <row r="288" spans="1:9" x14ac:dyDescent="0.25">
      <c r="A288">
        <v>11</v>
      </c>
      <c r="B288">
        <v>22</v>
      </c>
      <c r="C288">
        <v>23</v>
      </c>
    </row>
    <row r="289" spans="1:8" x14ac:dyDescent="0.25">
      <c r="A289">
        <v>13</v>
      </c>
      <c r="B289">
        <v>26</v>
      </c>
      <c r="C289">
        <v>27</v>
      </c>
    </row>
    <row r="290" spans="1:8" x14ac:dyDescent="0.25">
      <c r="A290">
        <v>17</v>
      </c>
      <c r="B290">
        <v>34</v>
      </c>
      <c r="C290">
        <v>35</v>
      </c>
    </row>
    <row r="291" spans="1:8" x14ac:dyDescent="0.25">
      <c r="A291">
        <v>19</v>
      </c>
      <c r="B291">
        <v>38</v>
      </c>
      <c r="C291">
        <v>39</v>
      </c>
    </row>
    <row r="293" spans="1:8" x14ac:dyDescent="0.25">
      <c r="A293" t="s">
        <v>50</v>
      </c>
      <c r="B293" t="s">
        <v>21</v>
      </c>
      <c r="C293" t="s">
        <v>27</v>
      </c>
      <c r="D293" t="s">
        <v>28</v>
      </c>
      <c r="F293" t="s">
        <v>21</v>
      </c>
      <c r="G293" t="s">
        <v>161</v>
      </c>
      <c r="H293" t="s">
        <v>50</v>
      </c>
    </row>
    <row r="294" spans="1:8" x14ac:dyDescent="0.25">
      <c r="A294" t="s">
        <v>168</v>
      </c>
      <c r="B294" t="s">
        <v>5</v>
      </c>
      <c r="C294">
        <v>8</v>
      </c>
      <c r="D294">
        <v>123.6</v>
      </c>
      <c r="F294" t="s">
        <v>98</v>
      </c>
      <c r="G294">
        <f>MATCH(F294,$B$294:$B$303,0)</f>
        <v>5</v>
      </c>
      <c r="H294" t="str">
        <f>INDEX($A$294:$A$303,G294,1)</f>
        <v>Kunal</v>
      </c>
    </row>
    <row r="295" spans="1:8" x14ac:dyDescent="0.25">
      <c r="A295" t="s">
        <v>169</v>
      </c>
      <c r="B295" t="s">
        <v>6</v>
      </c>
      <c r="C295">
        <v>9</v>
      </c>
      <c r="D295">
        <v>123.75</v>
      </c>
      <c r="F295" t="s">
        <v>101</v>
      </c>
      <c r="G295">
        <f t="shared" ref="G295:G297" si="46">MATCH(F295,$B$294:$B$303,0)</f>
        <v>7</v>
      </c>
      <c r="H295" t="str">
        <f t="shared" ref="H295:H297" si="47">INDEX($A$294:$A$303,G295,1)</f>
        <v>Tony</v>
      </c>
    </row>
    <row r="296" spans="1:8" x14ac:dyDescent="0.25">
      <c r="A296" t="s">
        <v>170</v>
      </c>
      <c r="B296" t="s">
        <v>7</v>
      </c>
      <c r="C296">
        <v>18</v>
      </c>
      <c r="D296">
        <v>262.8</v>
      </c>
      <c r="F296" t="s">
        <v>6</v>
      </c>
      <c r="G296">
        <f t="shared" si="46"/>
        <v>2</v>
      </c>
      <c r="H296" t="str">
        <f t="shared" si="47"/>
        <v>Sam</v>
      </c>
    </row>
    <row r="297" spans="1:8" x14ac:dyDescent="0.25">
      <c r="A297" t="s">
        <v>171</v>
      </c>
      <c r="B297" t="s">
        <v>61</v>
      </c>
      <c r="C297">
        <v>32</v>
      </c>
      <c r="D297">
        <v>495.68</v>
      </c>
      <c r="F297" t="s">
        <v>7</v>
      </c>
      <c r="G297">
        <f t="shared" si="46"/>
        <v>3</v>
      </c>
      <c r="H297" t="str">
        <f t="shared" si="47"/>
        <v>Ravi</v>
      </c>
    </row>
    <row r="298" spans="1:8" x14ac:dyDescent="0.25">
      <c r="A298" t="s">
        <v>172</v>
      </c>
      <c r="B298" t="s">
        <v>98</v>
      </c>
      <c r="C298">
        <v>38</v>
      </c>
      <c r="D298">
        <v>468.54</v>
      </c>
    </row>
    <row r="299" spans="1:8" x14ac:dyDescent="0.25">
      <c r="A299" t="s">
        <v>173</v>
      </c>
      <c r="B299" t="s">
        <v>30</v>
      </c>
      <c r="C299">
        <v>42</v>
      </c>
      <c r="D299">
        <v>577.5</v>
      </c>
    </row>
    <row r="300" spans="1:8" x14ac:dyDescent="0.25">
      <c r="A300" t="s">
        <v>174</v>
      </c>
      <c r="B300" t="s">
        <v>101</v>
      </c>
      <c r="C300">
        <v>14</v>
      </c>
      <c r="D300">
        <v>189.56</v>
      </c>
    </row>
    <row r="301" spans="1:8" x14ac:dyDescent="0.25">
      <c r="A301" t="s">
        <v>175</v>
      </c>
      <c r="B301" t="s">
        <v>102</v>
      </c>
      <c r="C301">
        <v>18</v>
      </c>
      <c r="D301">
        <v>258.3</v>
      </c>
    </row>
    <row r="302" spans="1:8" x14ac:dyDescent="0.25">
      <c r="A302" t="s">
        <v>176</v>
      </c>
      <c r="B302" t="s">
        <v>178</v>
      </c>
      <c r="C302">
        <v>42</v>
      </c>
      <c r="D302">
        <v>533.4</v>
      </c>
    </row>
    <row r="303" spans="1:8" x14ac:dyDescent="0.25">
      <c r="A303" t="s">
        <v>177</v>
      </c>
      <c r="B303" t="s">
        <v>31</v>
      </c>
      <c r="C303">
        <v>28</v>
      </c>
      <c r="D303">
        <v>399.28</v>
      </c>
    </row>
    <row r="307" spans="1:17" x14ac:dyDescent="0.25">
      <c r="A307" t="s">
        <v>179</v>
      </c>
      <c r="B307" t="s">
        <v>24</v>
      </c>
      <c r="C307" t="s">
        <v>25</v>
      </c>
      <c r="D307" t="s">
        <v>180</v>
      </c>
      <c r="E307" t="s">
        <v>181</v>
      </c>
      <c r="F307" t="s">
        <v>182</v>
      </c>
      <c r="G307" t="s">
        <v>183</v>
      </c>
      <c r="H307" t="s">
        <v>184</v>
      </c>
      <c r="I307" t="s">
        <v>185</v>
      </c>
      <c r="J307" t="s">
        <v>186</v>
      </c>
      <c r="K307" t="s">
        <v>187</v>
      </c>
      <c r="L307" t="s">
        <v>188</v>
      </c>
      <c r="M307" t="s">
        <v>189</v>
      </c>
      <c r="N307" t="s">
        <v>190</v>
      </c>
      <c r="O307" t="s">
        <v>191</v>
      </c>
      <c r="P307" t="s">
        <v>192</v>
      </c>
      <c r="Q307" t="s">
        <v>193</v>
      </c>
    </row>
    <row r="308" spans="1:17" x14ac:dyDescent="0.25">
      <c r="A308" t="s">
        <v>5</v>
      </c>
      <c r="B308" t="s">
        <v>32</v>
      </c>
      <c r="C308" t="s">
        <v>35</v>
      </c>
      <c r="D308">
        <v>15.45</v>
      </c>
      <c r="E308">
        <v>26</v>
      </c>
      <c r="F308">
        <v>20</v>
      </c>
      <c r="G308">
        <f>D308/E308</f>
        <v>0.59423076923076923</v>
      </c>
      <c r="H308">
        <f>AND(B308="Female",C308="Admin")*1</f>
        <v>0</v>
      </c>
      <c r="I308" t="b">
        <f>OR(B308="Female",C308="Admin")</f>
        <v>1</v>
      </c>
      <c r="J308" t="b">
        <f>NOT(H308)</f>
        <v>1</v>
      </c>
      <c r="K308" t="b">
        <f>ISERROR(G308)</f>
        <v>0</v>
      </c>
      <c r="L308" t="b">
        <f>ISNUMBER(F308)</f>
        <v>1</v>
      </c>
      <c r="M308" t="b">
        <f>ISTEXT(C308)</f>
        <v>1</v>
      </c>
      <c r="N308" t="b">
        <f>ISBLANK(D308)</f>
        <v>0</v>
      </c>
      <c r="O308">
        <f>IF(D308&gt;15,100,0)</f>
        <v>100</v>
      </c>
      <c r="P308">
        <f>IFERROR(D308/E308,100)</f>
        <v>0.59423076923076923</v>
      </c>
      <c r="Q308">
        <f>IF(P308&gt;0.6,IF(C308="Sales",225,215),0)</f>
        <v>0</v>
      </c>
    </row>
    <row r="309" spans="1:17" x14ac:dyDescent="0.25">
      <c r="A309" t="s">
        <v>6</v>
      </c>
      <c r="B309" t="s">
        <v>33</v>
      </c>
      <c r="C309" t="s">
        <v>34</v>
      </c>
      <c r="D309">
        <v>13.75</v>
      </c>
      <c r="E309">
        <v>15</v>
      </c>
      <c r="F309">
        <v>20</v>
      </c>
      <c r="G309">
        <f t="shared" ref="G309:G312" si="48">D309/E309</f>
        <v>0.91666666666666663</v>
      </c>
      <c r="H309" t="b">
        <f t="shared" ref="H309:H312" si="49">AND(B309="Female",C309="Admin")</f>
        <v>0</v>
      </c>
      <c r="I309">
        <f>OR(B309="Female",C309="Admin")*1</f>
        <v>1</v>
      </c>
      <c r="J309" t="b">
        <f t="shared" ref="J309:J312" si="50">NOT(H309)</f>
        <v>1</v>
      </c>
      <c r="K309" t="b">
        <f t="shared" ref="K309:K312" si="51">ISERROR(G309)</f>
        <v>0</v>
      </c>
      <c r="L309" t="b">
        <f t="shared" ref="L309:L312" si="52">ISNUMBER(F309)</f>
        <v>1</v>
      </c>
      <c r="M309" t="b">
        <f t="shared" ref="M309:M312" si="53">ISTEXT(C309)</f>
        <v>1</v>
      </c>
      <c r="N309" t="b">
        <f t="shared" ref="N309:N312" si="54">ISBLANK(D309)</f>
        <v>0</v>
      </c>
      <c r="O309">
        <f t="shared" ref="O309:O312" si="55">IF(D309&gt;15,100,0)</f>
        <v>0</v>
      </c>
      <c r="P309">
        <f t="shared" ref="P309:P312" si="56">IFERROR(D309/E309,100)</f>
        <v>0.91666666666666663</v>
      </c>
      <c r="Q309">
        <f t="shared" ref="Q309:Q312" si="57">IF(P309&gt;0.6,IF(C309="Sales",225,215),0)</f>
        <v>225</v>
      </c>
    </row>
    <row r="310" spans="1:17" x14ac:dyDescent="0.25">
      <c r="A310" t="s">
        <v>7</v>
      </c>
      <c r="B310" t="s">
        <v>32</v>
      </c>
      <c r="C310" t="s">
        <v>36</v>
      </c>
      <c r="D310">
        <v>14.6</v>
      </c>
      <c r="E310">
        <v>0</v>
      </c>
      <c r="F310">
        <v>20</v>
      </c>
      <c r="G310" t="e">
        <f t="shared" si="48"/>
        <v>#DIV/0!</v>
      </c>
      <c r="H310" t="b">
        <f t="shared" si="49"/>
        <v>0</v>
      </c>
      <c r="I310" t="b">
        <f t="shared" ref="I310:I312" si="58">OR(B310="Female",C310="Admin")</f>
        <v>0</v>
      </c>
      <c r="J310" t="b">
        <f t="shared" si="50"/>
        <v>1</v>
      </c>
      <c r="K310" t="b">
        <f t="shared" si="51"/>
        <v>1</v>
      </c>
      <c r="L310" t="b">
        <f t="shared" si="52"/>
        <v>1</v>
      </c>
      <c r="M310" t="b">
        <f t="shared" si="53"/>
        <v>1</v>
      </c>
      <c r="N310" t="b">
        <f t="shared" si="54"/>
        <v>0</v>
      </c>
      <c r="O310">
        <f t="shared" si="55"/>
        <v>0</v>
      </c>
      <c r="P310">
        <f t="shared" si="56"/>
        <v>100</v>
      </c>
      <c r="Q310">
        <f t="shared" si="57"/>
        <v>215</v>
      </c>
    </row>
    <row r="311" spans="1:17" x14ac:dyDescent="0.25">
      <c r="A311" t="s">
        <v>61</v>
      </c>
      <c r="B311" t="s">
        <v>32</v>
      </c>
      <c r="C311" t="s">
        <v>37</v>
      </c>
      <c r="D311">
        <v>15.49</v>
      </c>
      <c r="E311">
        <v>25</v>
      </c>
      <c r="F311">
        <v>20</v>
      </c>
      <c r="G311">
        <f t="shared" si="48"/>
        <v>0.61960000000000004</v>
      </c>
      <c r="H311" t="b">
        <f t="shared" si="49"/>
        <v>0</v>
      </c>
      <c r="I311" t="b">
        <f t="shared" si="58"/>
        <v>0</v>
      </c>
      <c r="J311" t="b">
        <f t="shared" si="50"/>
        <v>1</v>
      </c>
      <c r="K311" t="b">
        <f t="shared" si="51"/>
        <v>0</v>
      </c>
      <c r="L311" t="b">
        <f t="shared" si="52"/>
        <v>1</v>
      </c>
      <c r="M311" t="b">
        <f t="shared" si="53"/>
        <v>1</v>
      </c>
      <c r="N311" t="b">
        <f t="shared" si="54"/>
        <v>0</v>
      </c>
      <c r="O311">
        <f t="shared" si="55"/>
        <v>100</v>
      </c>
      <c r="P311">
        <f t="shared" si="56"/>
        <v>0.61960000000000004</v>
      </c>
      <c r="Q311">
        <f t="shared" si="57"/>
        <v>215</v>
      </c>
    </row>
    <row r="312" spans="1:17" x14ac:dyDescent="0.25">
      <c r="A312" t="s">
        <v>98</v>
      </c>
      <c r="B312" t="s">
        <v>33</v>
      </c>
      <c r="C312" t="s">
        <v>35</v>
      </c>
      <c r="D312">
        <v>12.33</v>
      </c>
      <c r="E312">
        <v>28</v>
      </c>
      <c r="F312">
        <v>20</v>
      </c>
      <c r="G312">
        <f t="shared" si="48"/>
        <v>0.44035714285714284</v>
      </c>
      <c r="H312" t="b">
        <f t="shared" si="49"/>
        <v>1</v>
      </c>
      <c r="I312" t="b">
        <f t="shared" si="58"/>
        <v>1</v>
      </c>
      <c r="J312" t="b">
        <f t="shared" si="50"/>
        <v>0</v>
      </c>
      <c r="K312" t="b">
        <f t="shared" si="51"/>
        <v>0</v>
      </c>
      <c r="L312" t="b">
        <f t="shared" si="52"/>
        <v>1</v>
      </c>
      <c r="M312" t="b">
        <f t="shared" si="53"/>
        <v>1</v>
      </c>
      <c r="N312" t="b">
        <f t="shared" si="54"/>
        <v>0</v>
      </c>
      <c r="O312">
        <f t="shared" si="55"/>
        <v>0</v>
      </c>
      <c r="P312">
        <f t="shared" si="56"/>
        <v>0.44035714285714284</v>
      </c>
      <c r="Q312">
        <f t="shared" si="57"/>
        <v>0</v>
      </c>
    </row>
    <row r="315" spans="1:17" x14ac:dyDescent="0.25">
      <c r="B315" t="b">
        <f>NOT(B308="Female")</f>
        <v>1</v>
      </c>
      <c r="K315" t="b">
        <f>ISNUMBER("Orange")</f>
        <v>0</v>
      </c>
    </row>
    <row r="316" spans="1:17" x14ac:dyDescent="0.25">
      <c r="B316" t="b">
        <f>NOT(B309="Female")</f>
        <v>0</v>
      </c>
      <c r="K316" t="b">
        <f>ISTEXT(178)</f>
        <v>0</v>
      </c>
    </row>
    <row r="317" spans="1:17" x14ac:dyDescent="0.25">
      <c r="K317" t="b">
        <f>ISBLANK(O309)</f>
        <v>0</v>
      </c>
    </row>
    <row r="320" spans="1:17" x14ac:dyDescent="0.25">
      <c r="A320" t="s">
        <v>21</v>
      </c>
      <c r="B320" t="s">
        <v>22</v>
      </c>
      <c r="C320" t="s">
        <v>23</v>
      </c>
      <c r="D320" t="s">
        <v>24</v>
      </c>
      <c r="E320" t="s">
        <v>25</v>
      </c>
      <c r="F320" t="s">
        <v>26</v>
      </c>
      <c r="G320" t="s">
        <v>27</v>
      </c>
      <c r="H320" t="s">
        <v>28</v>
      </c>
      <c r="I320" t="s">
        <v>215</v>
      </c>
    </row>
    <row r="321" spans="1:12" x14ac:dyDescent="0.25">
      <c r="A321" t="s">
        <v>5</v>
      </c>
      <c r="B321" s="10">
        <v>41072</v>
      </c>
      <c r="C321">
        <v>2.15</v>
      </c>
      <c r="D321" t="s">
        <v>32</v>
      </c>
      <c r="E321" t="s">
        <v>35</v>
      </c>
      <c r="F321">
        <v>15.45</v>
      </c>
      <c r="G321">
        <v>49</v>
      </c>
      <c r="H321">
        <f>PRODUCT(G321*F321)</f>
        <v>757.05</v>
      </c>
      <c r="I321">
        <f>RANK(H321,$H$321:$H$325)</f>
        <v>1</v>
      </c>
      <c r="J321">
        <f>RANK(H321,$H$321:$H$325,1)</f>
        <v>5</v>
      </c>
    </row>
    <row r="322" spans="1:12" x14ac:dyDescent="0.25">
      <c r="A322" t="s">
        <v>6</v>
      </c>
      <c r="B322" s="10">
        <v>41552</v>
      </c>
      <c r="C322">
        <v>0.84</v>
      </c>
      <c r="D322" t="s">
        <v>33</v>
      </c>
      <c r="E322" t="s">
        <v>34</v>
      </c>
      <c r="F322">
        <v>13.75</v>
      </c>
      <c r="G322">
        <v>29</v>
      </c>
      <c r="H322">
        <f t="shared" ref="H322:H325" si="59">PRODUCT(G322*F322)</f>
        <v>398.75</v>
      </c>
      <c r="I322">
        <f t="shared" ref="I322:I325" si="60">RANK(H322,$H$321:$H$325)</f>
        <v>2</v>
      </c>
      <c r="J322">
        <f t="shared" ref="J322:J325" si="61">RANK(H322,$H$321:$H$325,1)</f>
        <v>4</v>
      </c>
      <c r="L322" t="s">
        <v>221</v>
      </c>
    </row>
    <row r="323" spans="1:12" x14ac:dyDescent="0.25">
      <c r="A323" t="s">
        <v>7</v>
      </c>
      <c r="B323" s="10">
        <v>42390</v>
      </c>
      <c r="C323">
        <v>2.5499999999999998</v>
      </c>
      <c r="D323" t="s">
        <v>33</v>
      </c>
      <c r="E323" t="s">
        <v>36</v>
      </c>
      <c r="F323">
        <v>14.6</v>
      </c>
      <c r="G323">
        <v>25</v>
      </c>
      <c r="H323">
        <f t="shared" si="59"/>
        <v>365</v>
      </c>
      <c r="I323">
        <f t="shared" si="60"/>
        <v>4</v>
      </c>
      <c r="J323">
        <f t="shared" si="61"/>
        <v>2</v>
      </c>
      <c r="L323" t="s">
        <v>222</v>
      </c>
    </row>
    <row r="324" spans="1:12" x14ac:dyDescent="0.25">
      <c r="A324" t="s">
        <v>61</v>
      </c>
      <c r="B324" s="10">
        <v>44125</v>
      </c>
      <c r="C324">
        <v>1.8</v>
      </c>
      <c r="D324" t="s">
        <v>32</v>
      </c>
      <c r="E324" t="s">
        <v>37</v>
      </c>
      <c r="F324">
        <v>15.49</v>
      </c>
      <c r="G324">
        <v>25</v>
      </c>
      <c r="H324">
        <f t="shared" si="59"/>
        <v>387.25</v>
      </c>
      <c r="I324">
        <f t="shared" si="60"/>
        <v>3</v>
      </c>
      <c r="J324">
        <f t="shared" si="61"/>
        <v>3</v>
      </c>
    </row>
    <row r="325" spans="1:12" x14ac:dyDescent="0.25">
      <c r="A325" t="s">
        <v>98</v>
      </c>
      <c r="B325" s="10">
        <v>41011</v>
      </c>
      <c r="C325">
        <v>2.2999999999999998</v>
      </c>
      <c r="D325" t="s">
        <v>32</v>
      </c>
      <c r="E325" t="s">
        <v>35</v>
      </c>
      <c r="F325">
        <v>13.5</v>
      </c>
      <c r="G325">
        <v>20</v>
      </c>
      <c r="H325">
        <f t="shared" si="59"/>
        <v>270</v>
      </c>
      <c r="I325">
        <f t="shared" si="60"/>
        <v>5</v>
      </c>
      <c r="J325">
        <f t="shared" si="61"/>
        <v>1</v>
      </c>
    </row>
    <row r="328" spans="1:12" x14ac:dyDescent="0.25">
      <c r="C328" t="s">
        <v>194</v>
      </c>
      <c r="D328" t="s">
        <v>195</v>
      </c>
    </row>
    <row r="329" spans="1:12" x14ac:dyDescent="0.25">
      <c r="C329" t="s">
        <v>196</v>
      </c>
      <c r="D329">
        <f>MIN(F321:F324)</f>
        <v>13.75</v>
      </c>
    </row>
    <row r="330" spans="1:12" x14ac:dyDescent="0.25">
      <c r="C330" t="s">
        <v>197</v>
      </c>
      <c r="D330">
        <f>MAX(F321:F324)</f>
        <v>15.49</v>
      </c>
    </row>
    <row r="331" spans="1:12" x14ac:dyDescent="0.25">
      <c r="C331" t="s">
        <v>198</v>
      </c>
      <c r="D331">
        <f>SMALL(F321:F324,3)</f>
        <v>15.45</v>
      </c>
    </row>
    <row r="332" spans="1:12" x14ac:dyDescent="0.25">
      <c r="C332" t="s">
        <v>199</v>
      </c>
      <c r="D332">
        <f>LARGE(F321:F324,2)</f>
        <v>15.45</v>
      </c>
    </row>
    <row r="334" spans="1:12" x14ac:dyDescent="0.25">
      <c r="C334" t="s">
        <v>200</v>
      </c>
      <c r="D334">
        <f>COUNTA(A321:A325)</f>
        <v>5</v>
      </c>
      <c r="E334">
        <f>COUNT(G321:G325)</f>
        <v>5</v>
      </c>
    </row>
    <row r="335" spans="1:12" x14ac:dyDescent="0.25">
      <c r="C335" t="s">
        <v>201</v>
      </c>
      <c r="D335">
        <f>COUNTIFS(D321:D325,"male")</f>
        <v>3</v>
      </c>
    </row>
    <row r="336" spans="1:12" x14ac:dyDescent="0.25">
      <c r="C336" t="s">
        <v>202</v>
      </c>
      <c r="D336">
        <f>COUNTIFS(D321:D325,"male",E321:E325,"admin")</f>
        <v>2</v>
      </c>
    </row>
    <row r="337" spans="3:7" x14ac:dyDescent="0.25">
      <c r="C337" t="s">
        <v>203</v>
      </c>
      <c r="D337">
        <f>COUNTIFS(D321:D325,"male",E321:E325,"admin",F321:F325,"&gt;15")</f>
        <v>1</v>
      </c>
    </row>
    <row r="338" spans="3:7" x14ac:dyDescent="0.25">
      <c r="C338" t="s">
        <v>204</v>
      </c>
      <c r="D338">
        <f>COUNTIFS(F321:F325,"&lt;"&amp;LARGE(F321:F325,4))</f>
        <v>1</v>
      </c>
      <c r="F338">
        <f>LARGE(F321:F325,4)</f>
        <v>13.75</v>
      </c>
    </row>
    <row r="340" spans="3:7" x14ac:dyDescent="0.25">
      <c r="C340" t="s">
        <v>205</v>
      </c>
      <c r="D340">
        <f>AVERAGE(F321:F325)</f>
        <v>14.557999999999998</v>
      </c>
    </row>
    <row r="341" spans="3:7" x14ac:dyDescent="0.25">
      <c r="C341" t="s">
        <v>206</v>
      </c>
      <c r="D341">
        <f>MEDIAN(F321:F325)</f>
        <v>14.6</v>
      </c>
    </row>
    <row r="342" spans="3:7" x14ac:dyDescent="0.25">
      <c r="C342" t="s">
        <v>207</v>
      </c>
      <c r="D342">
        <f>MODE(G321:G325)</f>
        <v>25</v>
      </c>
    </row>
    <row r="343" spans="3:7" x14ac:dyDescent="0.25">
      <c r="C343" t="s">
        <v>208</v>
      </c>
      <c r="D343">
        <f>AVERAGEIFS(F321:F325,D321:D325,"male")</f>
        <v>14.813333333333333</v>
      </c>
    </row>
    <row r="344" spans="3:7" x14ac:dyDescent="0.25">
      <c r="C344" t="s">
        <v>209</v>
      </c>
      <c r="D344">
        <f>AVERAGEIFS(F321:F325,D321:D325,"male",E321:E325,"Admin")</f>
        <v>14.475</v>
      </c>
    </row>
    <row r="346" spans="3:7" x14ac:dyDescent="0.25">
      <c r="C346" t="s">
        <v>210</v>
      </c>
      <c r="D346">
        <f>MAX(F321:F325)-MIN(F321:F325)</f>
        <v>1.9900000000000002</v>
      </c>
    </row>
    <row r="347" spans="3:7" x14ac:dyDescent="0.25">
      <c r="C347" t="s">
        <v>211</v>
      </c>
      <c r="D347">
        <f>QUARTILE(F321:F325,1)</f>
        <v>13.75</v>
      </c>
    </row>
    <row r="348" spans="3:7" x14ac:dyDescent="0.25">
      <c r="C348" t="s">
        <v>213</v>
      </c>
      <c r="D348">
        <f>QUARTILE(F321:F325,2)</f>
        <v>14.6</v>
      </c>
      <c r="E348">
        <f>MEDIAN(F321:F325)</f>
        <v>14.6</v>
      </c>
    </row>
    <row r="349" spans="3:7" x14ac:dyDescent="0.25">
      <c r="C349" t="s">
        <v>212</v>
      </c>
      <c r="D349">
        <f>QUARTILE(F321:F325,3)</f>
        <v>15.45</v>
      </c>
    </row>
    <row r="350" spans="3:7" x14ac:dyDescent="0.25">
      <c r="C350" t="s">
        <v>214</v>
      </c>
      <c r="D350">
        <f>_xlfn.STDEV.P(F321:F325)</f>
        <v>0.82925026379254163</v>
      </c>
      <c r="F350" t="s">
        <v>216</v>
      </c>
      <c r="G350" t="s">
        <v>217</v>
      </c>
    </row>
    <row r="351" spans="3:7" x14ac:dyDescent="0.25">
      <c r="C351" t="s">
        <v>220</v>
      </c>
      <c r="D351">
        <f>CORREL(G321:G325,H321:H325)</f>
        <v>0.99437582942047531</v>
      </c>
      <c r="F351" t="s">
        <v>218</v>
      </c>
      <c r="G351" t="s">
        <v>219</v>
      </c>
    </row>
  </sheetData>
  <phoneticPr fontId="2" type="noConversion"/>
  <hyperlinks>
    <hyperlink ref="C102" r:id="rId1" xr:uid="{D1017544-3593-40C8-A829-81988DE0C627}"/>
    <hyperlink ref="C103" r:id="rId2" xr:uid="{115313DB-1E17-4A8D-B6D2-1AE8B54E63B7}"/>
    <hyperlink ref="C104" r:id="rId3" xr:uid="{B1719AAA-EA6C-4C9E-B900-C30D70167003}"/>
    <hyperlink ref="C105" r:id="rId4" xr:uid="{F9295872-F5A7-4ED5-A763-085950C126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saimanaswi1999</dc:creator>
  <cp:lastModifiedBy>saimanaswi1999</cp:lastModifiedBy>
  <dcterms:created xsi:type="dcterms:W3CDTF">2022-10-31T04:37:13Z</dcterms:created>
  <dcterms:modified xsi:type="dcterms:W3CDTF">2022-11-10T14:50:17Z</dcterms:modified>
</cp:coreProperties>
</file>